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Default Extension="vml" ContentType="application/vnd.openxmlformats-officedocument.vmlDrawing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40" yWindow="80" windowWidth="23900" windowHeight="15320" activeTab="1"/>
  </bookViews>
  <sheets>
    <sheet name="BvP" sheetId="11" r:id="rId1"/>
    <sheet name="Bat" sheetId="2" r:id="rId2"/>
    <sheet name="Pit" sheetId="1" r:id="rId3"/>
    <sheet name="Draft List" sheetId="3" r:id="rId4"/>
    <sheet name="Con" sheetId="8" r:id="rId5"/>
    <sheet name="Salary Pivot" sheetId="10" r:id="rId6"/>
    <sheet name="COND" sheetId="4" r:id="rId7"/>
    <sheet name="draft_listing_batters_stats" sheetId="5" r:id="rId8"/>
    <sheet name="draft_listing_pitchers_stats" sheetId="6" r:id="rId9"/>
    <sheet name="Results" sheetId="7" r:id="rId10"/>
    <sheet name="Bonuses" sheetId="9" r:id="rId11"/>
  </sheets>
  <externalReferences>
    <externalReference r:id="rId12"/>
  </externalReferences>
  <definedNames>
    <definedName name="_xlnm._FilterDatabase" localSheetId="1" hidden="1">Bat!$A$4:$AY$290</definedName>
    <definedName name="_xlnm._FilterDatabase" localSheetId="4" hidden="1">Con!$A$4:$AE$20</definedName>
    <definedName name="_xlnm._FilterDatabase" localSheetId="3" hidden="1">'Draft List'!$A$4:$AD$598</definedName>
    <definedName name="_xlnm._FilterDatabase" localSheetId="2" hidden="1">Pit!$A$4:$BI$239</definedName>
    <definedName name="_xlnm._FilterDatabase" localSheetId="5" hidden="1">'Salary Pivot'!$A$2:$I$26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88" i="2"/>
  <c r="A89"/>
  <c r="A60"/>
  <c r="A90"/>
  <c r="A91"/>
  <c r="A92"/>
  <c r="A93"/>
  <c r="A41"/>
  <c r="A94"/>
  <c r="A95"/>
  <c r="A96"/>
  <c r="A56"/>
  <c r="A97"/>
  <c r="A98"/>
  <c r="A99"/>
  <c r="A61"/>
  <c r="A100"/>
  <c r="A101"/>
  <c r="A102"/>
  <c r="A103"/>
  <c r="A38"/>
  <c r="A104"/>
  <c r="A105"/>
  <c r="A106"/>
  <c r="A107"/>
  <c r="A108"/>
  <c r="A109"/>
  <c r="A110"/>
  <c r="A62"/>
  <c r="A111"/>
  <c r="A112"/>
  <c r="A113"/>
  <c r="A114"/>
  <c r="A115"/>
  <c r="A116"/>
  <c r="A117"/>
  <c r="A118"/>
  <c r="A119"/>
  <c r="A120"/>
  <c r="A5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65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9"/>
  <c r="A6"/>
  <c r="A22"/>
  <c r="A16"/>
  <c r="A21"/>
  <c r="A8"/>
  <c r="A7"/>
  <c r="A10"/>
  <c r="A25"/>
  <c r="A58"/>
  <c r="A66"/>
  <c r="A26"/>
  <c r="A67"/>
  <c r="A13"/>
  <c r="A18"/>
  <c r="A15"/>
  <c r="A12"/>
  <c r="A20"/>
  <c r="A30"/>
  <c r="A19"/>
  <c r="A42"/>
  <c r="A39"/>
  <c r="A59"/>
  <c r="A31"/>
  <c r="A14"/>
  <c r="A33"/>
  <c r="A27"/>
  <c r="A24"/>
  <c r="A23"/>
  <c r="A49"/>
  <c r="A37"/>
  <c r="A11"/>
  <c r="A68"/>
  <c r="A17"/>
  <c r="A69"/>
  <c r="A53"/>
  <c r="A70"/>
  <c r="A29"/>
  <c r="A71"/>
  <c r="A46"/>
  <c r="A34"/>
  <c r="A72"/>
  <c r="A35"/>
  <c r="A47"/>
  <c r="A73"/>
  <c r="A28"/>
  <c r="A54"/>
  <c r="A40"/>
  <c r="A52"/>
  <c r="A63"/>
  <c r="A55"/>
  <c r="A43"/>
  <c r="A74"/>
  <c r="A75"/>
  <c r="A36"/>
  <c r="A76"/>
  <c r="A77"/>
  <c r="A32"/>
  <c r="A78"/>
  <c r="A79"/>
  <c r="A80"/>
  <c r="A81"/>
  <c r="A44"/>
  <c r="A82"/>
  <c r="A48"/>
  <c r="A83"/>
  <c r="A84"/>
  <c r="A85"/>
  <c r="A45"/>
  <c r="A57"/>
  <c r="A86"/>
  <c r="A51"/>
  <c r="A64"/>
  <c r="A87"/>
  <c r="A5"/>
  <c r="AU127"/>
  <c r="AU135"/>
  <c r="AU131"/>
  <c r="AM3"/>
  <c r="AO127"/>
  <c r="AO135"/>
  <c r="AO131"/>
  <c r="L3"/>
  <c r="M3"/>
  <c r="N3"/>
  <c r="O3"/>
  <c r="P3"/>
  <c r="AK39"/>
  <c r="AL39"/>
  <c r="AM39"/>
  <c r="AN39"/>
  <c r="AO39"/>
  <c r="AK6"/>
  <c r="AL6"/>
  <c r="AM6"/>
  <c r="AN6"/>
  <c r="AO6"/>
  <c r="AK12"/>
  <c r="AL12"/>
  <c r="AM12"/>
  <c r="AN12"/>
  <c r="AO12"/>
  <c r="AK22"/>
  <c r="AL22"/>
  <c r="AM22"/>
  <c r="AN22"/>
  <c r="AO22"/>
  <c r="AK19"/>
  <c r="AL19"/>
  <c r="AM19"/>
  <c r="AN19"/>
  <c r="AO19"/>
  <c r="AK16"/>
  <c r="AL16"/>
  <c r="AM16"/>
  <c r="AN16"/>
  <c r="AO16"/>
  <c r="AK26"/>
  <c r="AL26"/>
  <c r="AM26"/>
  <c r="AN26"/>
  <c r="AO26"/>
  <c r="AK9"/>
  <c r="AL9"/>
  <c r="AM9"/>
  <c r="AN9"/>
  <c r="AO9"/>
  <c r="AK25"/>
  <c r="AL25"/>
  <c r="AM25"/>
  <c r="AN25"/>
  <c r="AO25"/>
  <c r="AK8"/>
  <c r="AL8"/>
  <c r="AM8"/>
  <c r="AN8"/>
  <c r="AO8"/>
  <c r="AK67"/>
  <c r="AL67"/>
  <c r="AM67"/>
  <c r="AN67"/>
  <c r="AO67"/>
  <c r="AK5"/>
  <c r="AL5"/>
  <c r="AM5"/>
  <c r="AN5"/>
  <c r="AO5"/>
  <c r="AK21"/>
  <c r="AL21"/>
  <c r="AM21"/>
  <c r="AN21"/>
  <c r="AO21"/>
  <c r="AK58"/>
  <c r="AL58"/>
  <c r="AM58"/>
  <c r="AN58"/>
  <c r="AO58"/>
  <c r="AK27"/>
  <c r="AL27"/>
  <c r="AM27"/>
  <c r="AN27"/>
  <c r="AO27"/>
  <c r="AK30"/>
  <c r="AL30"/>
  <c r="AM30"/>
  <c r="AN30"/>
  <c r="AO30"/>
  <c r="AK73"/>
  <c r="AL73"/>
  <c r="AM73"/>
  <c r="AN73"/>
  <c r="AO73"/>
  <c r="AK15"/>
  <c r="AL15"/>
  <c r="AM15"/>
  <c r="AN15"/>
  <c r="AO15"/>
  <c r="AK7"/>
  <c r="AL7"/>
  <c r="AM7"/>
  <c r="AN7"/>
  <c r="AO7"/>
  <c r="AK31"/>
  <c r="AL31"/>
  <c r="AM31"/>
  <c r="AN31"/>
  <c r="AO31"/>
  <c r="AK18"/>
  <c r="AL18"/>
  <c r="AM18"/>
  <c r="AN18"/>
  <c r="AO18"/>
  <c r="AK59"/>
  <c r="AL59"/>
  <c r="AM59"/>
  <c r="AN59"/>
  <c r="AO59"/>
  <c r="AK10"/>
  <c r="AL10"/>
  <c r="AM10"/>
  <c r="AN10"/>
  <c r="AO10"/>
  <c r="AK66"/>
  <c r="AL66"/>
  <c r="AM66"/>
  <c r="AN66"/>
  <c r="AO66"/>
  <c r="AK20"/>
  <c r="AL20"/>
  <c r="AM20"/>
  <c r="AN20"/>
  <c r="AO20"/>
  <c r="AK35"/>
  <c r="AL35"/>
  <c r="AM35"/>
  <c r="AN35"/>
  <c r="AO35"/>
  <c r="AK42"/>
  <c r="AL42"/>
  <c r="AM42"/>
  <c r="AN42"/>
  <c r="AO42"/>
  <c r="AK33"/>
  <c r="AL33"/>
  <c r="AM33"/>
  <c r="AN33"/>
  <c r="AO33"/>
  <c r="AK69"/>
  <c r="AL69"/>
  <c r="AM69"/>
  <c r="AN69"/>
  <c r="AO69"/>
  <c r="AK14"/>
  <c r="AL14"/>
  <c r="AM14"/>
  <c r="AN14"/>
  <c r="AO14"/>
  <c r="AK53"/>
  <c r="AL53"/>
  <c r="AM53"/>
  <c r="AN53"/>
  <c r="AO53"/>
  <c r="AK23"/>
  <c r="AL23"/>
  <c r="AM23"/>
  <c r="AN23"/>
  <c r="AO23"/>
  <c r="AK49"/>
  <c r="AL49"/>
  <c r="AM49"/>
  <c r="AN49"/>
  <c r="AO49"/>
  <c r="AK76"/>
  <c r="AL76"/>
  <c r="AM76"/>
  <c r="AN76"/>
  <c r="AO76"/>
  <c r="AK47"/>
  <c r="AL47"/>
  <c r="AM47"/>
  <c r="AN47"/>
  <c r="AO47"/>
  <c r="AK68"/>
  <c r="AL68"/>
  <c r="AM68"/>
  <c r="AN68"/>
  <c r="AO68"/>
  <c r="AK70"/>
  <c r="AL70"/>
  <c r="AM70"/>
  <c r="AN70"/>
  <c r="AO70"/>
  <c r="AK37"/>
  <c r="AL37"/>
  <c r="AM37"/>
  <c r="AN37"/>
  <c r="AO37"/>
  <c r="AK74"/>
  <c r="AL74"/>
  <c r="AM74"/>
  <c r="AN74"/>
  <c r="AO74"/>
  <c r="AK24"/>
  <c r="AL24"/>
  <c r="AM24"/>
  <c r="AN24"/>
  <c r="AO24"/>
  <c r="AK46"/>
  <c r="AL46"/>
  <c r="AM46"/>
  <c r="AN46"/>
  <c r="AO46"/>
  <c r="AK13"/>
  <c r="AL13"/>
  <c r="AM13"/>
  <c r="AN13"/>
  <c r="AO13"/>
  <c r="AK71"/>
  <c r="AL71"/>
  <c r="AM71"/>
  <c r="AN71"/>
  <c r="AO71"/>
  <c r="AK79"/>
  <c r="AL79"/>
  <c r="AM79"/>
  <c r="AN79"/>
  <c r="AO79"/>
  <c r="AK142"/>
  <c r="AL142"/>
  <c r="AM142"/>
  <c r="AN142"/>
  <c r="AO142"/>
  <c r="AK83"/>
  <c r="AL83"/>
  <c r="AM83"/>
  <c r="AN83"/>
  <c r="AO83"/>
  <c r="AK147"/>
  <c r="AL147"/>
  <c r="AM147"/>
  <c r="AN147"/>
  <c r="AO147"/>
  <c r="AK134"/>
  <c r="AL134"/>
  <c r="AM134"/>
  <c r="AN134"/>
  <c r="AO134"/>
  <c r="AK43"/>
  <c r="AL43"/>
  <c r="AM43"/>
  <c r="AN43"/>
  <c r="AO43"/>
  <c r="AK128"/>
  <c r="AL128"/>
  <c r="AM128"/>
  <c r="AN128"/>
  <c r="AO128"/>
  <c r="AK84"/>
  <c r="AL84"/>
  <c r="AM84"/>
  <c r="AN84"/>
  <c r="AO84"/>
  <c r="AK191"/>
  <c r="AL191"/>
  <c r="AM191"/>
  <c r="AN191"/>
  <c r="AO191"/>
  <c r="AK45"/>
  <c r="AL45"/>
  <c r="AM45"/>
  <c r="AN45"/>
  <c r="AO45"/>
  <c r="AK192"/>
  <c r="AL192"/>
  <c r="AM192"/>
  <c r="AN192"/>
  <c r="AO192"/>
  <c r="AK38"/>
  <c r="AL38"/>
  <c r="AM38"/>
  <c r="AN38"/>
  <c r="AO38"/>
  <c r="AK215"/>
  <c r="AL215"/>
  <c r="AM215"/>
  <c r="AN215"/>
  <c r="AO215"/>
  <c r="AK29"/>
  <c r="AL29"/>
  <c r="AM29"/>
  <c r="AN29"/>
  <c r="AO29"/>
  <c r="AK178"/>
  <c r="AL178"/>
  <c r="AM178"/>
  <c r="AN178"/>
  <c r="AO178"/>
  <c r="AK122"/>
  <c r="AL122"/>
  <c r="AM122"/>
  <c r="AN122"/>
  <c r="AO122"/>
  <c r="AK166"/>
  <c r="AL166"/>
  <c r="AM166"/>
  <c r="AN166"/>
  <c r="AO166"/>
  <c r="AK97"/>
  <c r="AL97"/>
  <c r="AM97"/>
  <c r="AN97"/>
  <c r="AO97"/>
  <c r="AK56"/>
  <c r="AL56"/>
  <c r="AM56"/>
  <c r="AN56"/>
  <c r="AO56"/>
  <c r="AK132"/>
  <c r="AL132"/>
  <c r="AM132"/>
  <c r="AN132"/>
  <c r="AO132"/>
  <c r="AK117"/>
  <c r="AL117"/>
  <c r="AM117"/>
  <c r="AN117"/>
  <c r="AO117"/>
  <c r="AK204"/>
  <c r="AL204"/>
  <c r="AM204"/>
  <c r="AN204"/>
  <c r="AO204"/>
  <c r="AK149"/>
  <c r="AL149"/>
  <c r="AM149"/>
  <c r="AN149"/>
  <c r="AO149"/>
  <c r="AK72"/>
  <c r="AL72"/>
  <c r="AM72"/>
  <c r="AN72"/>
  <c r="AO72"/>
  <c r="AK28"/>
  <c r="AL28"/>
  <c r="AM28"/>
  <c r="AN28"/>
  <c r="AO28"/>
  <c r="AK40"/>
  <c r="AL40"/>
  <c r="AM40"/>
  <c r="AN40"/>
  <c r="AO40"/>
  <c r="AK137"/>
  <c r="AL137"/>
  <c r="AM137"/>
  <c r="AN137"/>
  <c r="AO137"/>
  <c r="AK167"/>
  <c r="AL167"/>
  <c r="AM167"/>
  <c r="AN167"/>
  <c r="AO167"/>
  <c r="AK184"/>
  <c r="AL184"/>
  <c r="AM184"/>
  <c r="AN184"/>
  <c r="AO184"/>
  <c r="AK171"/>
  <c r="AL171"/>
  <c r="AM171"/>
  <c r="AN171"/>
  <c r="AO171"/>
  <c r="AK110"/>
  <c r="AL110"/>
  <c r="AM110"/>
  <c r="AN110"/>
  <c r="AO110"/>
  <c r="AK190"/>
  <c r="AL190"/>
  <c r="AM190"/>
  <c r="AN190"/>
  <c r="AO190"/>
  <c r="AK180"/>
  <c r="AL180"/>
  <c r="AM180"/>
  <c r="AN180"/>
  <c r="AO180"/>
  <c r="AK80"/>
  <c r="AL80"/>
  <c r="AM80"/>
  <c r="AN80"/>
  <c r="AO80"/>
  <c r="AK177"/>
  <c r="AL177"/>
  <c r="AM177"/>
  <c r="AN177"/>
  <c r="AO177"/>
  <c r="AK120"/>
  <c r="AL120"/>
  <c r="AM120"/>
  <c r="AN120"/>
  <c r="AO120"/>
  <c r="AK55"/>
  <c r="AL55"/>
  <c r="AM55"/>
  <c r="AN55"/>
  <c r="AO55"/>
  <c r="AK168"/>
  <c r="AL168"/>
  <c r="AM168"/>
  <c r="AN168"/>
  <c r="AO168"/>
  <c r="AK105"/>
  <c r="AL105"/>
  <c r="AM105"/>
  <c r="AN105"/>
  <c r="AO105"/>
  <c r="AK111"/>
  <c r="AL111"/>
  <c r="AM111"/>
  <c r="AN111"/>
  <c r="AO111"/>
  <c r="AK78"/>
  <c r="AL78"/>
  <c r="AM78"/>
  <c r="AN78"/>
  <c r="AO78"/>
  <c r="AK172"/>
  <c r="AL172"/>
  <c r="AM172"/>
  <c r="AN172"/>
  <c r="AO172"/>
  <c r="AK160"/>
  <c r="AL160"/>
  <c r="AM160"/>
  <c r="AN160"/>
  <c r="AO160"/>
  <c r="AK60"/>
  <c r="AL60"/>
  <c r="AM60"/>
  <c r="AN60"/>
  <c r="AO60"/>
  <c r="AK85"/>
  <c r="AL85"/>
  <c r="AM85"/>
  <c r="AN85"/>
  <c r="AO85"/>
  <c r="AK156"/>
  <c r="AL156"/>
  <c r="AM156"/>
  <c r="AN156"/>
  <c r="AO156"/>
  <c r="AK11"/>
  <c r="AL11"/>
  <c r="AM11"/>
  <c r="AN11"/>
  <c r="AO11"/>
  <c r="AK176"/>
  <c r="AL176"/>
  <c r="AM176"/>
  <c r="AN176"/>
  <c r="AO176"/>
  <c r="AK65"/>
  <c r="AL65"/>
  <c r="AM65"/>
  <c r="AN65"/>
  <c r="AO65"/>
  <c r="AK51"/>
  <c r="AL51"/>
  <c r="AM51"/>
  <c r="AN51"/>
  <c r="AO51"/>
  <c r="AK175"/>
  <c r="AL175"/>
  <c r="AM175"/>
  <c r="AN175"/>
  <c r="AO175"/>
  <c r="AK193"/>
  <c r="AL193"/>
  <c r="AM193"/>
  <c r="AN193"/>
  <c r="AO193"/>
  <c r="AK108"/>
  <c r="AL108"/>
  <c r="AM108"/>
  <c r="AN108"/>
  <c r="AO108"/>
  <c r="AK82"/>
  <c r="AL82"/>
  <c r="AM82"/>
  <c r="AN82"/>
  <c r="AO82"/>
  <c r="AK136"/>
  <c r="AL136"/>
  <c r="AM136"/>
  <c r="AN136"/>
  <c r="AO136"/>
  <c r="AK182"/>
  <c r="AL182"/>
  <c r="AM182"/>
  <c r="AN182"/>
  <c r="AO182"/>
  <c r="AK130"/>
  <c r="AL130"/>
  <c r="AM130"/>
  <c r="AN130"/>
  <c r="AO130"/>
  <c r="AK125"/>
  <c r="AL125"/>
  <c r="AM125"/>
  <c r="AN125"/>
  <c r="AO125"/>
  <c r="AK187"/>
  <c r="AL187"/>
  <c r="AM187"/>
  <c r="AN187"/>
  <c r="AO187"/>
  <c r="AK34"/>
  <c r="AL34"/>
  <c r="AM34"/>
  <c r="AN34"/>
  <c r="AO34"/>
  <c r="AK17"/>
  <c r="AL17"/>
  <c r="AM17"/>
  <c r="AN17"/>
  <c r="AO17"/>
  <c r="AK101"/>
  <c r="AL101"/>
  <c r="AM101"/>
  <c r="AN101"/>
  <c r="AO101"/>
  <c r="AK106"/>
  <c r="AL106"/>
  <c r="AM106"/>
  <c r="AN106"/>
  <c r="AO106"/>
  <c r="AK126"/>
  <c r="AL126"/>
  <c r="AM126"/>
  <c r="AN126"/>
  <c r="AO126"/>
  <c r="AK159"/>
  <c r="AL159"/>
  <c r="AM159"/>
  <c r="AN159"/>
  <c r="AO159"/>
  <c r="AK52"/>
  <c r="AL52"/>
  <c r="AM52"/>
  <c r="AN52"/>
  <c r="AO52"/>
  <c r="AK144"/>
  <c r="AL144"/>
  <c r="AM144"/>
  <c r="AN144"/>
  <c r="AO144"/>
  <c r="AK158"/>
  <c r="AL158"/>
  <c r="AM158"/>
  <c r="AN158"/>
  <c r="AO158"/>
  <c r="AK64"/>
  <c r="AL64"/>
  <c r="AM64"/>
  <c r="AN64"/>
  <c r="AO64"/>
  <c r="AK123"/>
  <c r="AL123"/>
  <c r="AM123"/>
  <c r="AN123"/>
  <c r="AO123"/>
  <c r="AK107"/>
  <c r="AL107"/>
  <c r="AM107"/>
  <c r="AN107"/>
  <c r="AO107"/>
  <c r="AK116"/>
  <c r="AL116"/>
  <c r="AM116"/>
  <c r="AN116"/>
  <c r="AO116"/>
  <c r="AK186"/>
  <c r="AL186"/>
  <c r="AM186"/>
  <c r="AN186"/>
  <c r="AO186"/>
  <c r="AK44"/>
  <c r="AL44"/>
  <c r="AM44"/>
  <c r="AN44"/>
  <c r="AO44"/>
  <c r="AK62"/>
  <c r="AL62"/>
  <c r="AM62"/>
  <c r="AN62"/>
  <c r="AO62"/>
  <c r="AK165"/>
  <c r="AL165"/>
  <c r="AM165"/>
  <c r="AN165"/>
  <c r="AO165"/>
  <c r="AK121"/>
  <c r="AL121"/>
  <c r="AM121"/>
  <c r="AN121"/>
  <c r="AO121"/>
  <c r="AK179"/>
  <c r="AL179"/>
  <c r="AM179"/>
  <c r="AN179"/>
  <c r="AO179"/>
  <c r="AK146"/>
  <c r="AL146"/>
  <c r="AM146"/>
  <c r="AN146"/>
  <c r="AO146"/>
  <c r="AK114"/>
  <c r="AL114"/>
  <c r="AM114"/>
  <c r="AN114"/>
  <c r="AO114"/>
  <c r="AK115"/>
  <c r="AL115"/>
  <c r="AM115"/>
  <c r="AN115"/>
  <c r="AO115"/>
  <c r="AK151"/>
  <c r="AL151"/>
  <c r="AM151"/>
  <c r="AN151"/>
  <c r="AO151"/>
  <c r="AK61"/>
  <c r="AL61"/>
  <c r="AM61"/>
  <c r="AN61"/>
  <c r="AO61"/>
  <c r="AK98"/>
  <c r="AL98"/>
  <c r="AM98"/>
  <c r="AN98"/>
  <c r="AO98"/>
  <c r="AK95"/>
  <c r="AL95"/>
  <c r="AM95"/>
  <c r="AN95"/>
  <c r="AO95"/>
  <c r="AK104"/>
  <c r="AL104"/>
  <c r="AM104"/>
  <c r="AN104"/>
  <c r="AO104"/>
  <c r="AK77"/>
  <c r="AL77"/>
  <c r="AM77"/>
  <c r="AN77"/>
  <c r="AO77"/>
  <c r="AK100"/>
  <c r="AL100"/>
  <c r="AM100"/>
  <c r="AN100"/>
  <c r="AO100"/>
  <c r="AK118"/>
  <c r="AL118"/>
  <c r="AM118"/>
  <c r="AN118"/>
  <c r="AO118"/>
  <c r="AK90"/>
  <c r="AL90"/>
  <c r="AM90"/>
  <c r="AN90"/>
  <c r="AO90"/>
  <c r="AK208"/>
  <c r="AL208"/>
  <c r="AM208"/>
  <c r="AN208"/>
  <c r="AO208"/>
  <c r="AK153"/>
  <c r="AL153"/>
  <c r="AM153"/>
  <c r="AN153"/>
  <c r="AO153"/>
  <c r="AK81"/>
  <c r="AL81"/>
  <c r="AM81"/>
  <c r="AN81"/>
  <c r="AO81"/>
  <c r="AK188"/>
  <c r="AL188"/>
  <c r="AM188"/>
  <c r="AN188"/>
  <c r="AO188"/>
  <c r="AK48"/>
  <c r="AL48"/>
  <c r="AM48"/>
  <c r="AN48"/>
  <c r="AO48"/>
  <c r="AK162"/>
  <c r="AL162"/>
  <c r="AM162"/>
  <c r="AN162"/>
  <c r="AO162"/>
  <c r="AK99"/>
  <c r="AL99"/>
  <c r="AM99"/>
  <c r="AN99"/>
  <c r="AO99"/>
  <c r="AK89"/>
  <c r="AL89"/>
  <c r="AM89"/>
  <c r="AN89"/>
  <c r="AO89"/>
  <c r="AK57"/>
  <c r="AL57"/>
  <c r="AM57"/>
  <c r="AN57"/>
  <c r="AO57"/>
  <c r="AK113"/>
  <c r="AL113"/>
  <c r="AM113"/>
  <c r="AN113"/>
  <c r="AO113"/>
  <c r="AK36"/>
  <c r="AL36"/>
  <c r="AM36"/>
  <c r="AN36"/>
  <c r="AO36"/>
  <c r="AK41"/>
  <c r="AL41"/>
  <c r="AM41"/>
  <c r="AN41"/>
  <c r="AO41"/>
  <c r="AK96"/>
  <c r="AL96"/>
  <c r="AM96"/>
  <c r="AN96"/>
  <c r="AO96"/>
  <c r="AK150"/>
  <c r="AL150"/>
  <c r="AM150"/>
  <c r="AN150"/>
  <c r="AO150"/>
  <c r="AK145"/>
  <c r="AL145"/>
  <c r="AM145"/>
  <c r="AN145"/>
  <c r="AO145"/>
  <c r="AK198"/>
  <c r="AL198"/>
  <c r="AM198"/>
  <c r="AN198"/>
  <c r="AO198"/>
  <c r="AK32"/>
  <c r="AL32"/>
  <c r="AM32"/>
  <c r="AN32"/>
  <c r="AO32"/>
  <c r="AK93"/>
  <c r="AL93"/>
  <c r="AM93"/>
  <c r="AN93"/>
  <c r="AO93"/>
  <c r="AK189"/>
  <c r="AL189"/>
  <c r="AM189"/>
  <c r="AN189"/>
  <c r="AO189"/>
  <c r="AK148"/>
  <c r="AL148"/>
  <c r="AM148"/>
  <c r="AN148"/>
  <c r="AO148"/>
  <c r="AK94"/>
  <c r="AL94"/>
  <c r="AM94"/>
  <c r="AN94"/>
  <c r="AO94"/>
  <c r="AK129"/>
  <c r="AL129"/>
  <c r="AM129"/>
  <c r="AN129"/>
  <c r="AO129"/>
  <c r="AK103"/>
  <c r="AL103"/>
  <c r="AM103"/>
  <c r="AN103"/>
  <c r="AO103"/>
  <c r="AK109"/>
  <c r="AL109"/>
  <c r="AM109"/>
  <c r="AN109"/>
  <c r="AO109"/>
  <c r="AK139"/>
  <c r="AL139"/>
  <c r="AM139"/>
  <c r="AN139"/>
  <c r="AO139"/>
  <c r="AK174"/>
  <c r="AL174"/>
  <c r="AM174"/>
  <c r="AN174"/>
  <c r="AO174"/>
  <c r="AK143"/>
  <c r="AL143"/>
  <c r="AM143"/>
  <c r="AN143"/>
  <c r="AO143"/>
  <c r="AK140"/>
  <c r="AL140"/>
  <c r="AM140"/>
  <c r="AN140"/>
  <c r="AO140"/>
  <c r="AK196"/>
  <c r="AL196"/>
  <c r="AM196"/>
  <c r="AN196"/>
  <c r="AO196"/>
  <c r="AK133"/>
  <c r="AL133"/>
  <c r="AM133"/>
  <c r="AN133"/>
  <c r="AO133"/>
  <c r="AK63"/>
  <c r="AL63"/>
  <c r="AM63"/>
  <c r="AN63"/>
  <c r="AO63"/>
  <c r="AK152"/>
  <c r="AL152"/>
  <c r="AM152"/>
  <c r="AN152"/>
  <c r="AO152"/>
  <c r="AK141"/>
  <c r="AL141"/>
  <c r="AM141"/>
  <c r="AN141"/>
  <c r="AO141"/>
  <c r="AK54"/>
  <c r="AL54"/>
  <c r="AM54"/>
  <c r="AN54"/>
  <c r="AO54"/>
  <c r="AK124"/>
  <c r="AL124"/>
  <c r="AM124"/>
  <c r="AN124"/>
  <c r="AO124"/>
  <c r="AK181"/>
  <c r="AL181"/>
  <c r="AM181"/>
  <c r="AN181"/>
  <c r="AO181"/>
  <c r="AK86"/>
  <c r="AL86"/>
  <c r="AM86"/>
  <c r="AN86"/>
  <c r="AO86"/>
  <c r="AK75"/>
  <c r="AL75"/>
  <c r="AM75"/>
  <c r="AN75"/>
  <c r="AO75"/>
  <c r="AK87"/>
  <c r="AL87"/>
  <c r="AM87"/>
  <c r="AN87"/>
  <c r="AO87"/>
  <c r="AK112"/>
  <c r="AL112"/>
  <c r="AM112"/>
  <c r="AN112"/>
  <c r="AO112"/>
  <c r="AK91"/>
  <c r="AL91"/>
  <c r="AM91"/>
  <c r="AN91"/>
  <c r="AO91"/>
  <c r="AK138"/>
  <c r="AL138"/>
  <c r="AM138"/>
  <c r="AN138"/>
  <c r="AO138"/>
  <c r="AK119"/>
  <c r="AL119"/>
  <c r="AM119"/>
  <c r="AN119"/>
  <c r="AO119"/>
  <c r="AK102"/>
  <c r="AL102"/>
  <c r="AM102"/>
  <c r="AN102"/>
  <c r="AO102"/>
  <c r="AK88"/>
  <c r="AL88"/>
  <c r="AM88"/>
  <c r="AN88"/>
  <c r="AO88"/>
  <c r="AK157"/>
  <c r="AL157"/>
  <c r="AM157"/>
  <c r="AN157"/>
  <c r="AO157"/>
  <c r="AK163"/>
  <c r="AL163"/>
  <c r="AM163"/>
  <c r="AN163"/>
  <c r="AO163"/>
  <c r="AK239"/>
  <c r="AL239"/>
  <c r="AM239"/>
  <c r="AN239"/>
  <c r="AO239"/>
  <c r="AK254"/>
  <c r="AL254"/>
  <c r="AM254"/>
  <c r="AN254"/>
  <c r="AO254"/>
  <c r="AK241"/>
  <c r="AL241"/>
  <c r="AM241"/>
  <c r="AN241"/>
  <c r="AO241"/>
  <c r="AK50"/>
  <c r="AL50"/>
  <c r="AM50"/>
  <c r="AN50"/>
  <c r="AO50"/>
  <c r="AK197"/>
  <c r="AL197"/>
  <c r="AM197"/>
  <c r="AN197"/>
  <c r="AO197"/>
  <c r="AK218"/>
  <c r="AL218"/>
  <c r="AM218"/>
  <c r="AN218"/>
  <c r="AO218"/>
  <c r="AK246"/>
  <c r="AL246"/>
  <c r="AM246"/>
  <c r="AN246"/>
  <c r="AO246"/>
  <c r="AK280"/>
  <c r="AL280"/>
  <c r="AM280"/>
  <c r="AN280"/>
  <c r="AO280"/>
  <c r="AK253"/>
  <c r="AL253"/>
  <c r="AM253"/>
  <c r="AN253"/>
  <c r="AO253"/>
  <c r="AK213"/>
  <c r="AL213"/>
  <c r="AM213"/>
  <c r="AN213"/>
  <c r="AO213"/>
  <c r="AK225"/>
  <c r="AL225"/>
  <c r="AM225"/>
  <c r="AN225"/>
  <c r="AO225"/>
  <c r="AK222"/>
  <c r="AL222"/>
  <c r="AM222"/>
  <c r="AN222"/>
  <c r="AO222"/>
  <c r="AK231"/>
  <c r="AL231"/>
  <c r="AM231"/>
  <c r="AN231"/>
  <c r="AO231"/>
  <c r="AK265"/>
  <c r="AL265"/>
  <c r="AM265"/>
  <c r="AN265"/>
  <c r="AO265"/>
  <c r="AK206"/>
  <c r="AL206"/>
  <c r="AM206"/>
  <c r="AN206"/>
  <c r="AO206"/>
  <c r="AK219"/>
  <c r="AL219"/>
  <c r="AM219"/>
  <c r="AN219"/>
  <c r="AO219"/>
  <c r="AK269"/>
  <c r="AL269"/>
  <c r="AM269"/>
  <c r="AN269"/>
  <c r="AO269"/>
  <c r="AK251"/>
  <c r="AL251"/>
  <c r="AM251"/>
  <c r="AN251"/>
  <c r="AO251"/>
  <c r="AK283"/>
  <c r="AL283"/>
  <c r="AM283"/>
  <c r="AN283"/>
  <c r="AO283"/>
  <c r="AK275"/>
  <c r="AL275"/>
  <c r="AM275"/>
  <c r="AN275"/>
  <c r="AO275"/>
  <c r="AK209"/>
  <c r="AL209"/>
  <c r="AM209"/>
  <c r="AN209"/>
  <c r="AO209"/>
  <c r="AK259"/>
  <c r="AL259"/>
  <c r="AM259"/>
  <c r="AN259"/>
  <c r="AO259"/>
  <c r="AK263"/>
  <c r="AL263"/>
  <c r="AM263"/>
  <c r="AN263"/>
  <c r="AO263"/>
  <c r="AK252"/>
  <c r="AL252"/>
  <c r="AM252"/>
  <c r="AN252"/>
  <c r="AO252"/>
  <c r="AK244"/>
  <c r="AL244"/>
  <c r="AM244"/>
  <c r="AN244"/>
  <c r="AO244"/>
  <c r="AK233"/>
  <c r="AL233"/>
  <c r="AM233"/>
  <c r="AN233"/>
  <c r="AO233"/>
  <c r="AK164"/>
  <c r="AL164"/>
  <c r="AM164"/>
  <c r="AN164"/>
  <c r="AO164"/>
  <c r="AK273"/>
  <c r="AL273"/>
  <c r="AM273"/>
  <c r="AN273"/>
  <c r="AO273"/>
  <c r="AK183"/>
  <c r="AL183"/>
  <c r="AM183"/>
  <c r="AN183"/>
  <c r="AO183"/>
  <c r="AK276"/>
  <c r="AL276"/>
  <c r="AM276"/>
  <c r="AN276"/>
  <c r="AO276"/>
  <c r="AK279"/>
  <c r="AL279"/>
  <c r="AM279"/>
  <c r="AN279"/>
  <c r="AO279"/>
  <c r="AK203"/>
  <c r="AL203"/>
  <c r="AM203"/>
  <c r="AN203"/>
  <c r="AO203"/>
  <c r="AK249"/>
  <c r="AL249"/>
  <c r="AM249"/>
  <c r="AN249"/>
  <c r="AO249"/>
  <c r="AK235"/>
  <c r="AL235"/>
  <c r="AM235"/>
  <c r="AN235"/>
  <c r="AO235"/>
  <c r="AK232"/>
  <c r="AL232"/>
  <c r="AM232"/>
  <c r="AN232"/>
  <c r="AO232"/>
  <c r="AK268"/>
  <c r="AL268"/>
  <c r="AM268"/>
  <c r="AN268"/>
  <c r="AO268"/>
  <c r="AK230"/>
  <c r="AL230"/>
  <c r="AM230"/>
  <c r="AN230"/>
  <c r="AO230"/>
  <c r="AK284"/>
  <c r="AL284"/>
  <c r="AM284"/>
  <c r="AN284"/>
  <c r="AO284"/>
  <c r="AK237"/>
  <c r="AL237"/>
  <c r="AM237"/>
  <c r="AN237"/>
  <c r="AO237"/>
  <c r="AK262"/>
  <c r="AL262"/>
  <c r="AM262"/>
  <c r="AN262"/>
  <c r="AO262"/>
  <c r="AK173"/>
  <c r="AL173"/>
  <c r="AM173"/>
  <c r="AN173"/>
  <c r="AO173"/>
  <c r="AK227"/>
  <c r="AL227"/>
  <c r="AM227"/>
  <c r="AN227"/>
  <c r="AO227"/>
  <c r="AK281"/>
  <c r="AL281"/>
  <c r="AM281"/>
  <c r="AN281"/>
  <c r="AO281"/>
  <c r="AK221"/>
  <c r="AL221"/>
  <c r="AM221"/>
  <c r="AN221"/>
  <c r="AO221"/>
  <c r="AK195"/>
  <c r="AL195"/>
  <c r="AM195"/>
  <c r="AN195"/>
  <c r="AO195"/>
  <c r="AK155"/>
  <c r="AL155"/>
  <c r="AM155"/>
  <c r="AN155"/>
  <c r="AO155"/>
  <c r="AK247"/>
  <c r="AL247"/>
  <c r="AM247"/>
  <c r="AN247"/>
  <c r="AO247"/>
  <c r="AK255"/>
  <c r="AL255"/>
  <c r="AM255"/>
  <c r="AN255"/>
  <c r="AO255"/>
  <c r="AK282"/>
  <c r="AL282"/>
  <c r="AM282"/>
  <c r="AN282"/>
  <c r="AO282"/>
  <c r="AK256"/>
  <c r="AL256"/>
  <c r="AM256"/>
  <c r="AN256"/>
  <c r="AO256"/>
  <c r="AK260"/>
  <c r="AL260"/>
  <c r="AM260"/>
  <c r="AN260"/>
  <c r="AO260"/>
  <c r="AK236"/>
  <c r="AL236"/>
  <c r="AM236"/>
  <c r="AN236"/>
  <c r="AO236"/>
  <c r="AK216"/>
  <c r="AL216"/>
  <c r="AM216"/>
  <c r="AN216"/>
  <c r="AO216"/>
  <c r="AK278"/>
  <c r="AL278"/>
  <c r="AM278"/>
  <c r="AN278"/>
  <c r="AO278"/>
  <c r="AK200"/>
  <c r="AL200"/>
  <c r="AM200"/>
  <c r="AN200"/>
  <c r="AO200"/>
  <c r="AK248"/>
  <c r="AL248"/>
  <c r="AM248"/>
  <c r="AN248"/>
  <c r="AO248"/>
  <c r="AK266"/>
  <c r="AL266"/>
  <c r="AM266"/>
  <c r="AN266"/>
  <c r="AO266"/>
  <c r="AK234"/>
  <c r="AL234"/>
  <c r="AM234"/>
  <c r="AN234"/>
  <c r="AO234"/>
  <c r="AK271"/>
  <c r="AL271"/>
  <c r="AM271"/>
  <c r="AN271"/>
  <c r="AO271"/>
  <c r="AK245"/>
  <c r="AL245"/>
  <c r="AM245"/>
  <c r="AN245"/>
  <c r="AO245"/>
  <c r="AK210"/>
  <c r="AL210"/>
  <c r="AM210"/>
  <c r="AN210"/>
  <c r="AO210"/>
  <c r="AK286"/>
  <c r="AL286"/>
  <c r="AM286"/>
  <c r="AN286"/>
  <c r="AO286"/>
  <c r="AK154"/>
  <c r="AL154"/>
  <c r="AM154"/>
  <c r="AN154"/>
  <c r="AO154"/>
  <c r="AK211"/>
  <c r="AL211"/>
  <c r="AM211"/>
  <c r="AN211"/>
  <c r="AO211"/>
  <c r="AK272"/>
  <c r="AL272"/>
  <c r="AM272"/>
  <c r="AN272"/>
  <c r="AO272"/>
  <c r="AK229"/>
  <c r="AL229"/>
  <c r="AM229"/>
  <c r="AN229"/>
  <c r="AO229"/>
  <c r="AK214"/>
  <c r="AL214"/>
  <c r="AM214"/>
  <c r="AN214"/>
  <c r="AO214"/>
  <c r="AK185"/>
  <c r="AL185"/>
  <c r="AM185"/>
  <c r="AN185"/>
  <c r="AO185"/>
  <c r="AK274"/>
  <c r="AL274"/>
  <c r="AM274"/>
  <c r="AN274"/>
  <c r="AO274"/>
  <c r="AK226"/>
  <c r="AL226"/>
  <c r="AM226"/>
  <c r="AN226"/>
  <c r="AO226"/>
  <c r="AK223"/>
  <c r="AL223"/>
  <c r="AM223"/>
  <c r="AN223"/>
  <c r="AO223"/>
  <c r="AK240"/>
  <c r="AL240"/>
  <c r="AM240"/>
  <c r="AN240"/>
  <c r="AO240"/>
  <c r="AK257"/>
  <c r="AL257"/>
  <c r="AM257"/>
  <c r="AN257"/>
  <c r="AO257"/>
  <c r="AK224"/>
  <c r="AL224"/>
  <c r="AM224"/>
  <c r="AN224"/>
  <c r="AO224"/>
  <c r="AK161"/>
  <c r="AL161"/>
  <c r="AM161"/>
  <c r="AN161"/>
  <c r="AO161"/>
  <c r="AK277"/>
  <c r="AL277"/>
  <c r="AM277"/>
  <c r="AN277"/>
  <c r="AO277"/>
  <c r="AK270"/>
  <c r="AL270"/>
  <c r="AM270"/>
  <c r="AN270"/>
  <c r="AO270"/>
  <c r="AK205"/>
  <c r="AL205"/>
  <c r="AM205"/>
  <c r="AN205"/>
  <c r="AO205"/>
  <c r="AK169"/>
  <c r="AL169"/>
  <c r="AM169"/>
  <c r="AN169"/>
  <c r="AO169"/>
  <c r="AK207"/>
  <c r="AL207"/>
  <c r="AM207"/>
  <c r="AN207"/>
  <c r="AO207"/>
  <c r="AK170"/>
  <c r="AL170"/>
  <c r="AM170"/>
  <c r="AN170"/>
  <c r="AO170"/>
  <c r="AK264"/>
  <c r="AL264"/>
  <c r="AM264"/>
  <c r="AN264"/>
  <c r="AO264"/>
  <c r="AK201"/>
  <c r="AL201"/>
  <c r="AM201"/>
  <c r="AN201"/>
  <c r="AO201"/>
  <c r="AK217"/>
  <c r="AL217"/>
  <c r="AM217"/>
  <c r="AN217"/>
  <c r="AO217"/>
  <c r="AK202"/>
  <c r="AL202"/>
  <c r="AM202"/>
  <c r="AN202"/>
  <c r="AO202"/>
  <c r="AK243"/>
  <c r="AL243"/>
  <c r="AM243"/>
  <c r="AN243"/>
  <c r="AO243"/>
  <c r="AK289"/>
  <c r="AL289"/>
  <c r="AM289"/>
  <c r="AN289"/>
  <c r="AO289"/>
  <c r="AK238"/>
  <c r="AL238"/>
  <c r="AM238"/>
  <c r="AN238"/>
  <c r="AO238"/>
  <c r="AK261"/>
  <c r="AL261"/>
  <c r="AM261"/>
  <c r="AN261"/>
  <c r="AO261"/>
  <c r="AK288"/>
  <c r="AL288"/>
  <c r="AM288"/>
  <c r="AN288"/>
  <c r="AO288"/>
  <c r="AK267"/>
  <c r="AL267"/>
  <c r="AM267"/>
  <c r="AN267"/>
  <c r="AO267"/>
  <c r="AK285"/>
  <c r="AL285"/>
  <c r="AM285"/>
  <c r="AN285"/>
  <c r="AO285"/>
  <c r="AK220"/>
  <c r="AL220"/>
  <c r="AM220"/>
  <c r="AN220"/>
  <c r="AO220"/>
  <c r="AK228"/>
  <c r="AL228"/>
  <c r="AM228"/>
  <c r="AN228"/>
  <c r="AO228"/>
  <c r="AK242"/>
  <c r="AL242"/>
  <c r="AM242"/>
  <c r="AN242"/>
  <c r="AO242"/>
  <c r="AK250"/>
  <c r="AL250"/>
  <c r="AM250"/>
  <c r="AN250"/>
  <c r="AO250"/>
  <c r="AK287"/>
  <c r="AL287"/>
  <c r="AM287"/>
  <c r="AN287"/>
  <c r="AO287"/>
  <c r="AK92"/>
  <c r="AL92"/>
  <c r="AM92"/>
  <c r="AN92"/>
  <c r="AO92"/>
  <c r="AK258"/>
  <c r="AL258"/>
  <c r="AM258"/>
  <c r="AN258"/>
  <c r="AO258"/>
  <c r="AK212"/>
  <c r="AL212"/>
  <c r="AM212"/>
  <c r="AN212"/>
  <c r="AO212"/>
  <c r="AK199"/>
  <c r="AL199"/>
  <c r="AM199"/>
  <c r="AN199"/>
  <c r="AO199"/>
  <c r="AK194"/>
  <c r="AL194"/>
  <c r="AM194"/>
  <c r="AN194"/>
  <c r="AO194"/>
  <c r="AK290"/>
  <c r="AL290"/>
  <c r="AM290"/>
  <c r="AN290"/>
  <c r="AO290"/>
  <c r="AP127"/>
  <c r="AQ127"/>
  <c r="AP135"/>
  <c r="AQ135"/>
  <c r="AP131"/>
  <c r="AQ131"/>
  <c r="H2"/>
  <c r="AT3"/>
  <c r="AQ8"/>
  <c r="AQ192"/>
  <c r="AQ73"/>
  <c r="AQ25"/>
  <c r="AQ19"/>
  <c r="AQ15"/>
  <c r="AQ22"/>
  <c r="AQ6"/>
  <c r="AQ12"/>
  <c r="AQ5"/>
  <c r="AQ132"/>
  <c r="AQ9"/>
  <c r="AQ67"/>
  <c r="AQ58"/>
  <c r="AQ38"/>
  <c r="AQ26"/>
  <c r="AQ56"/>
  <c r="AQ59"/>
  <c r="AQ18"/>
  <c r="AQ37"/>
  <c r="AQ190"/>
  <c r="AQ35"/>
  <c r="AQ7"/>
  <c r="AQ142"/>
  <c r="AQ28"/>
  <c r="AQ42"/>
  <c r="AQ30"/>
  <c r="AQ27"/>
  <c r="AQ31"/>
  <c r="AQ10"/>
  <c r="AQ20"/>
  <c r="AQ66"/>
  <c r="AQ68"/>
  <c r="AQ84"/>
  <c r="AQ71"/>
  <c r="AQ49"/>
  <c r="AQ117"/>
  <c r="AQ149"/>
  <c r="AQ14"/>
  <c r="AQ21"/>
  <c r="AQ166"/>
  <c r="AQ178"/>
  <c r="AQ171"/>
  <c r="AQ23"/>
  <c r="AQ33"/>
  <c r="AQ72"/>
  <c r="AQ204"/>
  <c r="AQ153"/>
  <c r="AQ120"/>
  <c r="AQ282"/>
  <c r="AQ211"/>
  <c r="AQ260"/>
  <c r="AQ83"/>
  <c r="AQ47"/>
  <c r="AQ246"/>
  <c r="AQ95"/>
  <c r="AQ74"/>
  <c r="AQ114"/>
  <c r="AQ43"/>
  <c r="AQ55"/>
  <c r="AQ239"/>
  <c r="AQ46"/>
  <c r="AQ254"/>
  <c r="AQ273"/>
  <c r="AQ194"/>
  <c r="AQ76"/>
  <c r="AQ248"/>
  <c r="AQ40"/>
  <c r="AQ244"/>
  <c r="AQ288"/>
  <c r="AQ154"/>
  <c r="AQ263"/>
  <c r="AQ181"/>
  <c r="AQ62"/>
  <c r="AQ109"/>
  <c r="AQ51"/>
  <c r="AQ232"/>
  <c r="AQ203"/>
  <c r="AQ173"/>
  <c r="AQ191"/>
  <c r="AQ161"/>
  <c r="AQ61"/>
  <c r="AQ123"/>
  <c r="AQ219"/>
  <c r="AQ265"/>
  <c r="AQ89"/>
  <c r="AQ183"/>
  <c r="AQ169"/>
  <c r="AQ210"/>
  <c r="AQ220"/>
  <c r="AQ77"/>
  <c r="AQ139"/>
  <c r="AQ202"/>
  <c r="AQ138"/>
  <c r="AQ196"/>
  <c r="AQ106"/>
  <c r="AQ163"/>
  <c r="AQ75"/>
  <c r="AQ180"/>
  <c r="AQ124"/>
  <c r="AQ283"/>
  <c r="AQ184"/>
  <c r="AQ186"/>
  <c r="AQ174"/>
  <c r="AQ125"/>
  <c r="AQ274"/>
  <c r="AQ257"/>
  <c r="AQ286"/>
  <c r="AQ126"/>
  <c r="AQ110"/>
  <c r="AQ278"/>
  <c r="AQ281"/>
  <c r="AQ133"/>
  <c r="AQ215"/>
  <c r="AQ168"/>
  <c r="AQ145"/>
  <c r="AQ129"/>
  <c r="AQ201"/>
  <c r="AQ91"/>
  <c r="AQ54"/>
  <c r="AQ243"/>
  <c r="AQ97"/>
  <c r="AQ261"/>
  <c r="AQ147"/>
  <c r="AQ141"/>
  <c r="AQ241"/>
  <c r="AQ231"/>
  <c r="AQ271"/>
  <c r="AQ195"/>
  <c r="AQ17"/>
  <c r="AQ177"/>
  <c r="AQ227"/>
  <c r="AQ104"/>
  <c r="AQ205"/>
  <c r="AQ112"/>
  <c r="AQ262"/>
  <c r="AQ151"/>
  <c r="AQ228"/>
  <c r="AQ179"/>
  <c r="AQ247"/>
  <c r="AQ240"/>
  <c r="AQ102"/>
  <c r="AQ63"/>
  <c r="AQ230"/>
  <c r="AQ267"/>
  <c r="AQ82"/>
  <c r="AQ187"/>
  <c r="AQ279"/>
  <c r="AQ146"/>
  <c r="AQ93"/>
  <c r="AQ134"/>
  <c r="AQ188"/>
  <c r="AQ197"/>
  <c r="AQ150"/>
  <c r="AQ32"/>
  <c r="AQ266"/>
  <c r="AQ290"/>
  <c r="AQ272"/>
  <c r="AQ165"/>
  <c r="AQ34"/>
  <c r="AQ64"/>
  <c r="AQ285"/>
  <c r="AQ119"/>
  <c r="AQ24"/>
  <c r="AQ137"/>
  <c r="AQ229"/>
  <c r="AQ70"/>
  <c r="AQ103"/>
  <c r="AQ44"/>
  <c r="AQ226"/>
  <c r="AQ86"/>
  <c r="AQ162"/>
  <c r="AQ144"/>
  <c r="AQ158"/>
  <c r="AQ113"/>
  <c r="AQ155"/>
  <c r="AQ29"/>
  <c r="AQ233"/>
  <c r="AQ175"/>
  <c r="AQ176"/>
  <c r="AQ238"/>
  <c r="AQ130"/>
  <c r="AQ213"/>
  <c r="AQ234"/>
  <c r="AQ108"/>
  <c r="AQ277"/>
  <c r="AQ107"/>
  <c r="AQ221"/>
  <c r="AQ170"/>
  <c r="AQ200"/>
  <c r="AQ160"/>
  <c r="AQ275"/>
  <c r="AQ251"/>
  <c r="AQ250"/>
  <c r="AQ96"/>
  <c r="AQ209"/>
  <c r="AQ41"/>
  <c r="AQ264"/>
  <c r="AQ80"/>
  <c r="AQ237"/>
  <c r="AQ88"/>
  <c r="AQ79"/>
  <c r="AQ148"/>
  <c r="AQ193"/>
  <c r="AQ172"/>
  <c r="AQ252"/>
  <c r="AQ45"/>
  <c r="AQ52"/>
  <c r="AQ53"/>
  <c r="AQ65"/>
  <c r="AQ217"/>
  <c r="AQ268"/>
  <c r="AQ249"/>
  <c r="AQ256"/>
  <c r="AQ57"/>
  <c r="AQ48"/>
  <c r="AQ280"/>
  <c r="AQ156"/>
  <c r="AQ157"/>
  <c r="AQ214"/>
  <c r="AQ13"/>
  <c r="AQ99"/>
  <c r="AQ235"/>
  <c r="AQ11"/>
  <c r="AQ189"/>
  <c r="AQ115"/>
  <c r="AQ182"/>
  <c r="AQ289"/>
  <c r="AQ101"/>
  <c r="AQ118"/>
  <c r="AQ152"/>
  <c r="AQ207"/>
  <c r="AQ206"/>
  <c r="AQ81"/>
  <c r="AQ199"/>
  <c r="AQ143"/>
  <c r="AQ90"/>
  <c r="AQ269"/>
  <c r="AQ218"/>
  <c r="AQ98"/>
  <c r="AQ140"/>
  <c r="AQ224"/>
  <c r="AQ225"/>
  <c r="AQ122"/>
  <c r="AQ36"/>
  <c r="AQ164"/>
  <c r="AQ208"/>
  <c r="AQ128"/>
  <c r="AQ222"/>
  <c r="AQ121"/>
  <c r="AQ216"/>
  <c r="AQ258"/>
  <c r="AQ87"/>
  <c r="AQ105"/>
  <c r="AQ167"/>
  <c r="AQ255"/>
  <c r="AQ223"/>
  <c r="AQ92"/>
  <c r="AQ270"/>
  <c r="AQ242"/>
  <c r="AQ276"/>
  <c r="AQ284"/>
  <c r="AQ236"/>
  <c r="AQ111"/>
  <c r="AQ159"/>
  <c r="AQ60"/>
  <c r="AQ245"/>
  <c r="AQ100"/>
  <c r="AQ287"/>
  <c r="AQ116"/>
  <c r="AQ136"/>
  <c r="AQ69"/>
  <c r="AQ78"/>
  <c r="AQ85"/>
  <c r="AQ185"/>
  <c r="AQ198"/>
  <c r="AQ259"/>
  <c r="AQ212"/>
  <c r="AQ253"/>
  <c r="AQ94"/>
  <c r="AQ50"/>
  <c r="AQ16"/>
  <c r="AU187"/>
  <c r="AU20"/>
  <c r="AU26"/>
  <c r="AU192"/>
  <c r="AU38"/>
  <c r="AU30"/>
  <c r="AU73"/>
  <c r="AU16"/>
  <c r="AU22"/>
  <c r="AU18"/>
  <c r="AU67"/>
  <c r="AU14"/>
  <c r="AU5"/>
  <c r="AU68"/>
  <c r="AU6"/>
  <c r="AU8"/>
  <c r="AU72"/>
  <c r="AU19"/>
  <c r="AU15"/>
  <c r="AU142"/>
  <c r="AU56"/>
  <c r="AU31"/>
  <c r="AU9"/>
  <c r="AU71"/>
  <c r="AU190"/>
  <c r="AU59"/>
  <c r="AU42"/>
  <c r="AU246"/>
  <c r="AU132"/>
  <c r="AU66"/>
  <c r="AU156"/>
  <c r="AU37"/>
  <c r="AU58"/>
  <c r="AU83"/>
  <c r="AU117"/>
  <c r="AU43"/>
  <c r="AU266"/>
  <c r="AU218"/>
  <c r="AU7"/>
  <c r="AU149"/>
  <c r="AU32"/>
  <c r="AU21"/>
  <c r="AU199"/>
  <c r="AU118"/>
  <c r="AU62"/>
  <c r="AU85"/>
  <c r="AU76"/>
  <c r="AU140"/>
  <c r="AU176"/>
  <c r="AU247"/>
  <c r="AU107"/>
  <c r="AU263"/>
  <c r="AU242"/>
  <c r="AU84"/>
  <c r="AU57"/>
  <c r="AU223"/>
  <c r="AU249"/>
  <c r="AU155"/>
  <c r="AU166"/>
  <c r="AU252"/>
  <c r="AU284"/>
  <c r="AU224"/>
  <c r="AU24"/>
  <c r="AU285"/>
  <c r="AU238"/>
  <c r="AU121"/>
  <c r="AU200"/>
  <c r="AU245"/>
  <c r="AU250"/>
  <c r="AU116"/>
  <c r="AU233"/>
  <c r="AU87"/>
  <c r="AU112"/>
  <c r="AU209"/>
  <c r="AU229"/>
  <c r="AU28"/>
  <c r="AU168"/>
  <c r="AU51"/>
  <c r="AU77"/>
  <c r="AU100"/>
  <c r="AU79"/>
  <c r="AU287"/>
  <c r="AU227"/>
  <c r="AU274"/>
  <c r="AU204"/>
  <c r="AU273"/>
  <c r="AU17"/>
  <c r="AU184"/>
  <c r="AU81"/>
  <c r="AU230"/>
  <c r="AU120"/>
  <c r="AU109"/>
  <c r="AU151"/>
  <c r="AU163"/>
  <c r="AU123"/>
  <c r="AU216"/>
  <c r="AU88"/>
  <c r="AU280"/>
  <c r="AU69"/>
  <c r="AU160"/>
  <c r="AU215"/>
  <c r="AU146"/>
  <c r="AU271"/>
  <c r="AU286"/>
  <c r="AU98"/>
  <c r="AU180"/>
  <c r="AU90"/>
  <c r="AU268"/>
  <c r="AU97"/>
  <c r="AU158"/>
  <c r="AU281"/>
  <c r="AU29"/>
  <c r="AU264"/>
  <c r="AU64"/>
  <c r="AU248"/>
  <c r="AU63"/>
  <c r="AU137"/>
  <c r="AU34"/>
  <c r="AU278"/>
  <c r="AU177"/>
  <c r="AU94"/>
  <c r="AU226"/>
  <c r="AU241"/>
  <c r="AU243"/>
  <c r="AU128"/>
  <c r="AU164"/>
  <c r="AU61"/>
  <c r="AU48"/>
  <c r="AU265"/>
  <c r="AU261"/>
  <c r="AU231"/>
  <c r="AU50"/>
  <c r="AU80"/>
  <c r="AU46"/>
  <c r="AU78"/>
  <c r="AU92"/>
  <c r="AU99"/>
  <c r="AU130"/>
  <c r="AU219"/>
  <c r="AU228"/>
  <c r="AU119"/>
  <c r="AU150"/>
  <c r="AU217"/>
  <c r="AU210"/>
  <c r="AU181"/>
  <c r="AU139"/>
  <c r="AU86"/>
  <c r="AU171"/>
  <c r="AU195"/>
  <c r="AU136"/>
  <c r="AU110"/>
  <c r="AU141"/>
  <c r="AU194"/>
  <c r="AU220"/>
  <c r="AU258"/>
  <c r="AU115"/>
  <c r="AU45"/>
  <c r="AU95"/>
  <c r="AU49"/>
  <c r="AU257"/>
  <c r="AU153"/>
  <c r="AU214"/>
  <c r="AU148"/>
  <c r="AU40"/>
  <c r="AU144"/>
  <c r="AU255"/>
  <c r="AU254"/>
  <c r="AU13"/>
  <c r="AU267"/>
  <c r="AU240"/>
  <c r="AU197"/>
  <c r="AU225"/>
  <c r="AU232"/>
  <c r="AU65"/>
  <c r="AU211"/>
  <c r="AU138"/>
  <c r="AU189"/>
  <c r="AU207"/>
  <c r="AU106"/>
  <c r="AU183"/>
  <c r="AU111"/>
  <c r="AU52"/>
  <c r="AU124"/>
  <c r="AU191"/>
  <c r="AU186"/>
  <c r="AU182"/>
  <c r="AU147"/>
  <c r="AU201"/>
  <c r="AU91"/>
  <c r="AU173"/>
  <c r="AU44"/>
  <c r="AU122"/>
  <c r="AU193"/>
  <c r="AU23"/>
  <c r="AU143"/>
  <c r="AU96"/>
  <c r="AU55"/>
  <c r="AU288"/>
  <c r="AU276"/>
  <c r="AU129"/>
  <c r="AU114"/>
  <c r="AU36"/>
  <c r="AU213"/>
  <c r="AU208"/>
  <c r="AU165"/>
  <c r="AU259"/>
  <c r="AU47"/>
  <c r="AU222"/>
  <c r="AU104"/>
  <c r="AU185"/>
  <c r="AU167"/>
  <c r="AU260"/>
  <c r="AU169"/>
  <c r="AU108"/>
  <c r="AU162"/>
  <c r="AU188"/>
  <c r="AU74"/>
  <c r="AU277"/>
  <c r="AU41"/>
  <c r="AU289"/>
  <c r="AU269"/>
  <c r="AU212"/>
  <c r="AU206"/>
  <c r="AU172"/>
  <c r="AU102"/>
  <c r="AU282"/>
  <c r="AU125"/>
  <c r="AU235"/>
  <c r="AU101"/>
  <c r="AU251"/>
  <c r="AU272"/>
  <c r="AU253"/>
  <c r="AU202"/>
  <c r="AU244"/>
  <c r="AU290"/>
  <c r="AU283"/>
  <c r="AU145"/>
  <c r="AU133"/>
  <c r="AU27"/>
  <c r="AU33"/>
  <c r="AU154"/>
  <c r="AU237"/>
  <c r="AU113"/>
  <c r="AU174"/>
  <c r="AU89"/>
  <c r="AU93"/>
  <c r="AU279"/>
  <c r="AU103"/>
  <c r="AU82"/>
  <c r="AU152"/>
  <c r="AU70"/>
  <c r="AU198"/>
  <c r="AU203"/>
  <c r="AU196"/>
  <c r="AU256"/>
  <c r="AU159"/>
  <c r="AU161"/>
  <c r="AU53"/>
  <c r="AU221"/>
  <c r="AU11"/>
  <c r="AU262"/>
  <c r="AU105"/>
  <c r="AU75"/>
  <c r="AU205"/>
  <c r="AU239"/>
  <c r="AU126"/>
  <c r="AU10"/>
  <c r="AU234"/>
  <c r="AU178"/>
  <c r="AU134"/>
  <c r="AU179"/>
  <c r="AU236"/>
  <c r="AU170"/>
  <c r="AU275"/>
  <c r="AU270"/>
  <c r="AU54"/>
  <c r="AU60"/>
  <c r="AU175"/>
  <c r="AU157"/>
  <c r="AU12"/>
  <c r="AU25"/>
  <c r="AU35"/>
  <c r="AP60"/>
  <c r="AP270"/>
  <c r="AP236"/>
  <c r="AP10"/>
  <c r="AP75"/>
  <c r="AP11"/>
  <c r="AP159"/>
  <c r="AP203"/>
  <c r="AP82"/>
  <c r="AP89"/>
  <c r="AP154"/>
  <c r="AP234"/>
  <c r="AP205"/>
  <c r="AP221"/>
  <c r="AP256"/>
  <c r="AP198"/>
  <c r="AP103"/>
  <c r="AP113"/>
  <c r="AP124"/>
  <c r="AP25"/>
  <c r="AP133"/>
  <c r="AP244"/>
  <c r="AP251"/>
  <c r="AP206"/>
  <c r="AP188"/>
  <c r="AP260"/>
  <c r="AP104"/>
  <c r="AP259"/>
  <c r="AP36"/>
  <c r="AP288"/>
  <c r="AP23"/>
  <c r="AP173"/>
  <c r="AP182"/>
  <c r="AP33"/>
  <c r="AP145"/>
  <c r="AP272"/>
  <c r="AP101"/>
  <c r="AP125"/>
  <c r="AP102"/>
  <c r="AP212"/>
  <c r="AP41"/>
  <c r="AP162"/>
  <c r="AP167"/>
  <c r="AP165"/>
  <c r="AP114"/>
  <c r="AP55"/>
  <c r="AP193"/>
  <c r="AP91"/>
  <c r="AP175"/>
  <c r="AP170"/>
  <c r="AP178"/>
  <c r="AP239"/>
  <c r="AP262"/>
  <c r="AP161"/>
  <c r="AP196"/>
  <c r="AP70"/>
  <c r="AP279"/>
  <c r="AP174"/>
  <c r="AP237"/>
  <c r="AP157"/>
  <c r="AP54"/>
  <c r="AP275"/>
  <c r="AP179"/>
  <c r="AP134"/>
  <c r="AP126"/>
  <c r="AP105"/>
  <c r="AP53"/>
  <c r="AP152"/>
  <c r="AP93"/>
  <c r="AP39"/>
  <c r="AP283"/>
  <c r="AP202"/>
  <c r="AP282"/>
  <c r="AP269"/>
  <c r="AP277"/>
  <c r="AP108"/>
  <c r="AP185"/>
  <c r="AP222"/>
  <c r="AP208"/>
  <c r="AP129"/>
  <c r="AP96"/>
  <c r="AP122"/>
  <c r="AP201"/>
  <c r="AP27"/>
  <c r="AP290"/>
  <c r="AP253"/>
  <c r="AP235"/>
  <c r="AP172"/>
  <c r="AP289"/>
  <c r="AP74"/>
  <c r="AP169"/>
  <c r="AP47"/>
  <c r="AP213"/>
  <c r="AP276"/>
  <c r="AP143"/>
  <c r="AP44"/>
  <c r="AP147"/>
  <c r="AP12"/>
  <c r="AP35"/>
  <c r="AP191"/>
  <c r="AP52"/>
  <c r="AP183"/>
  <c r="AP207"/>
  <c r="AP138"/>
  <c r="AP65"/>
  <c r="AP225"/>
  <c r="AP240"/>
  <c r="AP254"/>
  <c r="AP144"/>
  <c r="AP148"/>
  <c r="AP111"/>
  <c r="AP189"/>
  <c r="AP232"/>
  <c r="AP267"/>
  <c r="AP255"/>
  <c r="AP214"/>
  <c r="AP257"/>
  <c r="AP95"/>
  <c r="AP115"/>
  <c r="AP220"/>
  <c r="AP141"/>
  <c r="AP136"/>
  <c r="AP171"/>
  <c r="AP139"/>
  <c r="AP210"/>
  <c r="AP150"/>
  <c r="AP228"/>
  <c r="AP130"/>
  <c r="AP92"/>
  <c r="AP46"/>
  <c r="AP50"/>
  <c r="AP261"/>
  <c r="AP48"/>
  <c r="AP164"/>
  <c r="AP243"/>
  <c r="AP226"/>
  <c r="AP177"/>
  <c r="AP34"/>
  <c r="AP63"/>
  <c r="AP64"/>
  <c r="AP29"/>
  <c r="AP158"/>
  <c r="AP268"/>
  <c r="AP180"/>
  <c r="AP286"/>
  <c r="AP146"/>
  <c r="AP160"/>
  <c r="AP88"/>
  <c r="AP123"/>
  <c r="AP151"/>
  <c r="AP120"/>
  <c r="AP81"/>
  <c r="AP17"/>
  <c r="AP204"/>
  <c r="AP274"/>
  <c r="AP79"/>
  <c r="AP77"/>
  <c r="AP168"/>
  <c r="AP229"/>
  <c r="AP112"/>
  <c r="AP233"/>
  <c r="AP250"/>
  <c r="AP200"/>
  <c r="AP238"/>
  <c r="AP24"/>
  <c r="AP284"/>
  <c r="AP166"/>
  <c r="AP249"/>
  <c r="AP57"/>
  <c r="AP242"/>
  <c r="AP107"/>
  <c r="AP176"/>
  <c r="AP76"/>
  <c r="AP62"/>
  <c r="AP199"/>
  <c r="AP32"/>
  <c r="AP7"/>
  <c r="AP266"/>
  <c r="AP117"/>
  <c r="AP58"/>
  <c r="AP156"/>
  <c r="AP132"/>
  <c r="AP42"/>
  <c r="AP190"/>
  <c r="AP9"/>
  <c r="AP56"/>
  <c r="AP15"/>
  <c r="AP72"/>
  <c r="AP6"/>
  <c r="AP5"/>
  <c r="AP67"/>
  <c r="AP22"/>
  <c r="AP73"/>
  <c r="AP38"/>
  <c r="AP26"/>
  <c r="AP186"/>
  <c r="AP211"/>
  <c r="AP13"/>
  <c r="AP153"/>
  <c r="AP45"/>
  <c r="AP194"/>
  <c r="AP195"/>
  <c r="AP181"/>
  <c r="AP119"/>
  <c r="AP99"/>
  <c r="AP80"/>
  <c r="AP265"/>
  <c r="AP128"/>
  <c r="AP94"/>
  <c r="AP137"/>
  <c r="AP264"/>
  <c r="AP97"/>
  <c r="AP98"/>
  <c r="AP215"/>
  <c r="AP280"/>
  <c r="AP163"/>
  <c r="AP230"/>
  <c r="AP273"/>
  <c r="AP227"/>
  <c r="AP100"/>
  <c r="AP28"/>
  <c r="AP87"/>
  <c r="AP245"/>
  <c r="AP285"/>
  <c r="AP252"/>
  <c r="AP223"/>
  <c r="AP263"/>
  <c r="AP140"/>
  <c r="AP118"/>
  <c r="AP149"/>
  <c r="AP43"/>
  <c r="AP37"/>
  <c r="AP246"/>
  <c r="AP71"/>
  <c r="AP142"/>
  <c r="AP8"/>
  <c r="AP14"/>
  <c r="AP16"/>
  <c r="AP192"/>
  <c r="AP106"/>
  <c r="AP40"/>
  <c r="AP258"/>
  <c r="AP86"/>
  <c r="AP219"/>
  <c r="AP231"/>
  <c r="AP241"/>
  <c r="AP248"/>
  <c r="AP90"/>
  <c r="AP69"/>
  <c r="AP109"/>
  <c r="AP51"/>
  <c r="AP116"/>
  <c r="AP224"/>
  <c r="AP84"/>
  <c r="AP85"/>
  <c r="AP218"/>
  <c r="AP66"/>
  <c r="AP31"/>
  <c r="AP68"/>
  <c r="AP30"/>
  <c r="AP59"/>
  <c r="AP18"/>
  <c r="AP197"/>
  <c r="AP110"/>
  <c r="AP78"/>
  <c r="AP278"/>
  <c r="AP271"/>
  <c r="AP184"/>
  <c r="AP209"/>
  <c r="AP155"/>
  <c r="AP21"/>
  <c r="AP19"/>
  <c r="AP217"/>
  <c r="AP281"/>
  <c r="AP287"/>
  <c r="AP247"/>
  <c r="AP20"/>
  <c r="AP49"/>
  <c r="AP216"/>
  <c r="AP83"/>
  <c r="AP187"/>
  <c r="AP121"/>
  <c r="AP61"/>
  <c r="AU39"/>
  <c r="AQ39"/>
  <c r="B111"/>
  <c r="AX111"/>
  <c r="AY111"/>
  <c r="B142"/>
  <c r="AX142"/>
  <c r="B209"/>
  <c r="AX209"/>
  <c r="B198"/>
  <c r="AY198"/>
  <c r="B255"/>
  <c r="AY255"/>
  <c r="B265"/>
  <c r="AW265"/>
  <c r="B278"/>
  <c r="AY278"/>
  <c r="B66"/>
  <c r="AW66"/>
  <c r="AY66"/>
  <c r="AX66"/>
  <c r="AX265"/>
  <c r="AX198"/>
  <c r="B55"/>
  <c r="AW55"/>
  <c r="B243"/>
  <c r="AX243"/>
  <c r="AY243"/>
  <c r="AX55"/>
  <c r="B223"/>
  <c r="AX223"/>
  <c r="AY142"/>
  <c r="AY55"/>
  <c r="AY223"/>
  <c r="AY209"/>
  <c r="AX255"/>
  <c r="AW243"/>
  <c r="AW278"/>
  <c r="AY265"/>
  <c r="AX278"/>
  <c r="AW223"/>
  <c r="AW111"/>
  <c r="AW209"/>
  <c r="AW198"/>
  <c r="AW255"/>
  <c r="AW142"/>
  <c r="B127"/>
  <c r="AW127"/>
  <c r="AX127"/>
  <c r="AY127"/>
  <c r="B204"/>
  <c r="AY204"/>
  <c r="AX204"/>
  <c r="AW204"/>
  <c r="B148"/>
  <c r="AW148"/>
  <c r="AX148"/>
  <c r="AY148"/>
  <c r="B269"/>
  <c r="AX269"/>
  <c r="AW269"/>
  <c r="AY269"/>
  <c r="B155"/>
  <c r="AW155"/>
  <c r="B252"/>
  <c r="AX252"/>
  <c r="AY252"/>
  <c r="AX155"/>
  <c r="B181"/>
  <c r="AX181"/>
  <c r="AY181"/>
  <c r="B57"/>
  <c r="AW57"/>
  <c r="AX57"/>
  <c r="AY57"/>
  <c r="AY155"/>
  <c r="AW181"/>
  <c r="B100"/>
  <c r="AX100"/>
  <c r="B76"/>
  <c r="AW76"/>
  <c r="B11"/>
  <c r="AX11"/>
  <c r="AY11"/>
  <c r="B154"/>
  <c r="AX154"/>
  <c r="B183"/>
  <c r="AX183"/>
  <c r="B78"/>
  <c r="AW78"/>
  <c r="AY78"/>
  <c r="AX78"/>
  <c r="B151"/>
  <c r="AX151"/>
  <c r="B44"/>
  <c r="AW44"/>
  <c r="AY44"/>
  <c r="B46"/>
  <c r="AW46"/>
  <c r="AY46"/>
  <c r="AX46"/>
  <c r="B277"/>
  <c r="AW277"/>
  <c r="AX277"/>
  <c r="AY277"/>
  <c r="B20"/>
  <c r="AW20"/>
  <c r="AY20"/>
  <c r="B233"/>
  <c r="AX233"/>
  <c r="AY233"/>
  <c r="B214"/>
  <c r="AY214"/>
  <c r="B244"/>
  <c r="AW244"/>
  <c r="AX244"/>
  <c r="AY244"/>
  <c r="B186"/>
  <c r="AX186"/>
  <c r="B81"/>
  <c r="AY81"/>
  <c r="B116"/>
  <c r="AX116"/>
  <c r="AY116"/>
  <c r="B272"/>
  <c r="AX272"/>
  <c r="AY272"/>
  <c r="B70"/>
  <c r="AW70"/>
  <c r="AX70"/>
  <c r="B200"/>
  <c r="AX200"/>
  <c r="AY200"/>
  <c r="B37"/>
  <c r="AX37"/>
  <c r="B74"/>
  <c r="AW74"/>
  <c r="B120"/>
  <c r="AW120"/>
  <c r="B257"/>
  <c r="AW257"/>
  <c r="B94"/>
  <c r="AW94"/>
  <c r="AY151"/>
  <c r="AY183"/>
  <c r="B82"/>
  <c r="AW82"/>
  <c r="AX257"/>
  <c r="AX120"/>
  <c r="B251"/>
  <c r="AY251"/>
  <c r="B230"/>
  <c r="AY230"/>
  <c r="B21"/>
  <c r="AX21"/>
  <c r="AX44"/>
  <c r="B226"/>
  <c r="AX226"/>
  <c r="B282"/>
  <c r="AY282"/>
  <c r="B178"/>
  <c r="AX178"/>
  <c r="AY257"/>
  <c r="AY120"/>
  <c r="B273"/>
  <c r="AX273"/>
  <c r="AY273"/>
  <c r="AY178"/>
  <c r="AY82"/>
  <c r="AX82"/>
  <c r="AY76"/>
  <c r="AY21"/>
  <c r="AY94"/>
  <c r="AX94"/>
  <c r="AX251"/>
  <c r="AX230"/>
  <c r="AX282"/>
  <c r="AW151"/>
  <c r="AW273"/>
  <c r="AY100"/>
  <c r="AY70"/>
  <c r="AY226"/>
  <c r="AW282"/>
  <c r="AW226"/>
  <c r="AW200"/>
  <c r="AW272"/>
  <c r="AW116"/>
  <c r="AW81"/>
  <c r="AW186"/>
  <c r="AW214"/>
  <c r="AY154"/>
  <c r="AY37"/>
  <c r="AX74"/>
  <c r="AW178"/>
  <c r="AY74"/>
  <c r="B22"/>
  <c r="AX22"/>
  <c r="AX20"/>
  <c r="AY186"/>
  <c r="B16"/>
  <c r="AY16"/>
  <c r="AY22"/>
  <c r="AX76"/>
  <c r="AX16"/>
  <c r="B31"/>
  <c r="AX31"/>
  <c r="AX214"/>
  <c r="AX81"/>
  <c r="AW233"/>
  <c r="AY31"/>
  <c r="AW100"/>
  <c r="AW21"/>
  <c r="AW31"/>
  <c r="AW37"/>
  <c r="AW22"/>
  <c r="AW11"/>
  <c r="AW183"/>
  <c r="AW154"/>
  <c r="AW252"/>
  <c r="AW251"/>
  <c r="AW230"/>
  <c r="AW16"/>
  <c r="B51"/>
  <c r="B126"/>
  <c r="B283"/>
  <c r="B232"/>
  <c r="B202"/>
  <c r="B234"/>
  <c r="B48"/>
  <c r="B207"/>
  <c r="B267"/>
  <c r="B114"/>
  <c r="B196"/>
  <c r="B268"/>
  <c r="B224"/>
  <c r="B69"/>
  <c r="B199"/>
  <c r="B262"/>
  <c r="B260"/>
  <c r="B213"/>
  <c r="B287"/>
  <c r="B97"/>
  <c r="B225"/>
  <c r="B104"/>
  <c r="B190"/>
  <c r="B228"/>
  <c r="B290"/>
  <c r="B179"/>
  <c r="B256"/>
  <c r="B264"/>
  <c r="B162"/>
  <c r="B160"/>
  <c r="B141"/>
  <c r="B99"/>
  <c r="B229"/>
  <c r="B135"/>
  <c r="B131"/>
  <c r="B56"/>
  <c r="B84"/>
  <c r="B79"/>
  <c r="B193"/>
  <c r="B130"/>
  <c r="B144"/>
  <c r="B146"/>
  <c r="B208"/>
  <c r="B153"/>
  <c r="B86"/>
  <c r="B163"/>
  <c r="B218"/>
  <c r="B280"/>
  <c r="B253"/>
  <c r="B222"/>
  <c r="B263"/>
  <c r="B249"/>
  <c r="B235"/>
  <c r="B284"/>
  <c r="B250"/>
  <c r="B96"/>
  <c r="B138"/>
  <c r="B50"/>
  <c r="B221"/>
  <c r="B197"/>
  <c r="B191"/>
  <c r="B117"/>
  <c r="B240"/>
  <c r="B261"/>
  <c r="B201"/>
  <c r="B236"/>
  <c r="B238"/>
  <c r="B132"/>
  <c r="B93"/>
  <c r="B205"/>
  <c r="B172"/>
  <c r="B286"/>
  <c r="B139"/>
  <c r="B220"/>
  <c r="B161"/>
  <c r="B28"/>
  <c r="B17"/>
  <c r="B212"/>
  <c r="B241"/>
  <c r="B152"/>
  <c r="B108"/>
  <c r="B170"/>
  <c r="B75"/>
  <c r="B72"/>
  <c r="B157"/>
  <c r="B175"/>
  <c r="B150"/>
  <c r="B266"/>
  <c r="B216"/>
  <c r="B171"/>
  <c r="B245"/>
  <c r="B195"/>
  <c r="B32"/>
  <c r="B124"/>
  <c r="B215"/>
  <c r="B217"/>
  <c r="B38"/>
  <c r="B115"/>
  <c r="B33"/>
  <c r="B61"/>
  <c r="B158"/>
  <c r="B184"/>
  <c r="B137"/>
  <c r="B167"/>
  <c r="B275"/>
  <c r="B52"/>
  <c r="B24"/>
  <c r="B13"/>
  <c r="B159"/>
  <c r="B85"/>
  <c r="B12"/>
  <c r="B25"/>
  <c r="B19"/>
  <c r="B59"/>
  <c r="B5"/>
  <c r="B128"/>
  <c r="B30"/>
  <c r="B14"/>
  <c r="B73"/>
  <c r="B43"/>
  <c r="B122"/>
  <c r="B176"/>
  <c r="B110"/>
  <c r="B133"/>
  <c r="B103"/>
  <c r="B34"/>
  <c r="B77"/>
  <c r="B62"/>
  <c r="B289"/>
  <c r="B29"/>
  <c r="B270"/>
  <c r="B101"/>
  <c r="B182"/>
  <c r="B281"/>
  <c r="B109"/>
  <c r="B98"/>
  <c r="B174"/>
  <c r="B121"/>
  <c r="B95"/>
  <c r="B65"/>
  <c r="B285"/>
  <c r="B258"/>
  <c r="B36"/>
  <c r="B54"/>
  <c r="B136"/>
  <c r="B173"/>
  <c r="B119"/>
  <c r="B90"/>
  <c r="B149"/>
  <c r="B113"/>
  <c r="B194"/>
  <c r="B107"/>
  <c r="B140"/>
  <c r="B242"/>
  <c r="B106"/>
  <c r="B102"/>
  <c r="B165"/>
  <c r="B276"/>
  <c r="B271"/>
  <c r="B88"/>
  <c r="B231"/>
  <c r="B118"/>
  <c r="B211"/>
  <c r="B53"/>
  <c r="B177"/>
  <c r="B8"/>
  <c r="B188"/>
  <c r="B45"/>
  <c r="B60"/>
  <c r="B105"/>
  <c r="B18"/>
  <c r="B49"/>
  <c r="B80"/>
  <c r="B9"/>
  <c r="B26"/>
  <c r="B15"/>
  <c r="B42"/>
  <c r="B10"/>
  <c r="B180"/>
  <c r="B279"/>
  <c r="B203"/>
  <c r="B64"/>
  <c r="B123"/>
  <c r="B27"/>
  <c r="B23"/>
  <c r="B112"/>
  <c r="B156"/>
  <c r="B68"/>
  <c r="B169"/>
  <c r="B134"/>
  <c r="B239"/>
  <c r="B206"/>
  <c r="B129"/>
  <c r="B254"/>
  <c r="B248"/>
  <c r="B288"/>
  <c r="B274"/>
  <c r="B166"/>
  <c r="B219"/>
  <c r="B227"/>
  <c r="B87"/>
  <c r="B246"/>
  <c r="B237"/>
  <c r="B145"/>
  <c r="B185"/>
  <c r="B40"/>
  <c r="B92"/>
  <c r="B164"/>
  <c r="B125"/>
  <c r="B41"/>
  <c r="B143"/>
  <c r="B91"/>
  <c r="B210"/>
  <c r="B63"/>
  <c r="B89"/>
  <c r="B247"/>
  <c r="B189"/>
  <c r="B47"/>
  <c r="B7"/>
  <c r="B259"/>
  <c r="B35"/>
  <c r="B168"/>
  <c r="B71"/>
  <c r="B6"/>
  <c r="B67"/>
  <c r="B83"/>
  <c r="B192"/>
  <c r="B187"/>
  <c r="B39"/>
  <c r="B58"/>
  <c r="B147"/>
  <c r="AW51"/>
  <c r="AX51"/>
  <c r="AY51"/>
  <c r="AY126"/>
  <c r="AX126"/>
  <c r="AW126"/>
  <c r="AW283"/>
  <c r="AY283"/>
  <c r="AX283"/>
  <c r="AY232"/>
  <c r="AX232"/>
  <c r="AW232"/>
  <c r="AX202"/>
  <c r="AX234"/>
  <c r="AW48"/>
  <c r="AW207"/>
  <c r="AX267"/>
  <c r="AX114"/>
  <c r="AX196"/>
  <c r="AX268"/>
  <c r="AY268"/>
  <c r="AW224"/>
  <c r="AY224"/>
  <c r="AX224"/>
  <c r="AW69"/>
  <c r="AY69"/>
  <c r="AX69"/>
  <c r="AW199"/>
  <c r="AX199"/>
  <c r="AW262"/>
  <c r="AX262"/>
  <c r="AX260"/>
  <c r="AX213"/>
  <c r="AY213"/>
  <c r="AX287"/>
  <c r="AY287"/>
  <c r="AY97"/>
  <c r="AX225"/>
  <c r="AY225"/>
  <c r="AW104"/>
  <c r="AX104"/>
  <c r="AX190"/>
  <c r="AW228"/>
  <c r="AX290"/>
  <c r="AW179"/>
  <c r="AX256"/>
  <c r="AW264"/>
  <c r="AW190"/>
  <c r="AY162"/>
  <c r="AW160"/>
  <c r="AY48"/>
  <c r="AY256"/>
  <c r="AY202"/>
  <c r="AY228"/>
  <c r="AX179"/>
  <c r="AY179"/>
  <c r="AY141"/>
  <c r="AY99"/>
  <c r="AY267"/>
  <c r="AW260"/>
  <c r="AX228"/>
  <c r="AY196"/>
  <c r="AY207"/>
  <c r="AW229"/>
  <c r="AX162"/>
  <c r="AY234"/>
  <c r="AX99"/>
  <c r="AX48"/>
  <c r="AY160"/>
  <c r="AX160"/>
  <c r="AY229"/>
  <c r="AX141"/>
  <c r="AY264"/>
  <c r="AX264"/>
  <c r="AY290"/>
  <c r="AY262"/>
  <c r="AY260"/>
  <c r="AW202"/>
  <c r="AW256"/>
  <c r="AW267"/>
  <c r="AW268"/>
  <c r="AX207"/>
  <c r="AX229"/>
  <c r="AW290"/>
  <c r="AW225"/>
  <c r="AX97"/>
  <c r="AW97"/>
  <c r="AW287"/>
  <c r="AW213"/>
  <c r="AY104"/>
  <c r="AY199"/>
  <c r="AY114"/>
  <c r="AY190"/>
  <c r="AW141"/>
  <c r="AW196"/>
  <c r="AW114"/>
  <c r="AW234"/>
  <c r="AW162"/>
  <c r="AW99"/>
  <c r="AX147"/>
  <c r="AY147"/>
  <c r="AW147"/>
  <c r="AW135"/>
  <c r="AX135"/>
  <c r="AY135"/>
  <c r="AW131"/>
  <c r="AX131"/>
  <c r="AY131"/>
  <c r="AX56"/>
  <c r="AY56"/>
  <c r="AW56"/>
  <c r="AX84"/>
  <c r="AY84"/>
  <c r="AW84"/>
  <c r="AW79"/>
  <c r="AX79"/>
  <c r="AY79"/>
  <c r="AY193"/>
  <c r="AX193"/>
  <c r="AW193"/>
  <c r="AW130"/>
  <c r="AY130"/>
  <c r="AX130"/>
  <c r="AY144"/>
  <c r="AX144"/>
  <c r="AW144"/>
  <c r="AX146"/>
  <c r="AW146"/>
  <c r="AY146"/>
  <c r="AW208"/>
  <c r="AX208"/>
  <c r="AY208"/>
  <c r="AY153"/>
  <c r="AX153"/>
  <c r="AW153"/>
  <c r="AX86"/>
  <c r="AY86"/>
  <c r="AW86"/>
  <c r="AX163"/>
  <c r="AY163"/>
  <c r="AW163"/>
  <c r="AY218"/>
  <c r="AW218"/>
  <c r="AX218"/>
  <c r="AX280"/>
  <c r="AY280"/>
  <c r="AW280"/>
  <c r="AW253"/>
  <c r="AY253"/>
  <c r="AX253"/>
  <c r="AY222"/>
  <c r="AX222"/>
  <c r="AW222"/>
  <c r="AY263"/>
  <c r="AX263"/>
  <c r="AW263"/>
  <c r="AX249"/>
  <c r="AY249"/>
  <c r="AW249"/>
  <c r="AW235"/>
  <c r="AY235"/>
  <c r="AX235"/>
  <c r="AX284"/>
  <c r="AW284"/>
  <c r="AY284"/>
  <c r="AY250"/>
  <c r="AY96"/>
  <c r="AY138"/>
  <c r="AX50"/>
  <c r="AX221"/>
  <c r="AX197"/>
  <c r="AW191"/>
  <c r="AX117"/>
  <c r="AY197"/>
  <c r="AY50"/>
  <c r="AY240"/>
  <c r="AX250"/>
  <c r="AX261"/>
  <c r="AW201"/>
  <c r="AW96"/>
  <c r="AY221"/>
  <c r="AY236"/>
  <c r="AW50"/>
  <c r="AY261"/>
  <c r="AX201"/>
  <c r="AX96"/>
  <c r="AX238"/>
  <c r="AY117"/>
  <c r="AY191"/>
  <c r="AY238"/>
  <c r="AX138"/>
  <c r="AX236"/>
  <c r="AY201"/>
  <c r="AW250"/>
  <c r="AW138"/>
  <c r="AW261"/>
  <c r="AX191"/>
  <c r="AX240"/>
  <c r="AW240"/>
  <c r="AX132"/>
  <c r="AY132"/>
  <c r="AX93"/>
  <c r="AW205"/>
  <c r="AX205"/>
  <c r="AX172"/>
  <c r="AX286"/>
  <c r="AY139"/>
  <c r="AX220"/>
  <c r="AX161"/>
  <c r="AY161"/>
  <c r="AW28"/>
  <c r="AX17"/>
  <c r="AW212"/>
  <c r="AY241"/>
  <c r="AY152"/>
  <c r="AW108"/>
  <c r="AW170"/>
  <c r="AX170"/>
  <c r="AW75"/>
  <c r="AY72"/>
  <c r="AY157"/>
  <c r="AX175"/>
  <c r="AY150"/>
  <c r="AX266"/>
  <c r="AW216"/>
  <c r="AW171"/>
  <c r="AW245"/>
  <c r="AW195"/>
  <c r="AW32"/>
  <c r="AX124"/>
  <c r="AW215"/>
  <c r="AW217"/>
  <c r="AX217"/>
  <c r="AW38"/>
  <c r="AW115"/>
  <c r="AW33"/>
  <c r="AW61"/>
  <c r="AW158"/>
  <c r="AX158"/>
  <c r="AW184"/>
  <c r="AW137"/>
  <c r="AX167"/>
  <c r="AX275"/>
  <c r="AW52"/>
  <c r="AW24"/>
  <c r="AX13"/>
  <c r="AY159"/>
  <c r="AX85"/>
  <c r="AX12"/>
  <c r="AY25"/>
  <c r="AX19"/>
  <c r="AY59"/>
  <c r="AY5"/>
  <c r="AX5"/>
  <c r="AX128"/>
  <c r="AY128"/>
  <c r="AX30"/>
  <c r="AY14"/>
  <c r="AX73"/>
  <c r="AY43"/>
  <c r="AY122"/>
  <c r="AX176"/>
  <c r="AY176"/>
  <c r="AY110"/>
  <c r="AX110"/>
  <c r="AX133"/>
  <c r="AX103"/>
  <c r="AY34"/>
  <c r="AX34"/>
  <c r="AY77"/>
  <c r="AX62"/>
  <c r="AY62"/>
  <c r="AW289"/>
  <c r="AX289"/>
  <c r="AY29"/>
  <c r="AX29"/>
  <c r="AX270"/>
  <c r="AX101"/>
  <c r="AY101"/>
  <c r="AX182"/>
  <c r="AY281"/>
  <c r="AX281"/>
  <c r="AY109"/>
  <c r="AX109"/>
  <c r="AW98"/>
  <c r="AX98"/>
  <c r="AW174"/>
  <c r="AX174"/>
  <c r="AW121"/>
  <c r="AX121"/>
  <c r="AY121"/>
  <c r="AX95"/>
  <c r="AY95"/>
  <c r="AW65"/>
  <c r="AY65"/>
  <c r="AX65"/>
  <c r="AW285"/>
  <c r="AY285"/>
  <c r="AW258"/>
  <c r="AY258"/>
  <c r="AX258"/>
  <c r="AW36"/>
  <c r="AX36"/>
  <c r="AY36"/>
  <c r="AW54"/>
  <c r="AX54"/>
  <c r="AY54"/>
  <c r="AW136"/>
  <c r="AY136"/>
  <c r="AX136"/>
  <c r="AW173"/>
  <c r="AY173"/>
  <c r="AX173"/>
  <c r="AW119"/>
  <c r="AY119"/>
  <c r="AX119"/>
  <c r="AX90"/>
  <c r="AY90"/>
  <c r="AW149"/>
  <c r="AY149"/>
  <c r="AX149"/>
  <c r="AX113"/>
  <c r="AY113"/>
  <c r="AX194"/>
  <c r="AW107"/>
  <c r="AY107"/>
  <c r="AX107"/>
  <c r="AY140"/>
  <c r="AY242"/>
  <c r="AY106"/>
  <c r="AX102"/>
  <c r="AY102"/>
  <c r="AW165"/>
  <c r="AY165"/>
  <c r="AX165"/>
  <c r="AX276"/>
  <c r="AY276"/>
  <c r="AY271"/>
  <c r="AX88"/>
  <c r="AY88"/>
  <c r="AX231"/>
  <c r="AY231"/>
  <c r="AX118"/>
  <c r="AY118"/>
  <c r="AX211"/>
  <c r="AY211"/>
  <c r="AW53"/>
  <c r="AX53"/>
  <c r="AW177"/>
  <c r="AY177"/>
  <c r="AY8"/>
  <c r="AX188"/>
  <c r="AW45"/>
  <c r="AY45"/>
  <c r="AX45"/>
  <c r="AW60"/>
  <c r="AX105"/>
  <c r="AX18"/>
  <c r="AY49"/>
  <c r="AX49"/>
  <c r="AX80"/>
  <c r="AX9"/>
  <c r="AX26"/>
  <c r="AX15"/>
  <c r="AX42"/>
  <c r="AY10"/>
  <c r="AW12"/>
  <c r="AW172"/>
  <c r="AW161"/>
  <c r="AW180"/>
  <c r="AX279"/>
  <c r="AW167"/>
  <c r="AX212"/>
  <c r="AX184"/>
  <c r="AW203"/>
  <c r="AX139"/>
  <c r="AW124"/>
  <c r="AW64"/>
  <c r="AX123"/>
  <c r="AW13"/>
  <c r="AW27"/>
  <c r="AY23"/>
  <c r="AX122"/>
  <c r="AW112"/>
  <c r="AX156"/>
  <c r="AW68"/>
  <c r="AX203"/>
  <c r="AW169"/>
  <c r="AX108"/>
  <c r="AX134"/>
  <c r="AX239"/>
  <c r="AY172"/>
  <c r="AW206"/>
  <c r="AX157"/>
  <c r="AX195"/>
  <c r="AX150"/>
  <c r="AY203"/>
  <c r="AX169"/>
  <c r="AY184"/>
  <c r="AY212"/>
  <c r="AY275"/>
  <c r="AW129"/>
  <c r="AX206"/>
  <c r="AY254"/>
  <c r="AY248"/>
  <c r="AX288"/>
  <c r="AX64"/>
  <c r="AX274"/>
  <c r="AX245"/>
  <c r="AY166"/>
  <c r="AY32"/>
  <c r="AX216"/>
  <c r="AX14"/>
  <c r="AX152"/>
  <c r="AW219"/>
  <c r="AY27"/>
  <c r="AX77"/>
  <c r="AY227"/>
  <c r="AY137"/>
  <c r="AY64"/>
  <c r="AY85"/>
  <c r="AX87"/>
  <c r="AY246"/>
  <c r="AX28"/>
  <c r="AX115"/>
  <c r="AY33"/>
  <c r="AX237"/>
  <c r="AX145"/>
  <c r="AX129"/>
  <c r="AX185"/>
  <c r="AY103"/>
  <c r="AY98"/>
  <c r="AY115"/>
  <c r="AX40"/>
  <c r="AX92"/>
  <c r="AX164"/>
  <c r="AY129"/>
  <c r="AW239"/>
  <c r="AY185"/>
  <c r="AX219"/>
  <c r="AX125"/>
  <c r="AX24"/>
  <c r="AY87"/>
  <c r="AX43"/>
  <c r="AX59"/>
  <c r="AX61"/>
  <c r="AY286"/>
  <c r="AY93"/>
  <c r="AX52"/>
  <c r="AW227"/>
  <c r="AX248"/>
  <c r="AY220"/>
  <c r="AW95"/>
  <c r="AY171"/>
  <c r="AY123"/>
  <c r="AY156"/>
  <c r="AX166"/>
  <c r="AX68"/>
  <c r="AY41"/>
  <c r="AW26"/>
  <c r="AY125"/>
  <c r="AX23"/>
  <c r="AY143"/>
  <c r="AX143"/>
  <c r="AX159"/>
  <c r="AY68"/>
  <c r="AY13"/>
  <c r="AY24"/>
  <c r="AY52"/>
  <c r="AY167"/>
  <c r="AX137"/>
  <c r="AY158"/>
  <c r="AY91"/>
  <c r="AY239"/>
  <c r="AY61"/>
  <c r="AX33"/>
  <c r="AY180"/>
  <c r="AX180"/>
  <c r="AX27"/>
  <c r="AX38"/>
  <c r="AY169"/>
  <c r="AX246"/>
  <c r="AY215"/>
  <c r="AX215"/>
  <c r="AX32"/>
  <c r="AY112"/>
  <c r="AY195"/>
  <c r="AX227"/>
  <c r="AY92"/>
  <c r="AX171"/>
  <c r="AY216"/>
  <c r="AY266"/>
  <c r="AY40"/>
  <c r="AY175"/>
  <c r="AY210"/>
  <c r="AX210"/>
  <c r="AY237"/>
  <c r="AY145"/>
  <c r="AX72"/>
  <c r="AY63"/>
  <c r="AX63"/>
  <c r="AY75"/>
  <c r="AY108"/>
  <c r="AY89"/>
  <c r="AX89"/>
  <c r="AY134"/>
  <c r="AX241"/>
  <c r="AY28"/>
  <c r="AX247"/>
  <c r="AW156"/>
  <c r="AY189"/>
  <c r="AY194"/>
  <c r="AY53"/>
  <c r="AY60"/>
  <c r="AY47"/>
  <c r="AY206"/>
  <c r="AW275"/>
  <c r="AY164"/>
  <c r="AY170"/>
  <c r="AW279"/>
  <c r="AW92"/>
  <c r="AY270"/>
  <c r="AW286"/>
  <c r="AY205"/>
  <c r="AW140"/>
  <c r="AX91"/>
  <c r="AY217"/>
  <c r="AW87"/>
  <c r="AW246"/>
  <c r="AW109"/>
  <c r="AW254"/>
  <c r="AW93"/>
  <c r="AW248"/>
  <c r="AY288"/>
  <c r="AX112"/>
  <c r="AY245"/>
  <c r="AX7"/>
  <c r="AX41"/>
  <c r="AY133"/>
  <c r="AY289"/>
  <c r="AW288"/>
  <c r="AW41"/>
  <c r="AW188"/>
  <c r="AW211"/>
  <c r="AW118"/>
  <c r="AW231"/>
  <c r="AW88"/>
  <c r="AW276"/>
  <c r="AW102"/>
  <c r="AX106"/>
  <c r="AW106"/>
  <c r="AX242"/>
  <c r="AW242"/>
  <c r="AW189"/>
  <c r="AX140"/>
  <c r="AW113"/>
  <c r="AX285"/>
  <c r="AY174"/>
  <c r="AW62"/>
  <c r="AX259"/>
  <c r="AW139"/>
  <c r="AX35"/>
  <c r="AX168"/>
  <c r="AY71"/>
  <c r="AY168"/>
  <c r="AX177"/>
  <c r="AY80"/>
  <c r="AY18"/>
  <c r="AY188"/>
  <c r="AX71"/>
  <c r="AY7"/>
  <c r="AW90"/>
  <c r="AX6"/>
  <c r="AY219"/>
  <c r="AX75"/>
  <c r="AY67"/>
  <c r="AY42"/>
  <c r="AX67"/>
  <c r="AX10"/>
  <c r="AX47"/>
  <c r="AX8"/>
  <c r="AX83"/>
  <c r="AW266"/>
  <c r="AX60"/>
  <c r="AY182"/>
  <c r="AY17"/>
  <c r="AX254"/>
  <c r="AW194"/>
  <c r="AX189"/>
  <c r="AW8"/>
  <c r="AX25"/>
  <c r="AW35"/>
  <c r="AY247"/>
  <c r="AX192"/>
  <c r="AX187"/>
  <c r="AY187"/>
  <c r="AW91"/>
  <c r="AW17"/>
  <c r="AY124"/>
  <c r="AW192"/>
  <c r="AY15"/>
  <c r="AY35"/>
  <c r="AY19"/>
  <c r="AY12"/>
  <c r="AY73"/>
  <c r="AY192"/>
  <c r="AX39"/>
  <c r="AY26"/>
  <c r="AY39"/>
  <c r="AW220"/>
  <c r="AX271"/>
  <c r="AW271"/>
  <c r="AY274"/>
  <c r="AY279"/>
  <c r="AY105"/>
  <c r="AY259"/>
  <c r="AY9"/>
  <c r="AY30"/>
  <c r="AY6"/>
  <c r="AY38"/>
  <c r="AY83"/>
  <c r="AW58"/>
  <c r="AX58"/>
  <c r="AY58"/>
  <c r="AW247"/>
  <c r="AW164"/>
  <c r="AW241"/>
  <c r="AW134"/>
  <c r="AW152"/>
  <c r="AW72"/>
  <c r="AW157"/>
  <c r="AW185"/>
  <c r="AW123"/>
  <c r="AW166"/>
  <c r="AW175"/>
  <c r="AW150"/>
  <c r="AW40"/>
  <c r="AW49"/>
  <c r="AW47"/>
  <c r="AW80"/>
  <c r="AW9"/>
  <c r="AW25"/>
  <c r="AW19"/>
  <c r="AW59"/>
  <c r="AW5"/>
  <c r="AW6"/>
  <c r="AW30"/>
  <c r="AW14"/>
  <c r="AW43"/>
  <c r="AW122"/>
  <c r="AW176"/>
  <c r="AW110"/>
  <c r="AW236"/>
  <c r="AW238"/>
  <c r="AW197"/>
  <c r="AW259"/>
  <c r="AW133"/>
  <c r="AW103"/>
  <c r="AW34"/>
  <c r="AW77"/>
  <c r="AW29"/>
  <c r="AW270"/>
  <c r="AW182"/>
  <c r="AW281"/>
  <c r="AW159"/>
  <c r="AW143"/>
  <c r="AW23"/>
  <c r="AW125"/>
  <c r="AW85"/>
  <c r="AW71"/>
  <c r="AW15"/>
  <c r="AW7"/>
  <c r="AW42"/>
  <c r="AW101"/>
  <c r="AW221"/>
  <c r="AW210"/>
  <c r="AW237"/>
  <c r="AW145"/>
  <c r="AW89"/>
  <c r="AW83"/>
  <c r="AW274"/>
  <c r="AW105"/>
  <c r="AW168"/>
  <c r="AW128"/>
  <c r="AW10"/>
  <c r="AW67"/>
  <c r="AW73"/>
  <c r="AW187"/>
  <c r="AW18"/>
  <c r="AW39"/>
  <c r="AW117"/>
  <c r="AW63"/>
  <c r="AW132"/>
  <c r="D3" i="9"/>
  <c r="C3"/>
  <c r="B3"/>
  <c r="D4"/>
  <c r="C4"/>
  <c r="B4"/>
  <c r="D5"/>
  <c r="C5"/>
  <c r="B5"/>
  <c r="D6"/>
  <c r="C6"/>
  <c r="B6"/>
  <c r="D7"/>
  <c r="C7"/>
  <c r="B7"/>
  <c r="D8"/>
  <c r="C8"/>
  <c r="B8"/>
  <c r="D9"/>
  <c r="C9"/>
  <c r="B9"/>
  <c r="D10"/>
  <c r="C10"/>
  <c r="B10"/>
  <c r="D11"/>
  <c r="C11"/>
  <c r="B11"/>
  <c r="D12"/>
  <c r="C12"/>
  <c r="B12"/>
  <c r="D13"/>
  <c r="C13"/>
  <c r="B13"/>
  <c r="D14"/>
  <c r="C14"/>
  <c r="B14"/>
  <c r="D15"/>
  <c r="C15"/>
  <c r="B15"/>
  <c r="D16"/>
  <c r="C16"/>
  <c r="B16"/>
  <c r="D17"/>
  <c r="C17"/>
  <c r="B17"/>
  <c r="D18"/>
  <c r="C18"/>
  <c r="B18"/>
  <c r="D19"/>
  <c r="C19"/>
  <c r="B19"/>
  <c r="D20"/>
  <c r="C20"/>
  <c r="B20"/>
  <c r="D21"/>
  <c r="C21"/>
  <c r="B21"/>
  <c r="D22"/>
  <c r="C22"/>
  <c r="B22"/>
  <c r="D23"/>
  <c r="C23"/>
  <c r="B23"/>
  <c r="D24"/>
  <c r="C24"/>
  <c r="B24"/>
  <c r="D25"/>
  <c r="C25"/>
  <c r="B25"/>
  <c r="D26"/>
  <c r="C26"/>
  <c r="B26"/>
  <c r="D27"/>
  <c r="C27"/>
  <c r="B27"/>
  <c r="D28"/>
  <c r="C28"/>
  <c r="B28"/>
  <c r="D29"/>
  <c r="C29"/>
  <c r="B29"/>
  <c r="D30"/>
  <c r="C30"/>
  <c r="B30"/>
  <c r="D31"/>
  <c r="C31"/>
  <c r="B31"/>
  <c r="D32"/>
  <c r="C32"/>
  <c r="B32"/>
  <c r="D33"/>
  <c r="C33"/>
  <c r="B33"/>
  <c r="D34"/>
  <c r="C34"/>
  <c r="B34"/>
  <c r="D35"/>
  <c r="C35"/>
  <c r="B35"/>
  <c r="D36"/>
  <c r="C36"/>
  <c r="B36"/>
  <c r="D37"/>
  <c r="C37"/>
  <c r="B37"/>
  <c r="D38"/>
  <c r="C38"/>
  <c r="B38"/>
  <c r="D39"/>
  <c r="C39"/>
  <c r="B39"/>
  <c r="D40"/>
  <c r="C40"/>
  <c r="B40"/>
  <c r="D41"/>
  <c r="C41"/>
  <c r="B41"/>
  <c r="D42"/>
  <c r="C42"/>
  <c r="B42"/>
  <c r="D43"/>
  <c r="C43"/>
  <c r="B43"/>
  <c r="D44"/>
  <c r="C44"/>
  <c r="B44"/>
  <c r="D45"/>
  <c r="C45"/>
  <c r="B45"/>
  <c r="D46"/>
  <c r="C46"/>
  <c r="B46"/>
  <c r="D47"/>
  <c r="C47"/>
  <c r="B47"/>
  <c r="D48"/>
  <c r="C48"/>
  <c r="B48"/>
  <c r="D49"/>
  <c r="C49"/>
  <c r="B49"/>
  <c r="D50"/>
  <c r="C50"/>
  <c r="B50"/>
  <c r="D51"/>
  <c r="C51"/>
  <c r="B51"/>
  <c r="D52"/>
  <c r="C52"/>
  <c r="B52"/>
  <c r="D53"/>
  <c r="C53"/>
  <c r="B53"/>
  <c r="D54"/>
  <c r="C54"/>
  <c r="B54"/>
  <c r="D55"/>
  <c r="C55"/>
  <c r="B55"/>
  <c r="D56"/>
  <c r="C56"/>
  <c r="B56"/>
  <c r="D57"/>
  <c r="C57"/>
  <c r="B57"/>
  <c r="D58"/>
  <c r="C58"/>
  <c r="B58"/>
  <c r="D59"/>
  <c r="C59"/>
  <c r="B59"/>
  <c r="D60"/>
  <c r="C60"/>
  <c r="B60"/>
  <c r="D61"/>
  <c r="C61"/>
  <c r="B61"/>
  <c r="D62"/>
  <c r="C62"/>
  <c r="B62"/>
  <c r="D63"/>
  <c r="C63"/>
  <c r="B63"/>
  <c r="D64"/>
  <c r="C64"/>
  <c r="B64"/>
  <c r="D65"/>
  <c r="C65"/>
  <c r="B65"/>
  <c r="D66"/>
  <c r="C66"/>
  <c r="B66"/>
  <c r="D67"/>
  <c r="C67"/>
  <c r="B67"/>
  <c r="D68"/>
  <c r="C68"/>
  <c r="B68"/>
  <c r="D69"/>
  <c r="C69"/>
  <c r="B69"/>
  <c r="D70"/>
  <c r="C70"/>
  <c r="B70"/>
  <c r="D71"/>
  <c r="C71"/>
  <c r="B71"/>
  <c r="D72"/>
  <c r="C72"/>
  <c r="B72"/>
  <c r="D73"/>
  <c r="C73"/>
  <c r="B73"/>
  <c r="D74"/>
  <c r="C74"/>
  <c r="B74"/>
  <c r="D75"/>
  <c r="C75"/>
  <c r="B75"/>
  <c r="D76"/>
  <c r="C76"/>
  <c r="B76"/>
  <c r="D77"/>
  <c r="C77"/>
  <c r="B77"/>
  <c r="D78"/>
  <c r="C78"/>
  <c r="B78"/>
  <c r="D79"/>
  <c r="C79"/>
  <c r="B79"/>
  <c r="D80"/>
  <c r="C80"/>
  <c r="B80"/>
  <c r="D81"/>
  <c r="C81"/>
  <c r="B81"/>
  <c r="D82"/>
  <c r="C82"/>
  <c r="B82"/>
  <c r="D83"/>
  <c r="C83"/>
  <c r="B83"/>
  <c r="D84"/>
  <c r="C84"/>
  <c r="B84"/>
  <c r="D85"/>
  <c r="C85"/>
  <c r="B85"/>
  <c r="D86"/>
  <c r="C86"/>
  <c r="B86"/>
  <c r="D87"/>
  <c r="C87"/>
  <c r="B87"/>
  <c r="D88"/>
  <c r="C88"/>
  <c r="B88"/>
  <c r="D89"/>
  <c r="C89"/>
  <c r="B89"/>
  <c r="D90"/>
  <c r="C90"/>
  <c r="B90"/>
  <c r="D91"/>
  <c r="C91"/>
  <c r="B91"/>
  <c r="D92"/>
  <c r="C92"/>
  <c r="B92"/>
  <c r="D93"/>
  <c r="C93"/>
  <c r="B93"/>
  <c r="D94"/>
  <c r="C94"/>
  <c r="B94"/>
  <c r="D95"/>
  <c r="C95"/>
  <c r="B95"/>
  <c r="D96"/>
  <c r="C96"/>
  <c r="B96"/>
  <c r="D97"/>
  <c r="C97"/>
  <c r="B97"/>
  <c r="D98"/>
  <c r="C98"/>
  <c r="B98"/>
  <c r="D99"/>
  <c r="C99"/>
  <c r="B99"/>
  <c r="D100"/>
  <c r="C100"/>
  <c r="B100"/>
  <c r="D2"/>
  <c r="C2"/>
  <c r="B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2"/>
  <c r="C20" i="8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AC3"/>
  <c r="AC1"/>
  <c r="R18"/>
  <c r="W18"/>
  <c r="R20"/>
  <c r="W20"/>
  <c r="R15"/>
  <c r="W15"/>
  <c r="R16"/>
  <c r="W16"/>
  <c r="R7"/>
  <c r="W7"/>
  <c r="R12"/>
  <c r="W12"/>
  <c r="R11"/>
  <c r="W11"/>
  <c r="R8"/>
  <c r="W8"/>
  <c r="R5"/>
  <c r="W5"/>
  <c r="R17"/>
  <c r="W17"/>
  <c r="R9"/>
  <c r="W9"/>
  <c r="R13"/>
  <c r="W13"/>
  <c r="R19"/>
  <c r="W19"/>
  <c r="R6"/>
  <c r="W6"/>
  <c r="R10"/>
  <c r="W10"/>
  <c r="R14"/>
  <c r="W14"/>
  <c r="E5"/>
  <c r="F5"/>
  <c r="X5"/>
  <c r="Z5"/>
  <c r="Y5"/>
  <c r="AA5"/>
  <c r="S6"/>
  <c r="V6"/>
  <c r="T6"/>
  <c r="E6"/>
  <c r="F6"/>
  <c r="X6"/>
  <c r="Z6"/>
  <c r="Y6"/>
  <c r="AA6"/>
  <c r="S9"/>
  <c r="V9"/>
  <c r="T9"/>
  <c r="E10"/>
  <c r="F10"/>
  <c r="Z10"/>
  <c r="X10"/>
  <c r="Y10"/>
  <c r="AA10"/>
  <c r="E8"/>
  <c r="F8"/>
  <c r="AA8"/>
  <c r="Y8"/>
  <c r="X8"/>
  <c r="Z8"/>
  <c r="E12"/>
  <c r="F12"/>
  <c r="AA12"/>
  <c r="Y12"/>
  <c r="X12"/>
  <c r="Z12"/>
  <c r="E17"/>
  <c r="F17"/>
  <c r="X17"/>
  <c r="Z17"/>
  <c r="Y17"/>
  <c r="AA17"/>
  <c r="E18"/>
  <c r="F18"/>
  <c r="X18"/>
  <c r="Z18"/>
  <c r="Y18"/>
  <c r="AA18"/>
  <c r="S5"/>
  <c r="V5"/>
  <c r="T5"/>
  <c r="S10"/>
  <c r="V10"/>
  <c r="T10"/>
  <c r="S17"/>
  <c r="V17"/>
  <c r="T17"/>
  <c r="S18"/>
  <c r="V18"/>
  <c r="T18"/>
  <c r="E7"/>
  <c r="F7"/>
  <c r="Y7"/>
  <c r="AA7"/>
  <c r="X7"/>
  <c r="Z7"/>
  <c r="E11"/>
  <c r="F11"/>
  <c r="Y11"/>
  <c r="AA11"/>
  <c r="X11"/>
  <c r="Z11"/>
  <c r="S19"/>
  <c r="V19"/>
  <c r="T19"/>
  <c r="S20"/>
  <c r="V20"/>
  <c r="T20"/>
  <c r="E13"/>
  <c r="F13"/>
  <c r="Y13"/>
  <c r="AA13"/>
  <c r="X13"/>
  <c r="Z13"/>
  <c r="E14"/>
  <c r="F14"/>
  <c r="Y14"/>
  <c r="AA14"/>
  <c r="X14"/>
  <c r="Z14"/>
  <c r="E15"/>
  <c r="F15"/>
  <c r="Y15"/>
  <c r="AA15"/>
  <c r="X15"/>
  <c r="Z15"/>
  <c r="E16"/>
  <c r="F16"/>
  <c r="Y16"/>
  <c r="AA16"/>
  <c r="X16"/>
  <c r="Z16"/>
  <c r="E19"/>
  <c r="F19"/>
  <c r="X19"/>
  <c r="Z19"/>
  <c r="Y19"/>
  <c r="AA19"/>
  <c r="E20"/>
  <c r="F20"/>
  <c r="X20"/>
  <c r="Z20"/>
  <c r="Y20"/>
  <c r="AA20"/>
  <c r="S14"/>
  <c r="T14"/>
  <c r="V14"/>
  <c r="S16"/>
  <c r="T16"/>
  <c r="V16"/>
  <c r="S15"/>
  <c r="T15"/>
  <c r="V15"/>
  <c r="E9"/>
  <c r="F9"/>
  <c r="AA9"/>
  <c r="Z9"/>
  <c r="Q6"/>
  <c r="Q8"/>
  <c r="Q12"/>
  <c r="Q18"/>
  <c r="Q16"/>
  <c r="Q20"/>
  <c r="Q7"/>
  <c r="Q11"/>
  <c r="Q15"/>
  <c r="S8"/>
  <c r="T8"/>
  <c r="X9"/>
  <c r="S7"/>
  <c r="T7"/>
  <c r="S11"/>
  <c r="T11"/>
  <c r="S13"/>
  <c r="T13"/>
  <c r="S12"/>
  <c r="T12"/>
  <c r="M20"/>
  <c r="I20"/>
  <c r="Q19"/>
  <c r="M19"/>
  <c r="I19"/>
  <c r="O16"/>
  <c r="M16"/>
  <c r="K16"/>
  <c r="I16"/>
  <c r="G16"/>
  <c r="O15"/>
  <c r="M15"/>
  <c r="K15"/>
  <c r="I15"/>
  <c r="G15"/>
  <c r="Q14"/>
  <c r="O14"/>
  <c r="M14"/>
  <c r="K14"/>
  <c r="I14"/>
  <c r="G14"/>
  <c r="Q13"/>
  <c r="O13"/>
  <c r="M13"/>
  <c r="K13"/>
  <c r="I13"/>
  <c r="G13"/>
  <c r="O20"/>
  <c r="K20"/>
  <c r="G20"/>
  <c r="O19"/>
  <c r="K19"/>
  <c r="G19"/>
  <c r="D20"/>
  <c r="H20"/>
  <c r="J20"/>
  <c r="L20"/>
  <c r="N20"/>
  <c r="P20"/>
  <c r="D19"/>
  <c r="H19"/>
  <c r="J19"/>
  <c r="L19"/>
  <c r="N19"/>
  <c r="P19"/>
  <c r="M18"/>
  <c r="I18"/>
  <c r="Q17"/>
  <c r="M17"/>
  <c r="I17"/>
  <c r="O12"/>
  <c r="M12"/>
  <c r="K12"/>
  <c r="I12"/>
  <c r="G12"/>
  <c r="O11"/>
  <c r="M11"/>
  <c r="K11"/>
  <c r="I11"/>
  <c r="G11"/>
  <c r="O8"/>
  <c r="M8"/>
  <c r="K8"/>
  <c r="I8"/>
  <c r="G8"/>
  <c r="O7"/>
  <c r="M7"/>
  <c r="K7"/>
  <c r="I7"/>
  <c r="G7"/>
  <c r="O18"/>
  <c r="K18"/>
  <c r="G18"/>
  <c r="O17"/>
  <c r="K17"/>
  <c r="G17"/>
  <c r="D18"/>
  <c r="H18"/>
  <c r="J18"/>
  <c r="L18"/>
  <c r="N18"/>
  <c r="P18"/>
  <c r="D17"/>
  <c r="H17"/>
  <c r="J17"/>
  <c r="L17"/>
  <c r="N17"/>
  <c r="P17"/>
  <c r="O10"/>
  <c r="K10"/>
  <c r="G10"/>
  <c r="D10"/>
  <c r="H10"/>
  <c r="J10"/>
  <c r="L10"/>
  <c r="N10"/>
  <c r="P10"/>
  <c r="M10"/>
  <c r="I10"/>
  <c r="O9"/>
  <c r="K9"/>
  <c r="G9"/>
  <c r="D9"/>
  <c r="Y9"/>
  <c r="H9"/>
  <c r="J9"/>
  <c r="L9"/>
  <c r="N9"/>
  <c r="P9"/>
  <c r="M6"/>
  <c r="I6"/>
  <c r="P5"/>
  <c r="N5"/>
  <c r="L5"/>
  <c r="J5"/>
  <c r="H5"/>
  <c r="D5"/>
  <c r="O6"/>
  <c r="K6"/>
  <c r="G6"/>
  <c r="Q5"/>
  <c r="O5"/>
  <c r="M5"/>
  <c r="K5"/>
  <c r="I5"/>
  <c r="G5"/>
  <c r="D6"/>
  <c r="H6"/>
  <c r="J6"/>
  <c r="L6"/>
  <c r="N6"/>
  <c r="P6"/>
  <c r="J15"/>
  <c r="N7"/>
  <c r="J7"/>
  <c r="D15"/>
  <c r="H15"/>
  <c r="L15"/>
  <c r="P15"/>
  <c r="J16"/>
  <c r="J14"/>
  <c r="N13"/>
  <c r="J13"/>
  <c r="N12"/>
  <c r="J12"/>
  <c r="N11"/>
  <c r="J11"/>
  <c r="I9"/>
  <c r="P8"/>
  <c r="L8"/>
  <c r="H8"/>
  <c r="D8"/>
  <c r="P7"/>
  <c r="L7"/>
  <c r="H7"/>
  <c r="D7"/>
  <c r="N8"/>
  <c r="J8"/>
  <c r="D16"/>
  <c r="H16"/>
  <c r="L16"/>
  <c r="P16"/>
  <c r="D14"/>
  <c r="H14"/>
  <c r="L14"/>
  <c r="P14"/>
  <c r="P13"/>
  <c r="H13"/>
  <c r="L13"/>
  <c r="D13"/>
  <c r="P12"/>
  <c r="H12"/>
  <c r="P11"/>
  <c r="H11"/>
  <c r="M9"/>
  <c r="L12"/>
  <c r="L11"/>
  <c r="D12"/>
  <c r="D11"/>
  <c r="N14"/>
  <c r="N16"/>
  <c r="N15"/>
  <c r="Q9"/>
  <c r="V8"/>
  <c r="V7"/>
  <c r="V13"/>
  <c r="V12"/>
  <c r="V11"/>
  <c r="Q10"/>
  <c r="B530" i="3"/>
  <c r="C530"/>
  <c r="B13"/>
  <c r="C13"/>
  <c r="B47"/>
  <c r="C47"/>
  <c r="B5"/>
  <c r="C5"/>
  <c r="B84"/>
  <c r="C84"/>
  <c r="B7"/>
  <c r="C7"/>
  <c r="B68"/>
  <c r="C68"/>
  <c r="B58"/>
  <c r="C58"/>
  <c r="B11"/>
  <c r="C11"/>
  <c r="B172"/>
  <c r="C172"/>
  <c r="B15"/>
  <c r="C15"/>
  <c r="B73"/>
  <c r="C73"/>
  <c r="B143"/>
  <c r="C143"/>
  <c r="B67"/>
  <c r="C67"/>
  <c r="B170"/>
  <c r="C170"/>
  <c r="B272"/>
  <c r="C272"/>
  <c r="B60"/>
  <c r="C60"/>
  <c r="B165"/>
  <c r="C165"/>
  <c r="B110"/>
  <c r="C110"/>
  <c r="B25"/>
  <c r="C25"/>
  <c r="B157"/>
  <c r="C157"/>
  <c r="B161"/>
  <c r="C161"/>
  <c r="B12"/>
  <c r="C12"/>
  <c r="B216"/>
  <c r="C216"/>
  <c r="B251"/>
  <c r="C251"/>
  <c r="B19"/>
  <c r="C19"/>
  <c r="B188"/>
  <c r="C188"/>
  <c r="B128"/>
  <c r="C128"/>
  <c r="B118"/>
  <c r="C118"/>
  <c r="B259"/>
  <c r="C259"/>
  <c r="B101"/>
  <c r="C101"/>
  <c r="B168"/>
  <c r="C168"/>
  <c r="B290"/>
  <c r="C290"/>
  <c r="B239"/>
  <c r="C239"/>
  <c r="B160"/>
  <c r="C160"/>
  <c r="B226"/>
  <c r="C226"/>
  <c r="B64"/>
  <c r="C64"/>
  <c r="B22"/>
  <c r="C22"/>
  <c r="B88"/>
  <c r="C88"/>
  <c r="B278"/>
  <c r="C278"/>
  <c r="B53"/>
  <c r="C53"/>
  <c r="B114"/>
  <c r="C114"/>
  <c r="B333"/>
  <c r="C333"/>
  <c r="B238"/>
  <c r="C238"/>
  <c r="B202"/>
  <c r="C202"/>
  <c r="B346"/>
  <c r="C346"/>
  <c r="B431"/>
  <c r="C431"/>
  <c r="B87"/>
  <c r="C87"/>
  <c r="B332"/>
  <c r="C332"/>
  <c r="B220"/>
  <c r="C220"/>
  <c r="B471"/>
  <c r="C471"/>
  <c r="B147"/>
  <c r="C147"/>
  <c r="B89"/>
  <c r="C89"/>
  <c r="B281"/>
  <c r="C281"/>
  <c r="B63"/>
  <c r="C63"/>
  <c r="B32"/>
  <c r="C32"/>
  <c r="B395"/>
  <c r="C395"/>
  <c r="B527"/>
  <c r="C527"/>
  <c r="B29"/>
  <c r="C29"/>
  <c r="B469"/>
  <c r="C469"/>
  <c r="B391"/>
  <c r="C391"/>
  <c r="B374"/>
  <c r="C374"/>
  <c r="B295"/>
  <c r="C295"/>
  <c r="B137"/>
  <c r="C137"/>
  <c r="B363"/>
  <c r="C363"/>
  <c r="B347"/>
  <c r="C347"/>
  <c r="B361"/>
  <c r="C361"/>
  <c r="B386"/>
  <c r="C386"/>
  <c r="B213"/>
  <c r="C213"/>
  <c r="B323"/>
  <c r="C323"/>
  <c r="B178"/>
  <c r="C178"/>
  <c r="B237"/>
  <c r="C237"/>
  <c r="B329"/>
  <c r="C329"/>
  <c r="B287"/>
  <c r="C287"/>
  <c r="B297"/>
  <c r="C297"/>
  <c r="B102"/>
  <c r="C102"/>
  <c r="B341"/>
  <c r="C341"/>
  <c r="B354"/>
  <c r="C354"/>
  <c r="B428"/>
  <c r="C428"/>
  <c r="B398"/>
  <c r="C398"/>
  <c r="B45"/>
  <c r="C45"/>
  <c r="B387"/>
  <c r="C387"/>
  <c r="B368"/>
  <c r="C368"/>
  <c r="B212"/>
  <c r="C212"/>
  <c r="B479"/>
  <c r="C479"/>
  <c r="B338"/>
  <c r="C338"/>
  <c r="B283"/>
  <c r="C283"/>
  <c r="B359"/>
  <c r="C359"/>
  <c r="B449"/>
  <c r="C449"/>
  <c r="B52"/>
  <c r="C52"/>
  <c r="B174"/>
  <c r="C174"/>
  <c r="B291"/>
  <c r="C291"/>
  <c r="B187"/>
  <c r="C187"/>
  <c r="B302"/>
  <c r="C302"/>
  <c r="B267"/>
  <c r="C267"/>
  <c r="B289"/>
  <c r="C289"/>
  <c r="B256"/>
  <c r="C256"/>
  <c r="B279"/>
  <c r="C279"/>
  <c r="B319"/>
  <c r="C319"/>
  <c r="B131"/>
  <c r="C131"/>
  <c r="B56"/>
  <c r="C56"/>
  <c r="B299"/>
  <c r="C299"/>
  <c r="B296"/>
  <c r="C296"/>
  <c r="B276"/>
  <c r="C276"/>
  <c r="B186"/>
  <c r="C186"/>
  <c r="B498"/>
  <c r="C498"/>
  <c r="B80"/>
  <c r="C80"/>
  <c r="B455"/>
  <c r="C455"/>
  <c r="B372"/>
  <c r="C372"/>
  <c r="B85"/>
  <c r="C85"/>
  <c r="B227"/>
  <c r="C227"/>
  <c r="B233"/>
  <c r="C233"/>
  <c r="B155"/>
  <c r="C155"/>
  <c r="B242"/>
  <c r="C242"/>
  <c r="B39"/>
  <c r="C39"/>
  <c r="B195"/>
  <c r="C195"/>
  <c r="B169"/>
  <c r="C169"/>
  <c r="B81"/>
  <c r="C81"/>
  <c r="B241"/>
  <c r="C241"/>
  <c r="B71"/>
  <c r="C71"/>
  <c r="B121"/>
  <c r="C121"/>
  <c r="B28"/>
  <c r="C28"/>
  <c r="B9"/>
  <c r="C9"/>
  <c r="B244"/>
  <c r="C244"/>
  <c r="B153"/>
  <c r="C153"/>
  <c r="B250"/>
  <c r="C250"/>
  <c r="B201"/>
  <c r="C201"/>
  <c r="B438"/>
  <c r="C438"/>
  <c r="B318"/>
  <c r="C318"/>
  <c r="B425"/>
  <c r="C425"/>
  <c r="B470"/>
  <c r="C470"/>
  <c r="B529"/>
  <c r="C529"/>
  <c r="B74"/>
  <c r="C74"/>
  <c r="B252"/>
  <c r="C252"/>
  <c r="B358"/>
  <c r="C358"/>
  <c r="B207"/>
  <c r="C207"/>
  <c r="B314"/>
  <c r="C314"/>
  <c r="B229"/>
  <c r="C229"/>
  <c r="B193"/>
  <c r="C193"/>
  <c r="B334"/>
  <c r="C334"/>
  <c r="B506"/>
  <c r="C506"/>
  <c r="B509"/>
  <c r="C509"/>
  <c r="B362"/>
  <c r="C362"/>
  <c r="B191"/>
  <c r="C191"/>
  <c r="B331"/>
  <c r="C331"/>
  <c r="B130"/>
  <c r="C130"/>
  <c r="B111"/>
  <c r="C111"/>
  <c r="B491"/>
  <c r="C491"/>
  <c r="B526"/>
  <c r="C526"/>
  <c r="B292"/>
  <c r="C292"/>
  <c r="B30"/>
  <c r="C30"/>
  <c r="B36"/>
  <c r="C36"/>
  <c r="B397"/>
  <c r="C397"/>
  <c r="B183"/>
  <c r="C183"/>
  <c r="B75"/>
  <c r="C75"/>
  <c r="B422"/>
  <c r="C422"/>
  <c r="B134"/>
  <c r="C134"/>
  <c r="B116"/>
  <c r="C116"/>
  <c r="B420"/>
  <c r="C420"/>
  <c r="B301"/>
  <c r="C301"/>
  <c r="B349"/>
  <c r="C349"/>
  <c r="B139"/>
  <c r="C139"/>
  <c r="B343"/>
  <c r="C343"/>
  <c r="B356"/>
  <c r="C356"/>
  <c r="B180"/>
  <c r="C180"/>
  <c r="B177"/>
  <c r="C177"/>
  <c r="B348"/>
  <c r="C348"/>
  <c r="B167"/>
  <c r="C167"/>
  <c r="B321"/>
  <c r="C321"/>
  <c r="B484"/>
  <c r="C484"/>
  <c r="B154"/>
  <c r="C154"/>
  <c r="B488"/>
  <c r="C488"/>
  <c r="B82"/>
  <c r="C82"/>
  <c r="B200"/>
  <c r="C200"/>
  <c r="B508"/>
  <c r="C508"/>
  <c r="B520"/>
  <c r="C520"/>
  <c r="B336"/>
  <c r="C336"/>
  <c r="B330"/>
  <c r="C330"/>
  <c r="B436"/>
  <c r="C436"/>
  <c r="B231"/>
  <c r="C231"/>
  <c r="B264"/>
  <c r="C264"/>
  <c r="B315"/>
  <c r="C315"/>
  <c r="B70"/>
  <c r="C70"/>
  <c r="B254"/>
  <c r="C254"/>
  <c r="B522"/>
  <c r="C522"/>
  <c r="B493"/>
  <c r="C493"/>
  <c r="B492"/>
  <c r="C492"/>
  <c r="B140"/>
  <c r="C140"/>
  <c r="B145"/>
  <c r="C145"/>
  <c r="B401"/>
  <c r="C401"/>
  <c r="B94"/>
  <c r="C94"/>
  <c r="B268"/>
  <c r="C268"/>
  <c r="B214"/>
  <c r="C214"/>
  <c r="B123"/>
  <c r="C123"/>
  <c r="B369"/>
  <c r="C369"/>
  <c r="B55"/>
  <c r="C55"/>
  <c r="B159"/>
  <c r="C159"/>
  <c r="B381"/>
  <c r="C381"/>
  <c r="B433"/>
  <c r="C433"/>
  <c r="B373"/>
  <c r="C373"/>
  <c r="B189"/>
  <c r="C189"/>
  <c r="B265"/>
  <c r="C265"/>
  <c r="B325"/>
  <c r="C325"/>
  <c r="B478"/>
  <c r="C478"/>
  <c r="B414"/>
  <c r="C414"/>
  <c r="B65"/>
  <c r="C65"/>
  <c r="B249"/>
  <c r="C249"/>
  <c r="B375"/>
  <c r="C375"/>
  <c r="B322"/>
  <c r="C322"/>
  <c r="B384"/>
  <c r="C384"/>
  <c r="B407"/>
  <c r="C407"/>
  <c r="B86"/>
  <c r="C86"/>
  <c r="B190"/>
  <c r="C190"/>
  <c r="B370"/>
  <c r="C370"/>
  <c r="B521"/>
  <c r="C521"/>
  <c r="B443"/>
  <c r="C443"/>
  <c r="B344"/>
  <c r="C344"/>
  <c r="B219"/>
  <c r="C219"/>
  <c r="B313"/>
  <c r="C313"/>
  <c r="B380"/>
  <c r="C380"/>
  <c r="B255"/>
  <c r="C255"/>
  <c r="B308"/>
  <c r="C308"/>
  <c r="B402"/>
  <c r="C402"/>
  <c r="B61"/>
  <c r="C61"/>
  <c r="B245"/>
  <c r="C245"/>
  <c r="B203"/>
  <c r="C203"/>
  <c r="B409"/>
  <c r="C409"/>
  <c r="B24"/>
  <c r="C24"/>
  <c r="B452"/>
  <c r="C452"/>
  <c r="B490"/>
  <c r="C490"/>
  <c r="B461"/>
  <c r="C461"/>
  <c r="B204"/>
  <c r="C204"/>
  <c r="B413"/>
  <c r="C413"/>
  <c r="B146"/>
  <c r="C146"/>
  <c r="B517"/>
  <c r="C517"/>
  <c r="B441"/>
  <c r="C441"/>
  <c r="B236"/>
  <c r="C236"/>
  <c r="B383"/>
  <c r="C383"/>
  <c r="B261"/>
  <c r="C261"/>
  <c r="B446"/>
  <c r="C446"/>
  <c r="B482"/>
  <c r="C482"/>
  <c r="B462"/>
  <c r="C462"/>
  <c r="B360"/>
  <c r="C360"/>
  <c r="B423"/>
  <c r="C423"/>
  <c r="B430"/>
  <c r="C430"/>
  <c r="B253"/>
  <c r="C253"/>
  <c r="B16"/>
  <c r="C16"/>
  <c r="B523"/>
  <c r="C523"/>
  <c r="B489"/>
  <c r="C489"/>
  <c r="B57"/>
  <c r="C57"/>
  <c r="B445"/>
  <c r="C445"/>
  <c r="B40"/>
  <c r="C40"/>
  <c r="B328"/>
  <c r="C328"/>
  <c r="B305"/>
  <c r="C305"/>
  <c r="B467"/>
  <c r="C467"/>
  <c r="B51"/>
  <c r="C51"/>
  <c r="B109"/>
  <c r="C109"/>
  <c r="B6"/>
  <c r="C6"/>
  <c r="B317"/>
  <c r="C317"/>
  <c r="B429"/>
  <c r="C429"/>
  <c r="B337"/>
  <c r="C337"/>
  <c r="B262"/>
  <c r="C262"/>
  <c r="B400"/>
  <c r="C400"/>
  <c r="B480"/>
  <c r="C480"/>
  <c r="B93"/>
  <c r="C93"/>
  <c r="B464"/>
  <c r="C464"/>
  <c r="B486"/>
  <c r="C486"/>
  <c r="B427"/>
  <c r="C427"/>
  <c r="B405"/>
  <c r="C405"/>
  <c r="B416"/>
  <c r="C416"/>
  <c r="B377"/>
  <c r="C377"/>
  <c r="B309"/>
  <c r="C309"/>
  <c r="B403"/>
  <c r="C403"/>
  <c r="B468"/>
  <c r="C468"/>
  <c r="B457"/>
  <c r="C457"/>
  <c r="B307"/>
  <c r="C307"/>
  <c r="B294"/>
  <c r="C294"/>
  <c r="B78"/>
  <c r="C78"/>
  <c r="B444"/>
  <c r="C444"/>
  <c r="B49"/>
  <c r="C49"/>
  <c r="B505"/>
  <c r="C505"/>
  <c r="B367"/>
  <c r="C367"/>
  <c r="B440"/>
  <c r="C440"/>
  <c r="B411"/>
  <c r="C411"/>
  <c r="B528"/>
  <c r="C528"/>
  <c r="B48"/>
  <c r="C48"/>
  <c r="B494"/>
  <c r="C494"/>
  <c r="B209"/>
  <c r="C209"/>
  <c r="B164"/>
  <c r="C164"/>
  <c r="B235"/>
  <c r="C235"/>
  <c r="B465"/>
  <c r="C465"/>
  <c r="B162"/>
  <c r="C162"/>
  <c r="B14"/>
  <c r="C14"/>
  <c r="B97"/>
  <c r="C97"/>
  <c r="B194"/>
  <c r="C194"/>
  <c r="B418"/>
  <c r="C418"/>
  <c r="B390"/>
  <c r="C390"/>
  <c r="B516"/>
  <c r="C516"/>
  <c r="B10"/>
  <c r="C10"/>
  <c r="B234"/>
  <c r="C234"/>
  <c r="B399"/>
  <c r="C399"/>
  <c r="B17"/>
  <c r="C17"/>
  <c r="B271"/>
  <c r="C271"/>
  <c r="B221"/>
  <c r="C221"/>
  <c r="B149"/>
  <c r="C149"/>
  <c r="B20"/>
  <c r="C20"/>
  <c r="B350"/>
  <c r="C350"/>
  <c r="B50"/>
  <c r="C50"/>
  <c r="B92"/>
  <c r="C92"/>
  <c r="B163"/>
  <c r="C163"/>
  <c r="B376"/>
  <c r="C376"/>
  <c r="B514"/>
  <c r="C514"/>
  <c r="B46"/>
  <c r="C46"/>
  <c r="B179"/>
  <c r="C179"/>
  <c r="B447"/>
  <c r="C447"/>
  <c r="B450"/>
  <c r="C450"/>
  <c r="B499"/>
  <c r="C499"/>
  <c r="B34"/>
  <c r="C34"/>
  <c r="B497"/>
  <c r="C497"/>
  <c r="B136"/>
  <c r="C136"/>
  <c r="B199"/>
  <c r="C199"/>
  <c r="B62"/>
  <c r="C62"/>
  <c r="B26"/>
  <c r="C26"/>
  <c r="B500"/>
  <c r="C500"/>
  <c r="B218"/>
  <c r="C218"/>
  <c r="B90"/>
  <c r="C90"/>
  <c r="B266"/>
  <c r="C266"/>
  <c r="B42"/>
  <c r="C42"/>
  <c r="B37"/>
  <c r="C37"/>
  <c r="B112"/>
  <c r="C112"/>
  <c r="B125"/>
  <c r="C125"/>
  <c r="B77"/>
  <c r="C77"/>
  <c r="B410"/>
  <c r="C410"/>
  <c r="B132"/>
  <c r="C132"/>
  <c r="B311"/>
  <c r="C311"/>
  <c r="B38"/>
  <c r="C38"/>
  <c r="B434"/>
  <c r="C434"/>
  <c r="B284"/>
  <c r="C284"/>
  <c r="B182"/>
  <c r="C182"/>
  <c r="B158"/>
  <c r="C158"/>
  <c r="B126"/>
  <c r="C126"/>
  <c r="B107"/>
  <c r="C107"/>
  <c r="B44"/>
  <c r="C44"/>
  <c r="B127"/>
  <c r="C127"/>
  <c r="B495"/>
  <c r="C495"/>
  <c r="B100"/>
  <c r="C100"/>
  <c r="B99"/>
  <c r="C99"/>
  <c r="B228"/>
  <c r="C228"/>
  <c r="B270"/>
  <c r="C270"/>
  <c r="B424"/>
  <c r="C424"/>
  <c r="B113"/>
  <c r="C113"/>
  <c r="B282"/>
  <c r="C282"/>
  <c r="B205"/>
  <c r="C205"/>
  <c r="B54"/>
  <c r="C54"/>
  <c r="B404"/>
  <c r="C404"/>
  <c r="B240"/>
  <c r="C240"/>
  <c r="B393"/>
  <c r="C393"/>
  <c r="B108"/>
  <c r="C108"/>
  <c r="B122"/>
  <c r="C122"/>
  <c r="B117"/>
  <c r="C117"/>
  <c r="B166"/>
  <c r="C166"/>
  <c r="B473"/>
  <c r="C473"/>
  <c r="B41"/>
  <c r="C41"/>
  <c r="B151"/>
  <c r="C151"/>
  <c r="B156"/>
  <c r="C156"/>
  <c r="B152"/>
  <c r="C152"/>
  <c r="B448"/>
  <c r="C448"/>
  <c r="B135"/>
  <c r="C135"/>
  <c r="B197"/>
  <c r="C197"/>
  <c r="B269"/>
  <c r="C269"/>
  <c r="B129"/>
  <c r="C129"/>
  <c r="B150"/>
  <c r="C150"/>
  <c r="B83"/>
  <c r="C83"/>
  <c r="B365"/>
  <c r="C365"/>
  <c r="B412"/>
  <c r="C412"/>
  <c r="B176"/>
  <c r="C176"/>
  <c r="B435"/>
  <c r="C435"/>
  <c r="B72"/>
  <c r="C72"/>
  <c r="B104"/>
  <c r="C104"/>
  <c r="B466"/>
  <c r="C466"/>
  <c r="B260"/>
  <c r="C260"/>
  <c r="B353"/>
  <c r="C353"/>
  <c r="B105"/>
  <c r="C105"/>
  <c r="B175"/>
  <c r="C175"/>
  <c r="B171"/>
  <c r="C171"/>
  <c r="B208"/>
  <c r="C208"/>
  <c r="B217"/>
  <c r="C217"/>
  <c r="B230"/>
  <c r="C230"/>
  <c r="B519"/>
  <c r="C519"/>
  <c r="B185"/>
  <c r="C185"/>
  <c r="B215"/>
  <c r="C215"/>
  <c r="B138"/>
  <c r="C138"/>
  <c r="B224"/>
  <c r="C224"/>
  <c r="B103"/>
  <c r="C103"/>
  <c r="B198"/>
  <c r="C198"/>
  <c r="B248"/>
  <c r="C248"/>
  <c r="B285"/>
  <c r="C285"/>
  <c r="B133"/>
  <c r="C133"/>
  <c r="B222"/>
  <c r="C222"/>
  <c r="B481"/>
  <c r="C481"/>
  <c r="B35"/>
  <c r="C35"/>
  <c r="B173"/>
  <c r="C173"/>
  <c r="B304"/>
  <c r="C304"/>
  <c r="B477"/>
  <c r="C477"/>
  <c r="B378"/>
  <c r="C378"/>
  <c r="B21"/>
  <c r="C21"/>
  <c r="B277"/>
  <c r="C277"/>
  <c r="B243"/>
  <c r="C243"/>
  <c r="B98"/>
  <c r="C98"/>
  <c r="B196"/>
  <c r="C196"/>
  <c r="B223"/>
  <c r="C223"/>
  <c r="B247"/>
  <c r="C247"/>
  <c r="B210"/>
  <c r="C210"/>
  <c r="B31"/>
  <c r="C31"/>
  <c r="B352"/>
  <c r="C352"/>
  <c r="B79"/>
  <c r="C79"/>
  <c r="B258"/>
  <c r="C258"/>
  <c r="B366"/>
  <c r="C366"/>
  <c r="B263"/>
  <c r="C263"/>
  <c r="B232"/>
  <c r="C232"/>
  <c r="B524"/>
  <c r="C524"/>
  <c r="B525"/>
  <c r="C525"/>
  <c r="B510"/>
  <c r="C510"/>
  <c r="B23"/>
  <c r="C23"/>
  <c r="B324"/>
  <c r="C324"/>
  <c r="B303"/>
  <c r="C303"/>
  <c r="B388"/>
  <c r="C388"/>
  <c r="B345"/>
  <c r="C345"/>
  <c r="B371"/>
  <c r="C371"/>
  <c r="B327"/>
  <c r="C327"/>
  <c r="B515"/>
  <c r="C515"/>
  <c r="B298"/>
  <c r="C298"/>
  <c r="B316"/>
  <c r="C316"/>
  <c r="B184"/>
  <c r="C184"/>
  <c r="B300"/>
  <c r="C300"/>
  <c r="B335"/>
  <c r="C335"/>
  <c r="B326"/>
  <c r="C326"/>
  <c r="B288"/>
  <c r="C288"/>
  <c r="B408"/>
  <c r="C408"/>
  <c r="B120"/>
  <c r="C120"/>
  <c r="B389"/>
  <c r="C389"/>
  <c r="B148"/>
  <c r="C148"/>
  <c r="B432"/>
  <c r="C432"/>
  <c r="B340"/>
  <c r="C340"/>
  <c r="B385"/>
  <c r="C385"/>
  <c r="B379"/>
  <c r="C379"/>
  <c r="B483"/>
  <c r="C483"/>
  <c r="B394"/>
  <c r="C394"/>
  <c r="B124"/>
  <c r="C124"/>
  <c r="B364"/>
  <c r="C364"/>
  <c r="B419"/>
  <c r="C419"/>
  <c r="B144"/>
  <c r="C144"/>
  <c r="B406"/>
  <c r="C406"/>
  <c r="B382"/>
  <c r="C382"/>
  <c r="B421"/>
  <c r="C421"/>
  <c r="B211"/>
  <c r="C211"/>
  <c r="B392"/>
  <c r="C392"/>
  <c r="B472"/>
  <c r="C472"/>
  <c r="B451"/>
  <c r="C451"/>
  <c r="B306"/>
  <c r="C306"/>
  <c r="B501"/>
  <c r="C501"/>
  <c r="B417"/>
  <c r="C417"/>
  <c r="B504"/>
  <c r="C504"/>
  <c r="B453"/>
  <c r="C453"/>
  <c r="B415"/>
  <c r="C415"/>
  <c r="B339"/>
  <c r="C339"/>
  <c r="B257"/>
  <c r="C257"/>
  <c r="B503"/>
  <c r="C503"/>
  <c r="B456"/>
  <c r="C456"/>
  <c r="B342"/>
  <c r="C342"/>
  <c r="B274"/>
  <c r="C274"/>
  <c r="B351"/>
  <c r="C351"/>
  <c r="B142"/>
  <c r="C142"/>
  <c r="B475"/>
  <c r="C475"/>
  <c r="B91"/>
  <c r="C91"/>
  <c r="B458"/>
  <c r="C458"/>
  <c r="B476"/>
  <c r="C476"/>
  <c r="B106"/>
  <c r="C106"/>
  <c r="B426"/>
  <c r="C426"/>
  <c r="B96"/>
  <c r="C96"/>
  <c r="B275"/>
  <c r="C275"/>
  <c r="B513"/>
  <c r="C513"/>
  <c r="B507"/>
  <c r="C507"/>
  <c r="B192"/>
  <c r="C192"/>
  <c r="B442"/>
  <c r="C442"/>
  <c r="B293"/>
  <c r="C293"/>
  <c r="B474"/>
  <c r="C474"/>
  <c r="B459"/>
  <c r="C459"/>
  <c r="B8"/>
  <c r="C8"/>
  <c r="B496"/>
  <c r="C496"/>
  <c r="B76"/>
  <c r="C76"/>
  <c r="B512"/>
  <c r="C512"/>
  <c r="B59"/>
  <c r="C59"/>
  <c r="B511"/>
  <c r="C511"/>
  <c r="B502"/>
  <c r="C502"/>
  <c r="B518"/>
  <c r="C518"/>
  <c r="B206"/>
  <c r="C206"/>
  <c r="B437"/>
  <c r="C437"/>
  <c r="B439"/>
  <c r="C439"/>
  <c r="B246"/>
  <c r="C246"/>
  <c r="B18"/>
  <c r="C18"/>
  <c r="B43"/>
  <c r="C43"/>
  <c r="B487"/>
  <c r="C487"/>
  <c r="B396"/>
  <c r="C396"/>
  <c r="B485"/>
  <c r="C485"/>
  <c r="B95"/>
  <c r="C95"/>
  <c r="B463"/>
  <c r="C463"/>
  <c r="B225"/>
  <c r="C225"/>
  <c r="B320"/>
  <c r="C320"/>
  <c r="B33"/>
  <c r="C33"/>
  <c r="B119"/>
  <c r="C119"/>
  <c r="B280"/>
  <c r="C280"/>
  <c r="B460"/>
  <c r="C460"/>
  <c r="B286"/>
  <c r="C286"/>
  <c r="B355"/>
  <c r="C355"/>
  <c r="B273"/>
  <c r="C273"/>
  <c r="B115"/>
  <c r="C115"/>
  <c r="B357"/>
  <c r="C357"/>
  <c r="B312"/>
  <c r="C312"/>
  <c r="B310"/>
  <c r="C310"/>
  <c r="B141"/>
  <c r="C141"/>
  <c r="B69"/>
  <c r="C69"/>
  <c r="B454"/>
  <c r="C454"/>
  <c r="B27"/>
  <c r="C27"/>
  <c r="B181"/>
  <c r="C181"/>
  <c r="C66"/>
  <c r="B66"/>
  <c r="F66"/>
  <c r="G27"/>
  <c r="G141"/>
  <c r="G115"/>
  <c r="S95"/>
  <c r="T95"/>
  <c r="I273"/>
  <c r="M273"/>
  <c r="G273"/>
  <c r="K273"/>
  <c r="I286"/>
  <c r="M286"/>
  <c r="S286"/>
  <c r="T286"/>
  <c r="G286"/>
  <c r="K286"/>
  <c r="O286"/>
  <c r="G119"/>
  <c r="K119"/>
  <c r="O119"/>
  <c r="I119"/>
  <c r="M119"/>
  <c r="S119"/>
  <c r="T119"/>
  <c r="G225"/>
  <c r="K225"/>
  <c r="O225"/>
  <c r="I225"/>
  <c r="M225"/>
  <c r="S225"/>
  <c r="T225"/>
  <c r="G168"/>
  <c r="I168"/>
  <c r="K168"/>
  <c r="M168"/>
  <c r="O168"/>
  <c r="S168"/>
  <c r="T168"/>
  <c r="F168"/>
  <c r="H168"/>
  <c r="J168"/>
  <c r="L168"/>
  <c r="N168"/>
  <c r="P168"/>
  <c r="G101"/>
  <c r="I101"/>
  <c r="K101"/>
  <c r="M101"/>
  <c r="O101"/>
  <c r="S101"/>
  <c r="T101"/>
  <c r="F101"/>
  <c r="H101"/>
  <c r="J101"/>
  <c r="L101"/>
  <c r="N101"/>
  <c r="P101"/>
  <c r="G259"/>
  <c r="I259"/>
  <c r="K259"/>
  <c r="M259"/>
  <c r="O259"/>
  <c r="S259"/>
  <c r="T259"/>
  <c r="F259"/>
  <c r="H259"/>
  <c r="J259"/>
  <c r="L259"/>
  <c r="N259"/>
  <c r="P259"/>
  <c r="G118"/>
  <c r="I118"/>
  <c r="K118"/>
  <c r="M118"/>
  <c r="O118"/>
  <c r="S118"/>
  <c r="T118"/>
  <c r="F118"/>
  <c r="H118"/>
  <c r="J118"/>
  <c r="L118"/>
  <c r="N118"/>
  <c r="P118"/>
  <c r="G128"/>
  <c r="I128"/>
  <c r="K128"/>
  <c r="M128"/>
  <c r="O128"/>
  <c r="S128"/>
  <c r="T128"/>
  <c r="F128"/>
  <c r="H128"/>
  <c r="J128"/>
  <c r="L128"/>
  <c r="N128"/>
  <c r="P128"/>
  <c r="G19"/>
  <c r="I19"/>
  <c r="K19"/>
  <c r="M19"/>
  <c r="O19"/>
  <c r="S19"/>
  <c r="T19"/>
  <c r="F19"/>
  <c r="H19"/>
  <c r="J19"/>
  <c r="L19"/>
  <c r="N19"/>
  <c r="P19"/>
  <c r="G251"/>
  <c r="I251"/>
  <c r="K251"/>
  <c r="M251"/>
  <c r="O251"/>
  <c r="S251"/>
  <c r="T251"/>
  <c r="F251"/>
  <c r="H251"/>
  <c r="J251"/>
  <c r="L251"/>
  <c r="N251"/>
  <c r="P251"/>
  <c r="G12"/>
  <c r="I12"/>
  <c r="K12"/>
  <c r="M12"/>
  <c r="O12"/>
  <c r="S12"/>
  <c r="T12"/>
  <c r="F12"/>
  <c r="H12"/>
  <c r="J12"/>
  <c r="L12"/>
  <c r="N12"/>
  <c r="P12"/>
  <c r="G161"/>
  <c r="I161"/>
  <c r="K161"/>
  <c r="M161"/>
  <c r="O161"/>
  <c r="S161"/>
  <c r="T161"/>
  <c r="F161"/>
  <c r="H161"/>
  <c r="J161"/>
  <c r="L161"/>
  <c r="N161"/>
  <c r="P161"/>
  <c r="G157"/>
  <c r="I157"/>
  <c r="K157"/>
  <c r="M157"/>
  <c r="O157"/>
  <c r="S157"/>
  <c r="T157"/>
  <c r="F157"/>
  <c r="H157"/>
  <c r="J157"/>
  <c r="L157"/>
  <c r="N157"/>
  <c r="P157"/>
  <c r="G25"/>
  <c r="I25"/>
  <c r="K25"/>
  <c r="M25"/>
  <c r="O25"/>
  <c r="S25"/>
  <c r="T25"/>
  <c r="F25"/>
  <c r="H25"/>
  <c r="J25"/>
  <c r="L25"/>
  <c r="N25"/>
  <c r="P25"/>
  <c r="G110"/>
  <c r="I110"/>
  <c r="K110"/>
  <c r="M110"/>
  <c r="O110"/>
  <c r="S110"/>
  <c r="T110"/>
  <c r="F110"/>
  <c r="H110"/>
  <c r="J110"/>
  <c r="L110"/>
  <c r="N110"/>
  <c r="P110"/>
  <c r="G165"/>
  <c r="I165"/>
  <c r="K165"/>
  <c r="M165"/>
  <c r="O165"/>
  <c r="S165"/>
  <c r="T165"/>
  <c r="F165"/>
  <c r="H165"/>
  <c r="J165"/>
  <c r="L165"/>
  <c r="N165"/>
  <c r="P165"/>
  <c r="G60"/>
  <c r="I60"/>
  <c r="K60"/>
  <c r="M60"/>
  <c r="O60"/>
  <c r="S60"/>
  <c r="T60"/>
  <c r="F60"/>
  <c r="H60"/>
  <c r="J60"/>
  <c r="L60"/>
  <c r="N60"/>
  <c r="P60"/>
  <c r="G272"/>
  <c r="I272"/>
  <c r="K272"/>
  <c r="M272"/>
  <c r="O272"/>
  <c r="S272"/>
  <c r="T272"/>
  <c r="F272"/>
  <c r="H272"/>
  <c r="J272"/>
  <c r="L272"/>
  <c r="N272"/>
  <c r="P272"/>
  <c r="G170"/>
  <c r="I170"/>
  <c r="K170"/>
  <c r="M170"/>
  <c r="O170"/>
  <c r="S170"/>
  <c r="T170"/>
  <c r="F170"/>
  <c r="H170"/>
  <c r="J170"/>
  <c r="L170"/>
  <c r="N170"/>
  <c r="P170"/>
  <c r="G67"/>
  <c r="I67"/>
  <c r="K67"/>
  <c r="M67"/>
  <c r="O67"/>
  <c r="S67"/>
  <c r="T67"/>
  <c r="F67"/>
  <c r="H67"/>
  <c r="J67"/>
  <c r="L67"/>
  <c r="N67"/>
  <c r="P67"/>
  <c r="G143"/>
  <c r="I143"/>
  <c r="K143"/>
  <c r="M143"/>
  <c r="O143"/>
  <c r="S143"/>
  <c r="T143"/>
  <c r="F143"/>
  <c r="H143"/>
  <c r="J143"/>
  <c r="L143"/>
  <c r="N143"/>
  <c r="P143"/>
  <c r="G73"/>
  <c r="I73"/>
  <c r="K73"/>
  <c r="M73"/>
  <c r="O73"/>
  <c r="S73"/>
  <c r="T73"/>
  <c r="F73"/>
  <c r="H73"/>
  <c r="J73"/>
  <c r="L73"/>
  <c r="N73"/>
  <c r="P73"/>
  <c r="G15"/>
  <c r="I15"/>
  <c r="K15"/>
  <c r="M15"/>
  <c r="O15"/>
  <c r="S15"/>
  <c r="T15"/>
  <c r="F15"/>
  <c r="H15"/>
  <c r="J15"/>
  <c r="L15"/>
  <c r="N15"/>
  <c r="P15"/>
  <c r="G172"/>
  <c r="I172"/>
  <c r="K172"/>
  <c r="M172"/>
  <c r="O172"/>
  <c r="S172"/>
  <c r="T172"/>
  <c r="F172"/>
  <c r="H172"/>
  <c r="J172"/>
  <c r="L172"/>
  <c r="N172"/>
  <c r="P172"/>
  <c r="G11"/>
  <c r="I11"/>
  <c r="K11"/>
  <c r="M11"/>
  <c r="O11"/>
  <c r="S11"/>
  <c r="T11"/>
  <c r="F11"/>
  <c r="H11"/>
  <c r="J11"/>
  <c r="L11"/>
  <c r="N11"/>
  <c r="P11"/>
  <c r="G58"/>
  <c r="I58"/>
  <c r="K58"/>
  <c r="M58"/>
  <c r="O58"/>
  <c r="S58"/>
  <c r="T58"/>
  <c r="F58"/>
  <c r="H58"/>
  <c r="J58"/>
  <c r="L58"/>
  <c r="N58"/>
  <c r="P58"/>
  <c r="G68"/>
  <c r="I68"/>
  <c r="K68"/>
  <c r="M68"/>
  <c r="O68"/>
  <c r="S68"/>
  <c r="T68"/>
  <c r="F68"/>
  <c r="H68"/>
  <c r="J68"/>
  <c r="L68"/>
  <c r="N68"/>
  <c r="P68"/>
  <c r="G7"/>
  <c r="I7"/>
  <c r="K7"/>
  <c r="M7"/>
  <c r="O7"/>
  <c r="S7"/>
  <c r="T7"/>
  <c r="F7"/>
  <c r="H7"/>
  <c r="J7"/>
  <c r="L7"/>
  <c r="N7"/>
  <c r="P7"/>
  <c r="G84"/>
  <c r="I84"/>
  <c r="K84"/>
  <c r="M84"/>
  <c r="O84"/>
  <c r="S84"/>
  <c r="T84"/>
  <c r="F84"/>
  <c r="H84"/>
  <c r="J84"/>
  <c r="L84"/>
  <c r="N84"/>
  <c r="P84"/>
  <c r="G5"/>
  <c r="I5"/>
  <c r="K5"/>
  <c r="M5"/>
  <c r="O5"/>
  <c r="S5"/>
  <c r="T5"/>
  <c r="F5"/>
  <c r="H5"/>
  <c r="J5"/>
  <c r="L5"/>
  <c r="N5"/>
  <c r="P5"/>
  <c r="G47"/>
  <c r="I47"/>
  <c r="K47"/>
  <c r="M47"/>
  <c r="O47"/>
  <c r="S47"/>
  <c r="T47"/>
  <c r="F47"/>
  <c r="H47"/>
  <c r="J47"/>
  <c r="L47"/>
  <c r="N47"/>
  <c r="P47"/>
  <c r="G13"/>
  <c r="I13"/>
  <c r="K13"/>
  <c r="M13"/>
  <c r="O13"/>
  <c r="S13"/>
  <c r="T13"/>
  <c r="F13"/>
  <c r="H13"/>
  <c r="J13"/>
  <c r="L13"/>
  <c r="N13"/>
  <c r="P13"/>
  <c r="S66"/>
  <c r="T66"/>
  <c r="O66"/>
  <c r="M66"/>
  <c r="K66"/>
  <c r="I66"/>
  <c r="G66"/>
  <c r="P66"/>
  <c r="N66"/>
  <c r="L66"/>
  <c r="J66"/>
  <c r="H66"/>
  <c r="S27"/>
  <c r="T27"/>
  <c r="M27"/>
  <c r="I27"/>
  <c r="S141"/>
  <c r="T141"/>
  <c r="M141"/>
  <c r="I141"/>
  <c r="S115"/>
  <c r="T115"/>
  <c r="M115"/>
  <c r="I115"/>
  <c r="O273"/>
  <c r="O27"/>
  <c r="K27"/>
  <c r="O141"/>
  <c r="K141"/>
  <c r="O115"/>
  <c r="K115"/>
  <c r="S273"/>
  <c r="T273"/>
  <c r="G216"/>
  <c r="I216"/>
  <c r="K216"/>
  <c r="M216"/>
  <c r="O216"/>
  <c r="S216"/>
  <c r="T216"/>
  <c r="G188"/>
  <c r="I188"/>
  <c r="K188"/>
  <c r="M188"/>
  <c r="O188"/>
  <c r="S188"/>
  <c r="T188"/>
  <c r="G239"/>
  <c r="I239"/>
  <c r="K239"/>
  <c r="M239"/>
  <c r="O239"/>
  <c r="S239"/>
  <c r="T239"/>
  <c r="G160"/>
  <c r="I160"/>
  <c r="K160"/>
  <c r="M160"/>
  <c r="O160"/>
  <c r="S160"/>
  <c r="T160"/>
  <c r="G114"/>
  <c r="I114"/>
  <c r="K114"/>
  <c r="M114"/>
  <c r="O114"/>
  <c r="S114"/>
  <c r="T114"/>
  <c r="G238"/>
  <c r="I238"/>
  <c r="K238"/>
  <c r="M238"/>
  <c r="O238"/>
  <c r="S238"/>
  <c r="T238"/>
  <c r="G202"/>
  <c r="I202"/>
  <c r="K202"/>
  <c r="M202"/>
  <c r="O202"/>
  <c r="S202"/>
  <c r="T202"/>
  <c r="F216"/>
  <c r="H216"/>
  <c r="J216"/>
  <c r="L216"/>
  <c r="N216"/>
  <c r="P216"/>
  <c r="F188"/>
  <c r="H188"/>
  <c r="J188"/>
  <c r="L188"/>
  <c r="N188"/>
  <c r="P188"/>
  <c r="F239"/>
  <c r="H239"/>
  <c r="J239"/>
  <c r="L239"/>
  <c r="N239"/>
  <c r="P239"/>
  <c r="F160"/>
  <c r="H160"/>
  <c r="J160"/>
  <c r="L160"/>
  <c r="N160"/>
  <c r="P160"/>
  <c r="F114"/>
  <c r="H114"/>
  <c r="J114"/>
  <c r="L114"/>
  <c r="N114"/>
  <c r="P114"/>
  <c r="F238"/>
  <c r="H238"/>
  <c r="J238"/>
  <c r="L238"/>
  <c r="N238"/>
  <c r="P238"/>
  <c r="F202"/>
  <c r="H202"/>
  <c r="J202"/>
  <c r="L202"/>
  <c r="N202"/>
  <c r="P202"/>
  <c r="G226"/>
  <c r="I226"/>
  <c r="K226"/>
  <c r="M226"/>
  <c r="O226"/>
  <c r="S226"/>
  <c r="T226"/>
  <c r="G64"/>
  <c r="I64"/>
  <c r="K64"/>
  <c r="M64"/>
  <c r="O64"/>
  <c r="S64"/>
  <c r="T64"/>
  <c r="G22"/>
  <c r="I22"/>
  <c r="K22"/>
  <c r="M22"/>
  <c r="O22"/>
  <c r="S22"/>
  <c r="T22"/>
  <c r="G88"/>
  <c r="I88"/>
  <c r="K88"/>
  <c r="M88"/>
  <c r="O88"/>
  <c r="S88"/>
  <c r="T88"/>
  <c r="G278"/>
  <c r="I278"/>
  <c r="K278"/>
  <c r="M278"/>
  <c r="O278"/>
  <c r="S278"/>
  <c r="T278"/>
  <c r="G53"/>
  <c r="I53"/>
  <c r="K53"/>
  <c r="M53"/>
  <c r="O53"/>
  <c r="S53"/>
  <c r="T53"/>
  <c r="G147"/>
  <c r="I147"/>
  <c r="K147"/>
  <c r="M147"/>
  <c r="O147"/>
  <c r="S147"/>
  <c r="T147"/>
  <c r="G63"/>
  <c r="I63"/>
  <c r="K63"/>
  <c r="M63"/>
  <c r="O63"/>
  <c r="S63"/>
  <c r="T63"/>
  <c r="G32"/>
  <c r="I32"/>
  <c r="K32"/>
  <c r="M32"/>
  <c r="O32"/>
  <c r="S32"/>
  <c r="T32"/>
  <c r="G137"/>
  <c r="I137"/>
  <c r="K137"/>
  <c r="M137"/>
  <c r="O137"/>
  <c r="S137"/>
  <c r="T137"/>
  <c r="G213"/>
  <c r="I213"/>
  <c r="K213"/>
  <c r="M213"/>
  <c r="O213"/>
  <c r="S213"/>
  <c r="T213"/>
  <c r="F226"/>
  <c r="H226"/>
  <c r="J226"/>
  <c r="L226"/>
  <c r="N226"/>
  <c r="P226"/>
  <c r="F64"/>
  <c r="H64"/>
  <c r="J64"/>
  <c r="L64"/>
  <c r="N64"/>
  <c r="P64"/>
  <c r="F22"/>
  <c r="H22"/>
  <c r="J22"/>
  <c r="L22"/>
  <c r="N22"/>
  <c r="P22"/>
  <c r="F88"/>
  <c r="H88"/>
  <c r="J88"/>
  <c r="L88"/>
  <c r="N88"/>
  <c r="P88"/>
  <c r="F278"/>
  <c r="H278"/>
  <c r="J278"/>
  <c r="L278"/>
  <c r="N278"/>
  <c r="P278"/>
  <c r="F53"/>
  <c r="H53"/>
  <c r="J53"/>
  <c r="L53"/>
  <c r="N53"/>
  <c r="P53"/>
  <c r="F147"/>
  <c r="H147"/>
  <c r="J147"/>
  <c r="L147"/>
  <c r="N147"/>
  <c r="P147"/>
  <c r="F63"/>
  <c r="H63"/>
  <c r="J63"/>
  <c r="L63"/>
  <c r="N63"/>
  <c r="P63"/>
  <c r="F32"/>
  <c r="H32"/>
  <c r="J32"/>
  <c r="L32"/>
  <c r="N32"/>
  <c r="P32"/>
  <c r="F137"/>
  <c r="H137"/>
  <c r="J137"/>
  <c r="L137"/>
  <c r="N137"/>
  <c r="P137"/>
  <c r="F213"/>
  <c r="H213"/>
  <c r="J213"/>
  <c r="L213"/>
  <c r="N213"/>
  <c r="P213"/>
  <c r="F178"/>
  <c r="H178"/>
  <c r="J178"/>
  <c r="L178"/>
  <c r="N178"/>
  <c r="P178"/>
  <c r="F287"/>
  <c r="H287"/>
  <c r="J287"/>
  <c r="L287"/>
  <c r="N287"/>
  <c r="P287"/>
  <c r="F102"/>
  <c r="I178"/>
  <c r="M178"/>
  <c r="I287"/>
  <c r="M287"/>
  <c r="H102"/>
  <c r="J102"/>
  <c r="L102"/>
  <c r="N102"/>
  <c r="P102"/>
  <c r="F212"/>
  <c r="H212"/>
  <c r="J212"/>
  <c r="L212"/>
  <c r="N212"/>
  <c r="P212"/>
  <c r="F283"/>
  <c r="H283"/>
  <c r="J283"/>
  <c r="L283"/>
  <c r="N283"/>
  <c r="P283"/>
  <c r="F174"/>
  <c r="H174"/>
  <c r="J174"/>
  <c r="L174"/>
  <c r="N174"/>
  <c r="P174"/>
  <c r="F267"/>
  <c r="H267"/>
  <c r="J267"/>
  <c r="L267"/>
  <c r="N267"/>
  <c r="P267"/>
  <c r="F279"/>
  <c r="H279"/>
  <c r="J279"/>
  <c r="L279"/>
  <c r="N279"/>
  <c r="P279"/>
  <c r="F131"/>
  <c r="H131"/>
  <c r="J131"/>
  <c r="L131"/>
  <c r="N131"/>
  <c r="P131"/>
  <c r="F276"/>
  <c r="H276"/>
  <c r="J276"/>
  <c r="L276"/>
  <c r="N276"/>
  <c r="P276"/>
  <c r="F233"/>
  <c r="H233"/>
  <c r="J233"/>
  <c r="L233"/>
  <c r="N233"/>
  <c r="P233"/>
  <c r="F155"/>
  <c r="H155"/>
  <c r="J155"/>
  <c r="L155"/>
  <c r="N155"/>
  <c r="P155"/>
  <c r="F169"/>
  <c r="H169"/>
  <c r="J169"/>
  <c r="L169"/>
  <c r="N169"/>
  <c r="P169"/>
  <c r="F241"/>
  <c r="H241"/>
  <c r="J241"/>
  <c r="L241"/>
  <c r="N241"/>
  <c r="P241"/>
  <c r="F71"/>
  <c r="H71"/>
  <c r="J71"/>
  <c r="L71"/>
  <c r="N71"/>
  <c r="P71"/>
  <c r="F244"/>
  <c r="H244"/>
  <c r="J244"/>
  <c r="L244"/>
  <c r="N244"/>
  <c r="P244"/>
  <c r="F74"/>
  <c r="H74"/>
  <c r="J74"/>
  <c r="L74"/>
  <c r="N74"/>
  <c r="P74"/>
  <c r="F207"/>
  <c r="H207"/>
  <c r="J207"/>
  <c r="L207"/>
  <c r="N207"/>
  <c r="P207"/>
  <c r="F229"/>
  <c r="H229"/>
  <c r="J229"/>
  <c r="L229"/>
  <c r="N229"/>
  <c r="P229"/>
  <c r="F193"/>
  <c r="H193"/>
  <c r="J193"/>
  <c r="L193"/>
  <c r="N193"/>
  <c r="P193"/>
  <c r="F111"/>
  <c r="H111"/>
  <c r="J111"/>
  <c r="L111"/>
  <c r="N111"/>
  <c r="P111"/>
  <c r="G178"/>
  <c r="K178"/>
  <c r="O178"/>
  <c r="S178"/>
  <c r="T178"/>
  <c r="G287"/>
  <c r="K287"/>
  <c r="O287"/>
  <c r="S287"/>
  <c r="T287"/>
  <c r="G102"/>
  <c r="I102"/>
  <c r="K102"/>
  <c r="M102"/>
  <c r="O102"/>
  <c r="S102"/>
  <c r="T102"/>
  <c r="G212"/>
  <c r="I212"/>
  <c r="K212"/>
  <c r="M212"/>
  <c r="O212"/>
  <c r="S212"/>
  <c r="T212"/>
  <c r="G283"/>
  <c r="I283"/>
  <c r="K283"/>
  <c r="M283"/>
  <c r="O283"/>
  <c r="S283"/>
  <c r="T283"/>
  <c r="G174"/>
  <c r="I174"/>
  <c r="K174"/>
  <c r="M174"/>
  <c r="O174"/>
  <c r="S174"/>
  <c r="T174"/>
  <c r="G267"/>
  <c r="I267"/>
  <c r="K267"/>
  <c r="M267"/>
  <c r="O267"/>
  <c r="S267"/>
  <c r="T267"/>
  <c r="G279"/>
  <c r="I279"/>
  <c r="K279"/>
  <c r="M279"/>
  <c r="O279"/>
  <c r="S279"/>
  <c r="T279"/>
  <c r="G131"/>
  <c r="I131"/>
  <c r="K131"/>
  <c r="M131"/>
  <c r="O131"/>
  <c r="S131"/>
  <c r="T131"/>
  <c r="G276"/>
  <c r="I276"/>
  <c r="K276"/>
  <c r="M276"/>
  <c r="O276"/>
  <c r="S276"/>
  <c r="T276"/>
  <c r="G233"/>
  <c r="I233"/>
  <c r="K233"/>
  <c r="M233"/>
  <c r="O233"/>
  <c r="S233"/>
  <c r="T233"/>
  <c r="G155"/>
  <c r="I155"/>
  <c r="K155"/>
  <c r="M155"/>
  <c r="O155"/>
  <c r="S155"/>
  <c r="T155"/>
  <c r="G169"/>
  <c r="I169"/>
  <c r="K169"/>
  <c r="M169"/>
  <c r="O169"/>
  <c r="S169"/>
  <c r="T169"/>
  <c r="G241"/>
  <c r="I241"/>
  <c r="K241"/>
  <c r="M241"/>
  <c r="O241"/>
  <c r="S241"/>
  <c r="T241"/>
  <c r="G71"/>
  <c r="I71"/>
  <c r="K71"/>
  <c r="M71"/>
  <c r="O71"/>
  <c r="S71"/>
  <c r="T71"/>
  <c r="G244"/>
  <c r="I244"/>
  <c r="K244"/>
  <c r="M244"/>
  <c r="O244"/>
  <c r="S244"/>
  <c r="T244"/>
  <c r="G74"/>
  <c r="I74"/>
  <c r="K74"/>
  <c r="M74"/>
  <c r="O74"/>
  <c r="S74"/>
  <c r="T74"/>
  <c r="G207"/>
  <c r="I207"/>
  <c r="K207"/>
  <c r="M207"/>
  <c r="O207"/>
  <c r="S207"/>
  <c r="T207"/>
  <c r="G229"/>
  <c r="I229"/>
  <c r="K229"/>
  <c r="M229"/>
  <c r="O229"/>
  <c r="S229"/>
  <c r="T229"/>
  <c r="G193"/>
  <c r="I193"/>
  <c r="K193"/>
  <c r="M193"/>
  <c r="O193"/>
  <c r="S193"/>
  <c r="T193"/>
  <c r="G111"/>
  <c r="I111"/>
  <c r="K111"/>
  <c r="M111"/>
  <c r="O111"/>
  <c r="S111"/>
  <c r="T111"/>
  <c r="F116"/>
  <c r="H116"/>
  <c r="J116"/>
  <c r="L116"/>
  <c r="N116"/>
  <c r="P116"/>
  <c r="F139"/>
  <c r="H139"/>
  <c r="J139"/>
  <c r="L139"/>
  <c r="N139"/>
  <c r="P139"/>
  <c r="F180"/>
  <c r="H180"/>
  <c r="J180"/>
  <c r="L180"/>
  <c r="N180"/>
  <c r="P180"/>
  <c r="F177"/>
  <c r="H177"/>
  <c r="J177"/>
  <c r="L177"/>
  <c r="N177"/>
  <c r="P177"/>
  <c r="F154"/>
  <c r="H154"/>
  <c r="J154"/>
  <c r="L154"/>
  <c r="N154"/>
  <c r="P154"/>
  <c r="F231"/>
  <c r="H231"/>
  <c r="J231"/>
  <c r="L231"/>
  <c r="N231"/>
  <c r="P231"/>
  <c r="F268"/>
  <c r="H268"/>
  <c r="J268"/>
  <c r="L268"/>
  <c r="N268"/>
  <c r="P268"/>
  <c r="F55"/>
  <c r="H55"/>
  <c r="J55"/>
  <c r="L55"/>
  <c r="N55"/>
  <c r="P55"/>
  <c r="F159"/>
  <c r="H159"/>
  <c r="J159"/>
  <c r="L159"/>
  <c r="N159"/>
  <c r="P159"/>
  <c r="F249"/>
  <c r="H249"/>
  <c r="J249"/>
  <c r="L249"/>
  <c r="N249"/>
  <c r="P249"/>
  <c r="F86"/>
  <c r="H86"/>
  <c r="J86"/>
  <c r="L86"/>
  <c r="N86"/>
  <c r="P86"/>
  <c r="F190"/>
  <c r="H190"/>
  <c r="J190"/>
  <c r="L190"/>
  <c r="N190"/>
  <c r="P190"/>
  <c r="F219"/>
  <c r="H219"/>
  <c r="J219"/>
  <c r="L219"/>
  <c r="N219"/>
  <c r="P219"/>
  <c r="F255"/>
  <c r="H255"/>
  <c r="J255"/>
  <c r="L255"/>
  <c r="N255"/>
  <c r="P255"/>
  <c r="F61"/>
  <c r="H61"/>
  <c r="J61"/>
  <c r="L61"/>
  <c r="N61"/>
  <c r="P61"/>
  <c r="F203"/>
  <c r="H203"/>
  <c r="J203"/>
  <c r="L203"/>
  <c r="N203"/>
  <c r="P203"/>
  <c r="F146"/>
  <c r="H146"/>
  <c r="J146"/>
  <c r="L146"/>
  <c r="N146"/>
  <c r="P146"/>
  <c r="F236"/>
  <c r="H236"/>
  <c r="J236"/>
  <c r="L236"/>
  <c r="N236"/>
  <c r="P236"/>
  <c r="F261"/>
  <c r="H261"/>
  <c r="J261"/>
  <c r="L261"/>
  <c r="N261"/>
  <c r="P261"/>
  <c r="F253"/>
  <c r="H253"/>
  <c r="J253"/>
  <c r="L253"/>
  <c r="N253"/>
  <c r="P253"/>
  <c r="F57"/>
  <c r="H57"/>
  <c r="J57"/>
  <c r="L57"/>
  <c r="N57"/>
  <c r="P57"/>
  <c r="F40"/>
  <c r="H40"/>
  <c r="J40"/>
  <c r="L40"/>
  <c r="N40"/>
  <c r="P40"/>
  <c r="F51"/>
  <c r="H51"/>
  <c r="J51"/>
  <c r="L51"/>
  <c r="N51"/>
  <c r="P51"/>
  <c r="F109"/>
  <c r="H109"/>
  <c r="J109"/>
  <c r="L109"/>
  <c r="N109"/>
  <c r="P109"/>
  <c r="F93"/>
  <c r="H93"/>
  <c r="J93"/>
  <c r="L93"/>
  <c r="N93"/>
  <c r="P93"/>
  <c r="G116"/>
  <c r="I116"/>
  <c r="K116"/>
  <c r="M116"/>
  <c r="O116"/>
  <c r="S116"/>
  <c r="T116"/>
  <c r="G139"/>
  <c r="I139"/>
  <c r="K139"/>
  <c r="M139"/>
  <c r="O139"/>
  <c r="S139"/>
  <c r="T139"/>
  <c r="G180"/>
  <c r="I180"/>
  <c r="K180"/>
  <c r="M180"/>
  <c r="O180"/>
  <c r="S180"/>
  <c r="T180"/>
  <c r="G177"/>
  <c r="I177"/>
  <c r="K177"/>
  <c r="M177"/>
  <c r="O177"/>
  <c r="S177"/>
  <c r="T177"/>
  <c r="G154"/>
  <c r="I154"/>
  <c r="K154"/>
  <c r="M154"/>
  <c r="O154"/>
  <c r="S154"/>
  <c r="T154"/>
  <c r="G231"/>
  <c r="I231"/>
  <c r="K231"/>
  <c r="M231"/>
  <c r="O231"/>
  <c r="S231"/>
  <c r="T231"/>
  <c r="G268"/>
  <c r="I268"/>
  <c r="K268"/>
  <c r="M268"/>
  <c r="O268"/>
  <c r="S268"/>
  <c r="T268"/>
  <c r="G55"/>
  <c r="I55"/>
  <c r="K55"/>
  <c r="M55"/>
  <c r="O55"/>
  <c r="S55"/>
  <c r="T55"/>
  <c r="G159"/>
  <c r="I159"/>
  <c r="K159"/>
  <c r="M159"/>
  <c r="O159"/>
  <c r="S159"/>
  <c r="T159"/>
  <c r="G249"/>
  <c r="I249"/>
  <c r="K249"/>
  <c r="M249"/>
  <c r="O249"/>
  <c r="S249"/>
  <c r="T249"/>
  <c r="G86"/>
  <c r="I86"/>
  <c r="K86"/>
  <c r="M86"/>
  <c r="O86"/>
  <c r="S86"/>
  <c r="T86"/>
  <c r="G190"/>
  <c r="I190"/>
  <c r="K190"/>
  <c r="M190"/>
  <c r="O190"/>
  <c r="S190"/>
  <c r="T190"/>
  <c r="G219"/>
  <c r="I219"/>
  <c r="K219"/>
  <c r="M219"/>
  <c r="O219"/>
  <c r="S219"/>
  <c r="T219"/>
  <c r="G255"/>
  <c r="I255"/>
  <c r="K255"/>
  <c r="M255"/>
  <c r="O255"/>
  <c r="S255"/>
  <c r="T255"/>
  <c r="G61"/>
  <c r="I61"/>
  <c r="K61"/>
  <c r="M61"/>
  <c r="O61"/>
  <c r="S61"/>
  <c r="T61"/>
  <c r="G203"/>
  <c r="I203"/>
  <c r="K203"/>
  <c r="M203"/>
  <c r="O203"/>
  <c r="S203"/>
  <c r="T203"/>
  <c r="G146"/>
  <c r="I146"/>
  <c r="K146"/>
  <c r="M146"/>
  <c r="O146"/>
  <c r="S146"/>
  <c r="T146"/>
  <c r="G236"/>
  <c r="I236"/>
  <c r="K236"/>
  <c r="M236"/>
  <c r="O236"/>
  <c r="S236"/>
  <c r="T236"/>
  <c r="G261"/>
  <c r="I261"/>
  <c r="K261"/>
  <c r="M261"/>
  <c r="O261"/>
  <c r="S261"/>
  <c r="T261"/>
  <c r="G253"/>
  <c r="I253"/>
  <c r="K253"/>
  <c r="M253"/>
  <c r="O253"/>
  <c r="S253"/>
  <c r="T253"/>
  <c r="G57"/>
  <c r="I57"/>
  <c r="K57"/>
  <c r="M57"/>
  <c r="O57"/>
  <c r="S57"/>
  <c r="T57"/>
  <c r="G40"/>
  <c r="I40"/>
  <c r="K40"/>
  <c r="M40"/>
  <c r="O40"/>
  <c r="S40"/>
  <c r="T40"/>
  <c r="G51"/>
  <c r="I51"/>
  <c r="K51"/>
  <c r="M51"/>
  <c r="O51"/>
  <c r="S51"/>
  <c r="T51"/>
  <c r="G109"/>
  <c r="I109"/>
  <c r="K109"/>
  <c r="M109"/>
  <c r="O109"/>
  <c r="S109"/>
  <c r="T109"/>
  <c r="G93"/>
  <c r="I93"/>
  <c r="K93"/>
  <c r="M93"/>
  <c r="O93"/>
  <c r="S93"/>
  <c r="T93"/>
  <c r="F49"/>
  <c r="H49"/>
  <c r="J49"/>
  <c r="L49"/>
  <c r="N49"/>
  <c r="P49"/>
  <c r="F235"/>
  <c r="H235"/>
  <c r="J235"/>
  <c r="L235"/>
  <c r="N235"/>
  <c r="P235"/>
  <c r="F162"/>
  <c r="H162"/>
  <c r="J162"/>
  <c r="L162"/>
  <c r="N162"/>
  <c r="P162"/>
  <c r="F194"/>
  <c r="H194"/>
  <c r="J194"/>
  <c r="L194"/>
  <c r="N194"/>
  <c r="P194"/>
  <c r="F234"/>
  <c r="H234"/>
  <c r="J234"/>
  <c r="L234"/>
  <c r="N234"/>
  <c r="P234"/>
  <c r="F271"/>
  <c r="H271"/>
  <c r="J271"/>
  <c r="L271"/>
  <c r="N271"/>
  <c r="P271"/>
  <c r="F50"/>
  <c r="H50"/>
  <c r="J50"/>
  <c r="L50"/>
  <c r="N50"/>
  <c r="P50"/>
  <c r="F92"/>
  <c r="H92"/>
  <c r="J92"/>
  <c r="L92"/>
  <c r="N92"/>
  <c r="P92"/>
  <c r="F163"/>
  <c r="H163"/>
  <c r="J163"/>
  <c r="L163"/>
  <c r="N163"/>
  <c r="P163"/>
  <c r="F34"/>
  <c r="H34"/>
  <c r="J34"/>
  <c r="L34"/>
  <c r="N34"/>
  <c r="P34"/>
  <c r="F199"/>
  <c r="H199"/>
  <c r="J199"/>
  <c r="L199"/>
  <c r="N199"/>
  <c r="P199"/>
  <c r="F26"/>
  <c r="H26"/>
  <c r="J26"/>
  <c r="L26"/>
  <c r="N26"/>
  <c r="P26"/>
  <c r="F218"/>
  <c r="H218"/>
  <c r="J218"/>
  <c r="L218"/>
  <c r="N218"/>
  <c r="P218"/>
  <c r="F37"/>
  <c r="H37"/>
  <c r="J37"/>
  <c r="L37"/>
  <c r="N37"/>
  <c r="P37"/>
  <c r="F77"/>
  <c r="H77"/>
  <c r="J77"/>
  <c r="L77"/>
  <c r="N77"/>
  <c r="P77"/>
  <c r="F158"/>
  <c r="H158"/>
  <c r="J158"/>
  <c r="L158"/>
  <c r="N158"/>
  <c r="P158"/>
  <c r="F126"/>
  <c r="H126"/>
  <c r="J126"/>
  <c r="L126"/>
  <c r="N126"/>
  <c r="P126"/>
  <c r="F44"/>
  <c r="H44"/>
  <c r="J44"/>
  <c r="L44"/>
  <c r="N44"/>
  <c r="P44"/>
  <c r="F127"/>
  <c r="H127"/>
  <c r="J127"/>
  <c r="L127"/>
  <c r="N127"/>
  <c r="P127"/>
  <c r="F270"/>
  <c r="H270"/>
  <c r="J270"/>
  <c r="L270"/>
  <c r="N270"/>
  <c r="P270"/>
  <c r="F117"/>
  <c r="H117"/>
  <c r="J117"/>
  <c r="L117"/>
  <c r="N117"/>
  <c r="P117"/>
  <c r="F166"/>
  <c r="H166"/>
  <c r="J166"/>
  <c r="L166"/>
  <c r="N166"/>
  <c r="P166"/>
  <c r="F151"/>
  <c r="H151"/>
  <c r="J151"/>
  <c r="L151"/>
  <c r="N151"/>
  <c r="P151"/>
  <c r="F156"/>
  <c r="H156"/>
  <c r="J156"/>
  <c r="L156"/>
  <c r="N156"/>
  <c r="P156"/>
  <c r="F150"/>
  <c r="H150"/>
  <c r="J150"/>
  <c r="L150"/>
  <c r="N150"/>
  <c r="P150"/>
  <c r="F72"/>
  <c r="H72"/>
  <c r="J72"/>
  <c r="L72"/>
  <c r="N72"/>
  <c r="P72"/>
  <c r="F208"/>
  <c r="H208"/>
  <c r="J208"/>
  <c r="L208"/>
  <c r="N208"/>
  <c r="P208"/>
  <c r="F217"/>
  <c r="H217"/>
  <c r="J217"/>
  <c r="L217"/>
  <c r="N217"/>
  <c r="P217"/>
  <c r="F185"/>
  <c r="H185"/>
  <c r="J185"/>
  <c r="L185"/>
  <c r="N185"/>
  <c r="P185"/>
  <c r="F224"/>
  <c r="H224"/>
  <c r="J224"/>
  <c r="L224"/>
  <c r="N224"/>
  <c r="P224"/>
  <c r="F248"/>
  <c r="H248"/>
  <c r="J248"/>
  <c r="L248"/>
  <c r="N248"/>
  <c r="P248"/>
  <c r="F285"/>
  <c r="H285"/>
  <c r="J285"/>
  <c r="L285"/>
  <c r="N285"/>
  <c r="P285"/>
  <c r="F222"/>
  <c r="H222"/>
  <c r="J222"/>
  <c r="L222"/>
  <c r="N222"/>
  <c r="P222"/>
  <c r="F35"/>
  <c r="H35"/>
  <c r="J35"/>
  <c r="L35"/>
  <c r="N35"/>
  <c r="P35"/>
  <c r="F21"/>
  <c r="H21"/>
  <c r="J21"/>
  <c r="L21"/>
  <c r="N21"/>
  <c r="P21"/>
  <c r="F243"/>
  <c r="H243"/>
  <c r="J243"/>
  <c r="L243"/>
  <c r="N243"/>
  <c r="P243"/>
  <c r="F98"/>
  <c r="H98"/>
  <c r="J98"/>
  <c r="L98"/>
  <c r="N98"/>
  <c r="P98"/>
  <c r="F196"/>
  <c r="H196"/>
  <c r="J196"/>
  <c r="L196"/>
  <c r="N196"/>
  <c r="P196"/>
  <c r="F210"/>
  <c r="H210"/>
  <c r="J210"/>
  <c r="L210"/>
  <c r="N210"/>
  <c r="P210"/>
  <c r="F79"/>
  <c r="H79"/>
  <c r="J79"/>
  <c r="L79"/>
  <c r="N79"/>
  <c r="P79"/>
  <c r="G49"/>
  <c r="I49"/>
  <c r="K49"/>
  <c r="M49"/>
  <c r="O49"/>
  <c r="S49"/>
  <c r="T49"/>
  <c r="G235"/>
  <c r="I235"/>
  <c r="K235"/>
  <c r="M235"/>
  <c r="O235"/>
  <c r="S235"/>
  <c r="T235"/>
  <c r="G162"/>
  <c r="I162"/>
  <c r="K162"/>
  <c r="M162"/>
  <c r="O162"/>
  <c r="S162"/>
  <c r="T162"/>
  <c r="G194"/>
  <c r="I194"/>
  <c r="K194"/>
  <c r="M194"/>
  <c r="O194"/>
  <c r="S194"/>
  <c r="T194"/>
  <c r="G234"/>
  <c r="I234"/>
  <c r="K234"/>
  <c r="M234"/>
  <c r="O234"/>
  <c r="S234"/>
  <c r="T234"/>
  <c r="G271"/>
  <c r="I271"/>
  <c r="K271"/>
  <c r="M271"/>
  <c r="O271"/>
  <c r="S271"/>
  <c r="T271"/>
  <c r="G50"/>
  <c r="I50"/>
  <c r="K50"/>
  <c r="M50"/>
  <c r="O50"/>
  <c r="S50"/>
  <c r="T50"/>
  <c r="G92"/>
  <c r="I92"/>
  <c r="K92"/>
  <c r="M92"/>
  <c r="O92"/>
  <c r="S92"/>
  <c r="T92"/>
  <c r="G163"/>
  <c r="I163"/>
  <c r="K163"/>
  <c r="M163"/>
  <c r="O163"/>
  <c r="S163"/>
  <c r="T163"/>
  <c r="G34"/>
  <c r="I34"/>
  <c r="K34"/>
  <c r="M34"/>
  <c r="O34"/>
  <c r="S34"/>
  <c r="T34"/>
  <c r="G199"/>
  <c r="I199"/>
  <c r="K199"/>
  <c r="M199"/>
  <c r="O199"/>
  <c r="S199"/>
  <c r="T199"/>
  <c r="G26"/>
  <c r="I26"/>
  <c r="K26"/>
  <c r="M26"/>
  <c r="O26"/>
  <c r="S26"/>
  <c r="T26"/>
  <c r="G218"/>
  <c r="I218"/>
  <c r="K218"/>
  <c r="M218"/>
  <c r="O218"/>
  <c r="S218"/>
  <c r="T218"/>
  <c r="G37"/>
  <c r="I37"/>
  <c r="K37"/>
  <c r="M37"/>
  <c r="O37"/>
  <c r="S37"/>
  <c r="T37"/>
  <c r="G77"/>
  <c r="I77"/>
  <c r="K77"/>
  <c r="M77"/>
  <c r="O77"/>
  <c r="S77"/>
  <c r="T77"/>
  <c r="G158"/>
  <c r="I158"/>
  <c r="K158"/>
  <c r="M158"/>
  <c r="O158"/>
  <c r="S158"/>
  <c r="T158"/>
  <c r="G126"/>
  <c r="I126"/>
  <c r="K126"/>
  <c r="M126"/>
  <c r="O126"/>
  <c r="S126"/>
  <c r="T126"/>
  <c r="G44"/>
  <c r="I44"/>
  <c r="K44"/>
  <c r="M44"/>
  <c r="O44"/>
  <c r="S44"/>
  <c r="T44"/>
  <c r="G127"/>
  <c r="I127"/>
  <c r="K127"/>
  <c r="M127"/>
  <c r="O127"/>
  <c r="S127"/>
  <c r="T127"/>
  <c r="G270"/>
  <c r="I270"/>
  <c r="K270"/>
  <c r="M270"/>
  <c r="O270"/>
  <c r="S270"/>
  <c r="T270"/>
  <c r="G117"/>
  <c r="I117"/>
  <c r="K117"/>
  <c r="M117"/>
  <c r="O117"/>
  <c r="S117"/>
  <c r="T117"/>
  <c r="G166"/>
  <c r="I166"/>
  <c r="K166"/>
  <c r="M166"/>
  <c r="O166"/>
  <c r="S166"/>
  <c r="T166"/>
  <c r="G151"/>
  <c r="I151"/>
  <c r="K151"/>
  <c r="M151"/>
  <c r="O151"/>
  <c r="S151"/>
  <c r="T151"/>
  <c r="G156"/>
  <c r="I156"/>
  <c r="K156"/>
  <c r="M156"/>
  <c r="O156"/>
  <c r="S156"/>
  <c r="T156"/>
  <c r="G150"/>
  <c r="I150"/>
  <c r="K150"/>
  <c r="M150"/>
  <c r="O150"/>
  <c r="S150"/>
  <c r="T150"/>
  <c r="G72"/>
  <c r="I72"/>
  <c r="K72"/>
  <c r="M72"/>
  <c r="O72"/>
  <c r="S72"/>
  <c r="T72"/>
  <c r="G208"/>
  <c r="I208"/>
  <c r="K208"/>
  <c r="M208"/>
  <c r="O208"/>
  <c r="S208"/>
  <c r="T208"/>
  <c r="G217"/>
  <c r="I217"/>
  <c r="K217"/>
  <c r="M217"/>
  <c r="O217"/>
  <c r="S217"/>
  <c r="T217"/>
  <c r="G185"/>
  <c r="I185"/>
  <c r="K185"/>
  <c r="M185"/>
  <c r="O185"/>
  <c r="S185"/>
  <c r="T185"/>
  <c r="G224"/>
  <c r="I224"/>
  <c r="K224"/>
  <c r="M224"/>
  <c r="O224"/>
  <c r="S224"/>
  <c r="T224"/>
  <c r="G248"/>
  <c r="I248"/>
  <c r="K248"/>
  <c r="M248"/>
  <c r="O248"/>
  <c r="S248"/>
  <c r="T248"/>
  <c r="G285"/>
  <c r="I285"/>
  <c r="K285"/>
  <c r="M285"/>
  <c r="O285"/>
  <c r="S285"/>
  <c r="T285"/>
  <c r="G222"/>
  <c r="I222"/>
  <c r="K222"/>
  <c r="M222"/>
  <c r="O222"/>
  <c r="S222"/>
  <c r="T222"/>
  <c r="G35"/>
  <c r="I35"/>
  <c r="K35"/>
  <c r="M35"/>
  <c r="O35"/>
  <c r="S35"/>
  <c r="T35"/>
  <c r="G21"/>
  <c r="I21"/>
  <c r="K21"/>
  <c r="M21"/>
  <c r="O21"/>
  <c r="S21"/>
  <c r="T21"/>
  <c r="G243"/>
  <c r="I243"/>
  <c r="K243"/>
  <c r="M243"/>
  <c r="O243"/>
  <c r="S243"/>
  <c r="T243"/>
  <c r="G98"/>
  <c r="I98"/>
  <c r="K98"/>
  <c r="M98"/>
  <c r="O98"/>
  <c r="S98"/>
  <c r="T98"/>
  <c r="G196"/>
  <c r="I196"/>
  <c r="K196"/>
  <c r="M196"/>
  <c r="O196"/>
  <c r="S196"/>
  <c r="T196"/>
  <c r="G210"/>
  <c r="I210"/>
  <c r="P27"/>
  <c r="N27"/>
  <c r="L27"/>
  <c r="J27"/>
  <c r="H27"/>
  <c r="F27"/>
  <c r="P141"/>
  <c r="N141"/>
  <c r="L141"/>
  <c r="J141"/>
  <c r="H141"/>
  <c r="F141"/>
  <c r="P115"/>
  <c r="N115"/>
  <c r="L115"/>
  <c r="J115"/>
  <c r="H115"/>
  <c r="F115"/>
  <c r="P273"/>
  <c r="N273"/>
  <c r="L273"/>
  <c r="J273"/>
  <c r="H273"/>
  <c r="F273"/>
  <c r="P286"/>
  <c r="N286"/>
  <c r="L286"/>
  <c r="J286"/>
  <c r="H286"/>
  <c r="F286"/>
  <c r="P119"/>
  <c r="N119"/>
  <c r="L119"/>
  <c r="J119"/>
  <c r="H119"/>
  <c r="F119"/>
  <c r="P225"/>
  <c r="N225"/>
  <c r="L225"/>
  <c r="J225"/>
  <c r="H225"/>
  <c r="F225"/>
  <c r="P95"/>
  <c r="N95"/>
  <c r="L95"/>
  <c r="J95"/>
  <c r="H95"/>
  <c r="F95"/>
  <c r="P206"/>
  <c r="N206"/>
  <c r="L206"/>
  <c r="J206"/>
  <c r="H206"/>
  <c r="F206"/>
  <c r="P76"/>
  <c r="N76"/>
  <c r="L76"/>
  <c r="J76"/>
  <c r="H76"/>
  <c r="F76"/>
  <c r="P8"/>
  <c r="N8"/>
  <c r="L8"/>
  <c r="J8"/>
  <c r="H8"/>
  <c r="F8"/>
  <c r="P192"/>
  <c r="N192"/>
  <c r="L192"/>
  <c r="J192"/>
  <c r="H192"/>
  <c r="F192"/>
  <c r="P96"/>
  <c r="N96"/>
  <c r="L96"/>
  <c r="J96"/>
  <c r="H96"/>
  <c r="F96"/>
  <c r="P106"/>
  <c r="N106"/>
  <c r="L106"/>
  <c r="J106"/>
  <c r="H106"/>
  <c r="F106"/>
  <c r="P91"/>
  <c r="N91"/>
  <c r="L91"/>
  <c r="J91"/>
  <c r="H91"/>
  <c r="F91"/>
  <c r="P257"/>
  <c r="N257"/>
  <c r="L257"/>
  <c r="J257"/>
  <c r="H257"/>
  <c r="F257"/>
  <c r="P211"/>
  <c r="N211"/>
  <c r="L211"/>
  <c r="J211"/>
  <c r="H211"/>
  <c r="F211"/>
  <c r="P148"/>
  <c r="N148"/>
  <c r="L148"/>
  <c r="J148"/>
  <c r="H148"/>
  <c r="F148"/>
  <c r="P288"/>
  <c r="N288"/>
  <c r="L288"/>
  <c r="J288"/>
  <c r="H288"/>
  <c r="F288"/>
  <c r="P23"/>
  <c r="N23"/>
  <c r="L23"/>
  <c r="J23"/>
  <c r="H23"/>
  <c r="F23"/>
  <c r="S79"/>
  <c r="T79"/>
  <c r="O79"/>
  <c r="K79"/>
  <c r="G79"/>
  <c r="S210"/>
  <c r="T210"/>
  <c r="O210"/>
  <c r="K210"/>
  <c r="O95"/>
  <c r="M95"/>
  <c r="K95"/>
  <c r="I95"/>
  <c r="G95"/>
  <c r="S206"/>
  <c r="T206"/>
  <c r="O206"/>
  <c r="M206"/>
  <c r="K206"/>
  <c r="I206"/>
  <c r="G206"/>
  <c r="S76"/>
  <c r="T76"/>
  <c r="O76"/>
  <c r="M76"/>
  <c r="K76"/>
  <c r="I76"/>
  <c r="G76"/>
  <c r="S8"/>
  <c r="T8"/>
  <c r="O8"/>
  <c r="M8"/>
  <c r="K8"/>
  <c r="I8"/>
  <c r="G8"/>
  <c r="S192"/>
  <c r="T192"/>
  <c r="O192"/>
  <c r="M192"/>
  <c r="K192"/>
  <c r="I192"/>
  <c r="G192"/>
  <c r="S96"/>
  <c r="T96"/>
  <c r="O96"/>
  <c r="M96"/>
  <c r="K96"/>
  <c r="I96"/>
  <c r="G96"/>
  <c r="S106"/>
  <c r="T106"/>
  <c r="O106"/>
  <c r="M106"/>
  <c r="K106"/>
  <c r="I106"/>
  <c r="G106"/>
  <c r="S91"/>
  <c r="T91"/>
  <c r="O91"/>
  <c r="M91"/>
  <c r="K91"/>
  <c r="I91"/>
  <c r="G91"/>
  <c r="S257"/>
  <c r="T257"/>
  <c r="O257"/>
  <c r="M257"/>
  <c r="K257"/>
  <c r="I257"/>
  <c r="G257"/>
  <c r="S211"/>
  <c r="T211"/>
  <c r="O211"/>
  <c r="M211"/>
  <c r="K211"/>
  <c r="I211"/>
  <c r="G211"/>
  <c r="S148"/>
  <c r="T148"/>
  <c r="O148"/>
  <c r="M148"/>
  <c r="K148"/>
  <c r="I148"/>
  <c r="G148"/>
  <c r="S288"/>
  <c r="T288"/>
  <c r="O288"/>
  <c r="M288"/>
  <c r="K288"/>
  <c r="I288"/>
  <c r="G288"/>
  <c r="S23"/>
  <c r="T23"/>
  <c r="O23"/>
  <c r="M23"/>
  <c r="K23"/>
  <c r="I23"/>
  <c r="G23"/>
  <c r="M79"/>
  <c r="I79"/>
  <c r="M210"/>
  <c r="P181"/>
  <c r="N181"/>
  <c r="L181"/>
  <c r="J181"/>
  <c r="H181"/>
  <c r="F181"/>
  <c r="P69"/>
  <c r="N69"/>
  <c r="L69"/>
  <c r="J69"/>
  <c r="H69"/>
  <c r="F69"/>
  <c r="G87"/>
  <c r="I87"/>
  <c r="K87"/>
  <c r="M87"/>
  <c r="O87"/>
  <c r="S87"/>
  <c r="T87"/>
  <c r="G220"/>
  <c r="I220"/>
  <c r="K220"/>
  <c r="M220"/>
  <c r="O220"/>
  <c r="S220"/>
  <c r="T220"/>
  <c r="F89"/>
  <c r="H89"/>
  <c r="J89"/>
  <c r="L89"/>
  <c r="N89"/>
  <c r="P89"/>
  <c r="G281"/>
  <c r="I281"/>
  <c r="K281"/>
  <c r="M281"/>
  <c r="O281"/>
  <c r="S281"/>
  <c r="T281"/>
  <c r="F29"/>
  <c r="H29"/>
  <c r="J29"/>
  <c r="L29"/>
  <c r="N29"/>
  <c r="P29"/>
  <c r="G237"/>
  <c r="I237"/>
  <c r="K237"/>
  <c r="M237"/>
  <c r="O237"/>
  <c r="S237"/>
  <c r="T237"/>
  <c r="F45"/>
  <c r="H45"/>
  <c r="J45"/>
  <c r="L45"/>
  <c r="N45"/>
  <c r="P45"/>
  <c r="G52"/>
  <c r="I52"/>
  <c r="K52"/>
  <c r="M52"/>
  <c r="O52"/>
  <c r="S52"/>
  <c r="T52"/>
  <c r="F187"/>
  <c r="H187"/>
  <c r="F87"/>
  <c r="H87"/>
  <c r="J87"/>
  <c r="L87"/>
  <c r="N87"/>
  <c r="P87"/>
  <c r="F220"/>
  <c r="H220"/>
  <c r="J220"/>
  <c r="L220"/>
  <c r="N220"/>
  <c r="P220"/>
  <c r="G89"/>
  <c r="I89"/>
  <c r="K89"/>
  <c r="M89"/>
  <c r="O89"/>
  <c r="S89"/>
  <c r="T89"/>
  <c r="F281"/>
  <c r="H281"/>
  <c r="J281"/>
  <c r="L281"/>
  <c r="N281"/>
  <c r="P281"/>
  <c r="G29"/>
  <c r="I29"/>
  <c r="K29"/>
  <c r="M29"/>
  <c r="O29"/>
  <c r="S29"/>
  <c r="T29"/>
  <c r="F237"/>
  <c r="H237"/>
  <c r="J237"/>
  <c r="L237"/>
  <c r="N237"/>
  <c r="P237"/>
  <c r="G45"/>
  <c r="I45"/>
  <c r="K45"/>
  <c r="M45"/>
  <c r="O45"/>
  <c r="S45"/>
  <c r="T45"/>
  <c r="F52"/>
  <c r="H52"/>
  <c r="J52"/>
  <c r="L52"/>
  <c r="N52"/>
  <c r="P52"/>
  <c r="G187"/>
  <c r="J187"/>
  <c r="L187"/>
  <c r="N187"/>
  <c r="P187"/>
  <c r="F256"/>
  <c r="H256"/>
  <c r="J256"/>
  <c r="L256"/>
  <c r="N256"/>
  <c r="P256"/>
  <c r="F56"/>
  <c r="H56"/>
  <c r="J56"/>
  <c r="L56"/>
  <c r="N56"/>
  <c r="P56"/>
  <c r="F186"/>
  <c r="H186"/>
  <c r="J186"/>
  <c r="L186"/>
  <c r="N186"/>
  <c r="P186"/>
  <c r="F80"/>
  <c r="H80"/>
  <c r="J80"/>
  <c r="L80"/>
  <c r="N80"/>
  <c r="P80"/>
  <c r="G85"/>
  <c r="I85"/>
  <c r="K85"/>
  <c r="M85"/>
  <c r="O85"/>
  <c r="S85"/>
  <c r="T85"/>
  <c r="F227"/>
  <c r="H227"/>
  <c r="J227"/>
  <c r="L227"/>
  <c r="N227"/>
  <c r="P227"/>
  <c r="G242"/>
  <c r="I242"/>
  <c r="K242"/>
  <c r="M242"/>
  <c r="O242"/>
  <c r="S242"/>
  <c r="T242"/>
  <c r="F39"/>
  <c r="H39"/>
  <c r="J39"/>
  <c r="L39"/>
  <c r="N39"/>
  <c r="P39"/>
  <c r="G195"/>
  <c r="I195"/>
  <c r="K195"/>
  <c r="M195"/>
  <c r="O195"/>
  <c r="S195"/>
  <c r="T195"/>
  <c r="G81"/>
  <c r="I81"/>
  <c r="K81"/>
  <c r="M81"/>
  <c r="O81"/>
  <c r="S81"/>
  <c r="T81"/>
  <c r="F121"/>
  <c r="H121"/>
  <c r="J121"/>
  <c r="L121"/>
  <c r="N121"/>
  <c r="P121"/>
  <c r="G28"/>
  <c r="I28"/>
  <c r="K28"/>
  <c r="M28"/>
  <c r="O28"/>
  <c r="S28"/>
  <c r="T28"/>
  <c r="F9"/>
  <c r="H9"/>
  <c r="J9"/>
  <c r="L9"/>
  <c r="N9"/>
  <c r="P9"/>
  <c r="F153"/>
  <c r="H153"/>
  <c r="J153"/>
  <c r="L153"/>
  <c r="N153"/>
  <c r="P153"/>
  <c r="G250"/>
  <c r="I250"/>
  <c r="K250"/>
  <c r="M250"/>
  <c r="O250"/>
  <c r="S250"/>
  <c r="T250"/>
  <c r="F201"/>
  <c r="H201"/>
  <c r="J201"/>
  <c r="L201"/>
  <c r="N201"/>
  <c r="P201"/>
  <c r="G252"/>
  <c r="I252"/>
  <c r="K252"/>
  <c r="M252"/>
  <c r="O252"/>
  <c r="S252"/>
  <c r="T252"/>
  <c r="I187"/>
  <c r="K187"/>
  <c r="M187"/>
  <c r="O187"/>
  <c r="S187"/>
  <c r="T187"/>
  <c r="G256"/>
  <c r="I256"/>
  <c r="K256"/>
  <c r="M256"/>
  <c r="O256"/>
  <c r="S256"/>
  <c r="T256"/>
  <c r="G56"/>
  <c r="I56"/>
  <c r="K56"/>
  <c r="M56"/>
  <c r="O56"/>
  <c r="S56"/>
  <c r="T56"/>
  <c r="G186"/>
  <c r="I186"/>
  <c r="K186"/>
  <c r="M186"/>
  <c r="O186"/>
  <c r="S186"/>
  <c r="T186"/>
  <c r="G80"/>
  <c r="I80"/>
  <c r="K80"/>
  <c r="M80"/>
  <c r="O80"/>
  <c r="S80"/>
  <c r="T80"/>
  <c r="F85"/>
  <c r="H85"/>
  <c r="J85"/>
  <c r="L85"/>
  <c r="N85"/>
  <c r="P85"/>
  <c r="G227"/>
  <c r="I227"/>
  <c r="K227"/>
  <c r="M227"/>
  <c r="O227"/>
  <c r="S227"/>
  <c r="T227"/>
  <c r="F242"/>
  <c r="H242"/>
  <c r="J242"/>
  <c r="L242"/>
  <c r="N242"/>
  <c r="P242"/>
  <c r="G39"/>
  <c r="I39"/>
  <c r="K39"/>
  <c r="M39"/>
  <c r="O39"/>
  <c r="S39"/>
  <c r="T39"/>
  <c r="F195"/>
  <c r="H195"/>
  <c r="J195"/>
  <c r="L195"/>
  <c r="N195"/>
  <c r="P195"/>
  <c r="F81"/>
  <c r="H81"/>
  <c r="J81"/>
  <c r="L81"/>
  <c r="N81"/>
  <c r="P81"/>
  <c r="G121"/>
  <c r="I121"/>
  <c r="K121"/>
  <c r="M121"/>
  <c r="O121"/>
  <c r="S121"/>
  <c r="T121"/>
  <c r="F28"/>
  <c r="H28"/>
  <c r="J28"/>
  <c r="L28"/>
  <c r="N28"/>
  <c r="P28"/>
  <c r="G9"/>
  <c r="I9"/>
  <c r="K9"/>
  <c r="M9"/>
  <c r="O9"/>
  <c r="S9"/>
  <c r="T9"/>
  <c r="G153"/>
  <c r="I153"/>
  <c r="K153"/>
  <c r="M153"/>
  <c r="O153"/>
  <c r="S153"/>
  <c r="T153"/>
  <c r="F250"/>
  <c r="H250"/>
  <c r="J250"/>
  <c r="L250"/>
  <c r="N250"/>
  <c r="P250"/>
  <c r="G201"/>
  <c r="I201"/>
  <c r="K201"/>
  <c r="M201"/>
  <c r="O201"/>
  <c r="S201"/>
  <c r="T201"/>
  <c r="F252"/>
  <c r="H252"/>
  <c r="J252"/>
  <c r="L252"/>
  <c r="N252"/>
  <c r="P252"/>
  <c r="G191"/>
  <c r="I191"/>
  <c r="K191"/>
  <c r="M191"/>
  <c r="O191"/>
  <c r="S191"/>
  <c r="T191"/>
  <c r="G130"/>
  <c r="I130"/>
  <c r="K130"/>
  <c r="M130"/>
  <c r="O130"/>
  <c r="S130"/>
  <c r="T130"/>
  <c r="F30"/>
  <c r="H30"/>
  <c r="J30"/>
  <c r="L30"/>
  <c r="N30"/>
  <c r="P30"/>
  <c r="G36"/>
  <c r="I36"/>
  <c r="K36"/>
  <c r="M36"/>
  <c r="O36"/>
  <c r="S36"/>
  <c r="T36"/>
  <c r="G183"/>
  <c r="I183"/>
  <c r="K183"/>
  <c r="M183"/>
  <c r="O183"/>
  <c r="S183"/>
  <c r="T183"/>
  <c r="F75"/>
  <c r="H75"/>
  <c r="J75"/>
  <c r="L75"/>
  <c r="N75"/>
  <c r="P75"/>
  <c r="F134"/>
  <c r="H134"/>
  <c r="J134"/>
  <c r="L134"/>
  <c r="N134"/>
  <c r="P134"/>
  <c r="G167"/>
  <c r="I167"/>
  <c r="K167"/>
  <c r="M167"/>
  <c r="O167"/>
  <c r="S167"/>
  <c r="T167"/>
  <c r="F82"/>
  <c r="H82"/>
  <c r="J82"/>
  <c r="L82"/>
  <c r="N82"/>
  <c r="P82"/>
  <c r="G200"/>
  <c r="I200"/>
  <c r="K200"/>
  <c r="M200"/>
  <c r="O200"/>
  <c r="S200"/>
  <c r="T200"/>
  <c r="F264"/>
  <c r="H264"/>
  <c r="J264"/>
  <c r="L264"/>
  <c r="N264"/>
  <c r="P264"/>
  <c r="F70"/>
  <c r="H70"/>
  <c r="J70"/>
  <c r="L70"/>
  <c r="N70"/>
  <c r="P70"/>
  <c r="G254"/>
  <c r="I254"/>
  <c r="K254"/>
  <c r="M254"/>
  <c r="O254"/>
  <c r="S254"/>
  <c r="T254"/>
  <c r="G140"/>
  <c r="I140"/>
  <c r="K140"/>
  <c r="M140"/>
  <c r="O140"/>
  <c r="S140"/>
  <c r="T140"/>
  <c r="F145"/>
  <c r="H145"/>
  <c r="J145"/>
  <c r="L145"/>
  <c r="N145"/>
  <c r="P145"/>
  <c r="F94"/>
  <c r="H94"/>
  <c r="J94"/>
  <c r="L94"/>
  <c r="N94"/>
  <c r="P94"/>
  <c r="F214"/>
  <c r="H214"/>
  <c r="J214"/>
  <c r="L214"/>
  <c r="N214"/>
  <c r="P214"/>
  <c r="G123"/>
  <c r="I123"/>
  <c r="K123"/>
  <c r="M123"/>
  <c r="O123"/>
  <c r="S123"/>
  <c r="T123"/>
  <c r="F189"/>
  <c r="H189"/>
  <c r="J189"/>
  <c r="L189"/>
  <c r="N189"/>
  <c r="P189"/>
  <c r="G265"/>
  <c r="I265"/>
  <c r="K265"/>
  <c r="M265"/>
  <c r="O265"/>
  <c r="S265"/>
  <c r="T265"/>
  <c r="G65"/>
  <c r="I65"/>
  <c r="K65"/>
  <c r="M65"/>
  <c r="O65"/>
  <c r="S65"/>
  <c r="T65"/>
  <c r="F245"/>
  <c r="H245"/>
  <c r="J245"/>
  <c r="L245"/>
  <c r="N245"/>
  <c r="P245"/>
  <c r="G24"/>
  <c r="I24"/>
  <c r="K24"/>
  <c r="M24"/>
  <c r="O24"/>
  <c r="S24"/>
  <c r="T24"/>
  <c r="G204"/>
  <c r="I204"/>
  <c r="K204"/>
  <c r="M204"/>
  <c r="O204"/>
  <c r="S204"/>
  <c r="T204"/>
  <c r="F16"/>
  <c r="H16"/>
  <c r="J16"/>
  <c r="L16"/>
  <c r="N16"/>
  <c r="P16"/>
  <c r="F6"/>
  <c r="H6"/>
  <c r="J6"/>
  <c r="L6"/>
  <c r="N6"/>
  <c r="P6"/>
  <c r="F262"/>
  <c r="H262"/>
  <c r="J262"/>
  <c r="L262"/>
  <c r="N262"/>
  <c r="P262"/>
  <c r="F191"/>
  <c r="H191"/>
  <c r="J191"/>
  <c r="L191"/>
  <c r="N191"/>
  <c r="P191"/>
  <c r="F130"/>
  <c r="H130"/>
  <c r="J130"/>
  <c r="L130"/>
  <c r="N130"/>
  <c r="P130"/>
  <c r="G30"/>
  <c r="I30"/>
  <c r="K30"/>
  <c r="M30"/>
  <c r="O30"/>
  <c r="S30"/>
  <c r="T30"/>
  <c r="F36"/>
  <c r="H36"/>
  <c r="J36"/>
  <c r="L36"/>
  <c r="N36"/>
  <c r="P36"/>
  <c r="F183"/>
  <c r="H183"/>
  <c r="J183"/>
  <c r="L183"/>
  <c r="N183"/>
  <c r="P183"/>
  <c r="G75"/>
  <c r="I75"/>
  <c r="K75"/>
  <c r="M75"/>
  <c r="O75"/>
  <c r="S75"/>
  <c r="T75"/>
  <c r="G134"/>
  <c r="I134"/>
  <c r="K134"/>
  <c r="M134"/>
  <c r="O134"/>
  <c r="S134"/>
  <c r="T134"/>
  <c r="F167"/>
  <c r="H167"/>
  <c r="J167"/>
  <c r="L167"/>
  <c r="N167"/>
  <c r="P167"/>
  <c r="G82"/>
  <c r="I82"/>
  <c r="K82"/>
  <c r="M82"/>
  <c r="O82"/>
  <c r="S82"/>
  <c r="T82"/>
  <c r="F200"/>
  <c r="H200"/>
  <c r="J200"/>
  <c r="L200"/>
  <c r="N200"/>
  <c r="P200"/>
  <c r="G264"/>
  <c r="I264"/>
  <c r="K264"/>
  <c r="M264"/>
  <c r="O264"/>
  <c r="S264"/>
  <c r="T264"/>
  <c r="G70"/>
  <c r="I70"/>
  <c r="K70"/>
  <c r="M70"/>
  <c r="O70"/>
  <c r="S70"/>
  <c r="T70"/>
  <c r="F254"/>
  <c r="H254"/>
  <c r="J254"/>
  <c r="L254"/>
  <c r="N254"/>
  <c r="P254"/>
  <c r="F140"/>
  <c r="H140"/>
  <c r="J140"/>
  <c r="L140"/>
  <c r="N140"/>
  <c r="P140"/>
  <c r="G145"/>
  <c r="I145"/>
  <c r="K145"/>
  <c r="M145"/>
  <c r="O145"/>
  <c r="S145"/>
  <c r="T145"/>
  <c r="G94"/>
  <c r="I94"/>
  <c r="K94"/>
  <c r="M94"/>
  <c r="O94"/>
  <c r="S94"/>
  <c r="T94"/>
  <c r="G214"/>
  <c r="I214"/>
  <c r="K214"/>
  <c r="M214"/>
  <c r="O214"/>
  <c r="S214"/>
  <c r="T214"/>
  <c r="F123"/>
  <c r="H123"/>
  <c r="J123"/>
  <c r="L123"/>
  <c r="N123"/>
  <c r="P123"/>
  <c r="G189"/>
  <c r="I189"/>
  <c r="K189"/>
  <c r="M189"/>
  <c r="O189"/>
  <c r="S189"/>
  <c r="T189"/>
  <c r="F265"/>
  <c r="H265"/>
  <c r="J265"/>
  <c r="L265"/>
  <c r="N265"/>
  <c r="P265"/>
  <c r="F65"/>
  <c r="H65"/>
  <c r="J65"/>
  <c r="L65"/>
  <c r="N65"/>
  <c r="P65"/>
  <c r="G245"/>
  <c r="I245"/>
  <c r="K245"/>
  <c r="M245"/>
  <c r="O245"/>
  <c r="S245"/>
  <c r="T245"/>
  <c r="F24"/>
  <c r="H24"/>
  <c r="J24"/>
  <c r="L24"/>
  <c r="N24"/>
  <c r="P24"/>
  <c r="F204"/>
  <c r="H204"/>
  <c r="J204"/>
  <c r="L204"/>
  <c r="N204"/>
  <c r="P204"/>
  <c r="G16"/>
  <c r="I16"/>
  <c r="K16"/>
  <c r="M16"/>
  <c r="O16"/>
  <c r="S16"/>
  <c r="T16"/>
  <c r="I6"/>
  <c r="M6"/>
  <c r="I262"/>
  <c r="M262"/>
  <c r="F78"/>
  <c r="H78"/>
  <c r="J78"/>
  <c r="L78"/>
  <c r="N78"/>
  <c r="P78"/>
  <c r="F48"/>
  <c r="H48"/>
  <c r="J48"/>
  <c r="L48"/>
  <c r="N48"/>
  <c r="P48"/>
  <c r="F209"/>
  <c r="H209"/>
  <c r="J209"/>
  <c r="L209"/>
  <c r="N209"/>
  <c r="P209"/>
  <c r="G164"/>
  <c r="I164"/>
  <c r="K164"/>
  <c r="M164"/>
  <c r="O164"/>
  <c r="S164"/>
  <c r="T164"/>
  <c r="G14"/>
  <c r="I14"/>
  <c r="K14"/>
  <c r="M14"/>
  <c r="O14"/>
  <c r="S14"/>
  <c r="T14"/>
  <c r="F97"/>
  <c r="H97"/>
  <c r="J97"/>
  <c r="L97"/>
  <c r="N97"/>
  <c r="P97"/>
  <c r="F10"/>
  <c r="H10"/>
  <c r="J10"/>
  <c r="L10"/>
  <c r="N10"/>
  <c r="P10"/>
  <c r="G17"/>
  <c r="I17"/>
  <c r="K17"/>
  <c r="M17"/>
  <c r="O17"/>
  <c r="S17"/>
  <c r="T17"/>
  <c r="G221"/>
  <c r="I221"/>
  <c r="K221"/>
  <c r="M221"/>
  <c r="O221"/>
  <c r="S221"/>
  <c r="T221"/>
  <c r="F149"/>
  <c r="H149"/>
  <c r="J149"/>
  <c r="L149"/>
  <c r="N149"/>
  <c r="P149"/>
  <c r="G20"/>
  <c r="I20"/>
  <c r="K20"/>
  <c r="M20"/>
  <c r="O20"/>
  <c r="S20"/>
  <c r="T20"/>
  <c r="F46"/>
  <c r="H46"/>
  <c r="J46"/>
  <c r="L46"/>
  <c r="N46"/>
  <c r="P46"/>
  <c r="G179"/>
  <c r="I179"/>
  <c r="K179"/>
  <c r="M179"/>
  <c r="O179"/>
  <c r="S179"/>
  <c r="T179"/>
  <c r="G136"/>
  <c r="I136"/>
  <c r="K136"/>
  <c r="M136"/>
  <c r="O136"/>
  <c r="S136"/>
  <c r="T136"/>
  <c r="G62"/>
  <c r="I62"/>
  <c r="K62"/>
  <c r="M62"/>
  <c r="O62"/>
  <c r="S62"/>
  <c r="T62"/>
  <c r="G90"/>
  <c r="I90"/>
  <c r="K90"/>
  <c r="M90"/>
  <c r="O90"/>
  <c r="S90"/>
  <c r="T90"/>
  <c r="F266"/>
  <c r="H266"/>
  <c r="J266"/>
  <c r="L266"/>
  <c r="N266"/>
  <c r="P266"/>
  <c r="G42"/>
  <c r="I42"/>
  <c r="K42"/>
  <c r="M42"/>
  <c r="O42"/>
  <c r="S42"/>
  <c r="T42"/>
  <c r="G112"/>
  <c r="I112"/>
  <c r="K112"/>
  <c r="M112"/>
  <c r="O112"/>
  <c r="S112"/>
  <c r="T112"/>
  <c r="F125"/>
  <c r="H125"/>
  <c r="J125"/>
  <c r="L125"/>
  <c r="N125"/>
  <c r="P125"/>
  <c r="G132"/>
  <c r="I132"/>
  <c r="K132"/>
  <c r="M132"/>
  <c r="O132"/>
  <c r="S132"/>
  <c r="T132"/>
  <c r="G38"/>
  <c r="I38"/>
  <c r="K38"/>
  <c r="M38"/>
  <c r="O38"/>
  <c r="S38"/>
  <c r="T38"/>
  <c r="G284"/>
  <c r="I284"/>
  <c r="K284"/>
  <c r="M284"/>
  <c r="O284"/>
  <c r="S284"/>
  <c r="T284"/>
  <c r="F182"/>
  <c r="H182"/>
  <c r="J182"/>
  <c r="L182"/>
  <c r="N182"/>
  <c r="P182"/>
  <c r="G107"/>
  <c r="I107"/>
  <c r="K107"/>
  <c r="M107"/>
  <c r="O107"/>
  <c r="S107"/>
  <c r="T107"/>
  <c r="G100"/>
  <c r="I100"/>
  <c r="K100"/>
  <c r="M100"/>
  <c r="O100"/>
  <c r="S100"/>
  <c r="T100"/>
  <c r="F99"/>
  <c r="H99"/>
  <c r="J99"/>
  <c r="L99"/>
  <c r="N99"/>
  <c r="P99"/>
  <c r="G228"/>
  <c r="I228"/>
  <c r="K228"/>
  <c r="M228"/>
  <c r="O228"/>
  <c r="S228"/>
  <c r="T228"/>
  <c r="F113"/>
  <c r="H113"/>
  <c r="J113"/>
  <c r="L113"/>
  <c r="N113"/>
  <c r="P113"/>
  <c r="G282"/>
  <c r="I282"/>
  <c r="K282"/>
  <c r="M282"/>
  <c r="O282"/>
  <c r="S282"/>
  <c r="T282"/>
  <c r="F205"/>
  <c r="H205"/>
  <c r="J205"/>
  <c r="L205"/>
  <c r="N205"/>
  <c r="P205"/>
  <c r="G54"/>
  <c r="I54"/>
  <c r="K54"/>
  <c r="M54"/>
  <c r="O54"/>
  <c r="S54"/>
  <c r="T54"/>
  <c r="G240"/>
  <c r="I240"/>
  <c r="K240"/>
  <c r="M240"/>
  <c r="O240"/>
  <c r="S240"/>
  <c r="T240"/>
  <c r="G108"/>
  <c r="I108"/>
  <c r="K108"/>
  <c r="M108"/>
  <c r="O108"/>
  <c r="S108"/>
  <c r="T108"/>
  <c r="F122"/>
  <c r="H122"/>
  <c r="J122"/>
  <c r="L122"/>
  <c r="N122"/>
  <c r="P122"/>
  <c r="F41"/>
  <c r="H41"/>
  <c r="J41"/>
  <c r="L41"/>
  <c r="N41"/>
  <c r="P41"/>
  <c r="G152"/>
  <c r="I152"/>
  <c r="K152"/>
  <c r="M152"/>
  <c r="O152"/>
  <c r="S152"/>
  <c r="T152"/>
  <c r="G135"/>
  <c r="I135"/>
  <c r="K135"/>
  <c r="M135"/>
  <c r="O135"/>
  <c r="G6"/>
  <c r="K6"/>
  <c r="O6"/>
  <c r="S6"/>
  <c r="T6"/>
  <c r="G262"/>
  <c r="K262"/>
  <c r="O262"/>
  <c r="S262"/>
  <c r="T262"/>
  <c r="G78"/>
  <c r="I78"/>
  <c r="K78"/>
  <c r="M78"/>
  <c r="O78"/>
  <c r="S78"/>
  <c r="T78"/>
  <c r="G48"/>
  <c r="I48"/>
  <c r="K48"/>
  <c r="M48"/>
  <c r="O48"/>
  <c r="S48"/>
  <c r="T48"/>
  <c r="G209"/>
  <c r="I209"/>
  <c r="K209"/>
  <c r="M209"/>
  <c r="O209"/>
  <c r="S209"/>
  <c r="T209"/>
  <c r="F164"/>
  <c r="H164"/>
  <c r="J164"/>
  <c r="L164"/>
  <c r="N164"/>
  <c r="P164"/>
  <c r="F14"/>
  <c r="H14"/>
  <c r="J14"/>
  <c r="L14"/>
  <c r="N14"/>
  <c r="P14"/>
  <c r="G97"/>
  <c r="I97"/>
  <c r="K97"/>
  <c r="M97"/>
  <c r="O97"/>
  <c r="S97"/>
  <c r="T97"/>
  <c r="G10"/>
  <c r="I10"/>
  <c r="K10"/>
  <c r="M10"/>
  <c r="O10"/>
  <c r="S10"/>
  <c r="T10"/>
  <c r="F17"/>
  <c r="H17"/>
  <c r="J17"/>
  <c r="L17"/>
  <c r="N17"/>
  <c r="P17"/>
  <c r="F221"/>
  <c r="H221"/>
  <c r="J221"/>
  <c r="L221"/>
  <c r="N221"/>
  <c r="P221"/>
  <c r="G149"/>
  <c r="I149"/>
  <c r="K149"/>
  <c r="M149"/>
  <c r="O149"/>
  <c r="S149"/>
  <c r="T149"/>
  <c r="F20"/>
  <c r="H20"/>
  <c r="J20"/>
  <c r="L20"/>
  <c r="N20"/>
  <c r="P20"/>
  <c r="G46"/>
  <c r="I46"/>
  <c r="K46"/>
  <c r="M46"/>
  <c r="O46"/>
  <c r="S46"/>
  <c r="T46"/>
  <c r="F179"/>
  <c r="H179"/>
  <c r="J179"/>
  <c r="L179"/>
  <c r="N179"/>
  <c r="P179"/>
  <c r="F136"/>
  <c r="H136"/>
  <c r="J136"/>
  <c r="L136"/>
  <c r="N136"/>
  <c r="P136"/>
  <c r="F62"/>
  <c r="H62"/>
  <c r="J62"/>
  <c r="L62"/>
  <c r="N62"/>
  <c r="P62"/>
  <c r="F90"/>
  <c r="H90"/>
  <c r="J90"/>
  <c r="L90"/>
  <c r="N90"/>
  <c r="P90"/>
  <c r="G266"/>
  <c r="I266"/>
  <c r="K266"/>
  <c r="M266"/>
  <c r="O266"/>
  <c r="S266"/>
  <c r="T266"/>
  <c r="F42"/>
  <c r="H42"/>
  <c r="J42"/>
  <c r="L42"/>
  <c r="N42"/>
  <c r="P42"/>
  <c r="F112"/>
  <c r="H112"/>
  <c r="J112"/>
  <c r="L112"/>
  <c r="N112"/>
  <c r="P112"/>
  <c r="G125"/>
  <c r="I125"/>
  <c r="K125"/>
  <c r="M125"/>
  <c r="O125"/>
  <c r="S125"/>
  <c r="T125"/>
  <c r="F132"/>
  <c r="H132"/>
  <c r="J132"/>
  <c r="L132"/>
  <c r="N132"/>
  <c r="P132"/>
  <c r="F38"/>
  <c r="H38"/>
  <c r="J38"/>
  <c r="L38"/>
  <c r="N38"/>
  <c r="P38"/>
  <c r="F284"/>
  <c r="H284"/>
  <c r="J284"/>
  <c r="L284"/>
  <c r="N284"/>
  <c r="P284"/>
  <c r="G182"/>
  <c r="I182"/>
  <c r="K182"/>
  <c r="M182"/>
  <c r="O182"/>
  <c r="S182"/>
  <c r="T182"/>
  <c r="F107"/>
  <c r="H107"/>
  <c r="J107"/>
  <c r="L107"/>
  <c r="N107"/>
  <c r="P107"/>
  <c r="F100"/>
  <c r="H100"/>
  <c r="J100"/>
  <c r="L100"/>
  <c r="N100"/>
  <c r="P100"/>
  <c r="G99"/>
  <c r="I99"/>
  <c r="K99"/>
  <c r="M99"/>
  <c r="O99"/>
  <c r="S99"/>
  <c r="T99"/>
  <c r="F228"/>
  <c r="H228"/>
  <c r="J228"/>
  <c r="L228"/>
  <c r="N228"/>
  <c r="P228"/>
  <c r="G113"/>
  <c r="I113"/>
  <c r="K113"/>
  <c r="M113"/>
  <c r="O113"/>
  <c r="S113"/>
  <c r="T113"/>
  <c r="F282"/>
  <c r="H282"/>
  <c r="J282"/>
  <c r="L282"/>
  <c r="N282"/>
  <c r="P282"/>
  <c r="G205"/>
  <c r="I205"/>
  <c r="K205"/>
  <c r="M205"/>
  <c r="O205"/>
  <c r="S205"/>
  <c r="T205"/>
  <c r="F54"/>
  <c r="H54"/>
  <c r="J54"/>
  <c r="L54"/>
  <c r="N54"/>
  <c r="P54"/>
  <c r="F240"/>
  <c r="H240"/>
  <c r="J240"/>
  <c r="L240"/>
  <c r="N240"/>
  <c r="P240"/>
  <c r="F108"/>
  <c r="H108"/>
  <c r="J108"/>
  <c r="L108"/>
  <c r="N108"/>
  <c r="P108"/>
  <c r="G122"/>
  <c r="I122"/>
  <c r="K122"/>
  <c r="M122"/>
  <c r="O122"/>
  <c r="S122"/>
  <c r="T122"/>
  <c r="G41"/>
  <c r="I41"/>
  <c r="K41"/>
  <c r="M41"/>
  <c r="O41"/>
  <c r="S41"/>
  <c r="T41"/>
  <c r="F152"/>
  <c r="H152"/>
  <c r="J152"/>
  <c r="N152"/>
  <c r="H135"/>
  <c r="L135"/>
  <c r="P135"/>
  <c r="S135"/>
  <c r="T135"/>
  <c r="F197"/>
  <c r="H197"/>
  <c r="J197"/>
  <c r="L197"/>
  <c r="N197"/>
  <c r="P197"/>
  <c r="G269"/>
  <c r="I269"/>
  <c r="K269"/>
  <c r="M269"/>
  <c r="O269"/>
  <c r="S269"/>
  <c r="T269"/>
  <c r="F129"/>
  <c r="H129"/>
  <c r="J129"/>
  <c r="L129"/>
  <c r="N129"/>
  <c r="P129"/>
  <c r="F83"/>
  <c r="H83"/>
  <c r="J83"/>
  <c r="L83"/>
  <c r="N83"/>
  <c r="P83"/>
  <c r="G176"/>
  <c r="I176"/>
  <c r="K176"/>
  <c r="M176"/>
  <c r="O176"/>
  <c r="S176"/>
  <c r="T176"/>
  <c r="F104"/>
  <c r="H104"/>
  <c r="J104"/>
  <c r="L104"/>
  <c r="N104"/>
  <c r="P104"/>
  <c r="F260"/>
  <c r="H260"/>
  <c r="J260"/>
  <c r="L260"/>
  <c r="N260"/>
  <c r="P260"/>
  <c r="G105"/>
  <c r="I105"/>
  <c r="K105"/>
  <c r="M105"/>
  <c r="O105"/>
  <c r="S105"/>
  <c r="T105"/>
  <c r="F175"/>
  <c r="H175"/>
  <c r="J175"/>
  <c r="L175"/>
  <c r="N175"/>
  <c r="P175"/>
  <c r="G171"/>
  <c r="I171"/>
  <c r="K171"/>
  <c r="M171"/>
  <c r="O171"/>
  <c r="S171"/>
  <c r="T171"/>
  <c r="F230"/>
  <c r="H230"/>
  <c r="J230"/>
  <c r="L230"/>
  <c r="N230"/>
  <c r="P230"/>
  <c r="G215"/>
  <c r="I215"/>
  <c r="K215"/>
  <c r="M215"/>
  <c r="O215"/>
  <c r="S215"/>
  <c r="T215"/>
  <c r="F138"/>
  <c r="H138"/>
  <c r="J138"/>
  <c r="L138"/>
  <c r="N138"/>
  <c r="P138"/>
  <c r="F103"/>
  <c r="H103"/>
  <c r="J103"/>
  <c r="L103"/>
  <c r="N103"/>
  <c r="P103"/>
  <c r="G198"/>
  <c r="I198"/>
  <c r="K198"/>
  <c r="M198"/>
  <c r="O198"/>
  <c r="S198"/>
  <c r="T198"/>
  <c r="F133"/>
  <c r="H133"/>
  <c r="J133"/>
  <c r="L133"/>
  <c r="N133"/>
  <c r="P133"/>
  <c r="F173"/>
  <c r="H173"/>
  <c r="J173"/>
  <c r="L173"/>
  <c r="N173"/>
  <c r="P173"/>
  <c r="G277"/>
  <c r="I277"/>
  <c r="K277"/>
  <c r="M277"/>
  <c r="O277"/>
  <c r="S277"/>
  <c r="T277"/>
  <c r="G223"/>
  <c r="I223"/>
  <c r="K223"/>
  <c r="M223"/>
  <c r="O223"/>
  <c r="S223"/>
  <c r="T223"/>
  <c r="F247"/>
  <c r="H247"/>
  <c r="J247"/>
  <c r="L247"/>
  <c r="N247"/>
  <c r="P247"/>
  <c r="F31"/>
  <c r="H31"/>
  <c r="J31"/>
  <c r="L31"/>
  <c r="N31"/>
  <c r="P31"/>
  <c r="G258"/>
  <c r="I258"/>
  <c r="K258"/>
  <c r="M258"/>
  <c r="O258"/>
  <c r="S258"/>
  <c r="T258"/>
  <c r="G263"/>
  <c r="I263"/>
  <c r="K263"/>
  <c r="M263"/>
  <c r="O263"/>
  <c r="S263"/>
  <c r="T263"/>
  <c r="F232"/>
  <c r="H232"/>
  <c r="J232"/>
  <c r="L232"/>
  <c r="N232"/>
  <c r="P232"/>
  <c r="F184"/>
  <c r="H184"/>
  <c r="J184"/>
  <c r="L184"/>
  <c r="N184"/>
  <c r="P184"/>
  <c r="F120"/>
  <c r="H120"/>
  <c r="J120"/>
  <c r="L120"/>
  <c r="N120"/>
  <c r="P120"/>
  <c r="G124"/>
  <c r="I124"/>
  <c r="K124"/>
  <c r="M124"/>
  <c r="O124"/>
  <c r="S124"/>
  <c r="T124"/>
  <c r="F144"/>
  <c r="H144"/>
  <c r="J144"/>
  <c r="L144"/>
  <c r="N144"/>
  <c r="P144"/>
  <c r="G274"/>
  <c r="I274"/>
  <c r="K274"/>
  <c r="M274"/>
  <c r="O274"/>
  <c r="S274"/>
  <c r="T274"/>
  <c r="G142"/>
  <c r="I142"/>
  <c r="K142"/>
  <c r="M142"/>
  <c r="O142"/>
  <c r="S142"/>
  <c r="T142"/>
  <c r="G275"/>
  <c r="I275"/>
  <c r="K275"/>
  <c r="M275"/>
  <c r="O275"/>
  <c r="S275"/>
  <c r="T275"/>
  <c r="F59"/>
  <c r="H59"/>
  <c r="J59"/>
  <c r="L59"/>
  <c r="N59"/>
  <c r="P59"/>
  <c r="G246"/>
  <c r="I246"/>
  <c r="K246"/>
  <c r="M246"/>
  <c r="O246"/>
  <c r="S246"/>
  <c r="T246"/>
  <c r="G18"/>
  <c r="I18"/>
  <c r="K18"/>
  <c r="M18"/>
  <c r="O18"/>
  <c r="S18"/>
  <c r="T18"/>
  <c r="G43"/>
  <c r="I43"/>
  <c r="K43"/>
  <c r="M43"/>
  <c r="O43"/>
  <c r="S43"/>
  <c r="T43"/>
  <c r="F33"/>
  <c r="H33"/>
  <c r="J33"/>
  <c r="L33"/>
  <c r="N33"/>
  <c r="P33"/>
  <c r="F280"/>
  <c r="H280"/>
  <c r="J280"/>
  <c r="L280"/>
  <c r="N280"/>
  <c r="P280"/>
  <c r="L152"/>
  <c r="P152"/>
  <c r="F135"/>
  <c r="J135"/>
  <c r="N135"/>
  <c r="G197"/>
  <c r="I197"/>
  <c r="K197"/>
  <c r="M197"/>
  <c r="O197"/>
  <c r="S197"/>
  <c r="T197"/>
  <c r="F269"/>
  <c r="H269"/>
  <c r="J269"/>
  <c r="L269"/>
  <c r="N269"/>
  <c r="P269"/>
  <c r="G129"/>
  <c r="I129"/>
  <c r="K129"/>
  <c r="M129"/>
  <c r="O129"/>
  <c r="S129"/>
  <c r="T129"/>
  <c r="G83"/>
  <c r="I83"/>
  <c r="K83"/>
  <c r="M83"/>
  <c r="O83"/>
  <c r="S83"/>
  <c r="T83"/>
  <c r="F176"/>
  <c r="H176"/>
  <c r="J176"/>
  <c r="L176"/>
  <c r="N176"/>
  <c r="P176"/>
  <c r="G104"/>
  <c r="I104"/>
  <c r="K104"/>
  <c r="M104"/>
  <c r="O104"/>
  <c r="S104"/>
  <c r="T104"/>
  <c r="G260"/>
  <c r="I260"/>
  <c r="K260"/>
  <c r="M260"/>
  <c r="O260"/>
  <c r="S260"/>
  <c r="T260"/>
  <c r="F105"/>
  <c r="H105"/>
  <c r="J105"/>
  <c r="L105"/>
  <c r="N105"/>
  <c r="P105"/>
  <c r="G175"/>
  <c r="I175"/>
  <c r="K175"/>
  <c r="M175"/>
  <c r="O175"/>
  <c r="S175"/>
  <c r="T175"/>
  <c r="F171"/>
  <c r="H171"/>
  <c r="J171"/>
  <c r="L171"/>
  <c r="N171"/>
  <c r="P171"/>
  <c r="G230"/>
  <c r="I230"/>
  <c r="K230"/>
  <c r="M230"/>
  <c r="O230"/>
  <c r="S230"/>
  <c r="T230"/>
  <c r="F215"/>
  <c r="H215"/>
  <c r="J215"/>
  <c r="L215"/>
  <c r="N215"/>
  <c r="P215"/>
  <c r="G138"/>
  <c r="I138"/>
  <c r="K138"/>
  <c r="M138"/>
  <c r="O138"/>
  <c r="S138"/>
  <c r="T138"/>
  <c r="G103"/>
  <c r="I103"/>
  <c r="K103"/>
  <c r="M103"/>
  <c r="O103"/>
  <c r="S103"/>
  <c r="T103"/>
  <c r="F198"/>
  <c r="H198"/>
  <c r="J198"/>
  <c r="L198"/>
  <c r="N198"/>
  <c r="P198"/>
  <c r="G133"/>
  <c r="I133"/>
  <c r="K133"/>
  <c r="M133"/>
  <c r="O133"/>
  <c r="S133"/>
  <c r="T133"/>
  <c r="G173"/>
  <c r="I173"/>
  <c r="K173"/>
  <c r="M173"/>
  <c r="O173"/>
  <c r="S173"/>
  <c r="T173"/>
  <c r="F277"/>
  <c r="H277"/>
  <c r="J277"/>
  <c r="L277"/>
  <c r="N277"/>
  <c r="P277"/>
  <c r="F223"/>
  <c r="H223"/>
  <c r="J223"/>
  <c r="L223"/>
  <c r="N223"/>
  <c r="P223"/>
  <c r="G247"/>
  <c r="I247"/>
  <c r="K247"/>
  <c r="M247"/>
  <c r="O247"/>
  <c r="S247"/>
  <c r="T247"/>
  <c r="G31"/>
  <c r="I31"/>
  <c r="K31"/>
  <c r="M31"/>
  <c r="O31"/>
  <c r="S31"/>
  <c r="T31"/>
  <c r="F258"/>
  <c r="H258"/>
  <c r="J258"/>
  <c r="L258"/>
  <c r="N258"/>
  <c r="P258"/>
  <c r="F263"/>
  <c r="H263"/>
  <c r="J263"/>
  <c r="L263"/>
  <c r="N263"/>
  <c r="P263"/>
  <c r="G232"/>
  <c r="I232"/>
  <c r="K232"/>
  <c r="M232"/>
  <c r="O232"/>
  <c r="S232"/>
  <c r="T232"/>
  <c r="G184"/>
  <c r="I184"/>
  <c r="K184"/>
  <c r="M184"/>
  <c r="O184"/>
  <c r="S184"/>
  <c r="T184"/>
  <c r="G120"/>
  <c r="I120"/>
  <c r="K120"/>
  <c r="M120"/>
  <c r="O120"/>
  <c r="S120"/>
  <c r="T120"/>
  <c r="F124"/>
  <c r="H124"/>
  <c r="J124"/>
  <c r="L124"/>
  <c r="N124"/>
  <c r="P124"/>
  <c r="G144"/>
  <c r="I144"/>
  <c r="K144"/>
  <c r="M144"/>
  <c r="O144"/>
  <c r="S144"/>
  <c r="T144"/>
  <c r="F274"/>
  <c r="H274"/>
  <c r="J274"/>
  <c r="L274"/>
  <c r="N274"/>
  <c r="P274"/>
  <c r="F142"/>
  <c r="H142"/>
  <c r="J142"/>
  <c r="L142"/>
  <c r="N142"/>
  <c r="P142"/>
  <c r="F275"/>
  <c r="H275"/>
  <c r="J275"/>
  <c r="L275"/>
  <c r="N275"/>
  <c r="P275"/>
  <c r="G59"/>
  <c r="I59"/>
  <c r="K59"/>
  <c r="M59"/>
  <c r="O59"/>
  <c r="S59"/>
  <c r="T59"/>
  <c r="F246"/>
  <c r="H246"/>
  <c r="J246"/>
  <c r="L246"/>
  <c r="N246"/>
  <c r="P246"/>
  <c r="F18"/>
  <c r="H18"/>
  <c r="J18"/>
  <c r="L18"/>
  <c r="N18"/>
  <c r="P18"/>
  <c r="F43"/>
  <c r="H43"/>
  <c r="J43"/>
  <c r="L43"/>
  <c r="N43"/>
  <c r="P43"/>
  <c r="G33"/>
  <c r="I33"/>
  <c r="K33"/>
  <c r="M33"/>
  <c r="O33"/>
  <c r="S33"/>
  <c r="T33"/>
  <c r="G280"/>
  <c r="I280"/>
  <c r="K280"/>
  <c r="M280"/>
  <c r="O280"/>
  <c r="S280"/>
  <c r="T280"/>
  <c r="S181"/>
  <c r="T181"/>
  <c r="O181"/>
  <c r="M181"/>
  <c r="K181"/>
  <c r="I181"/>
  <c r="G181"/>
  <c r="S69"/>
  <c r="T69"/>
  <c r="O69"/>
  <c r="M69"/>
  <c r="K69"/>
  <c r="I69"/>
  <c r="G69"/>
  <c r="Q128"/>
  <c r="Q265"/>
  <c r="Q68"/>
  <c r="Q147"/>
  <c r="Q172"/>
  <c r="Q110"/>
  <c r="Q124"/>
  <c r="Q43"/>
  <c r="Q202"/>
  <c r="Q216"/>
  <c r="Q188"/>
  <c r="Q241"/>
  <c r="Q143"/>
  <c r="Q11"/>
  <c r="Q73"/>
  <c r="Q121"/>
  <c r="Q131"/>
  <c r="Q251"/>
  <c r="Q287"/>
  <c r="Q114"/>
  <c r="Q281"/>
  <c r="Q169"/>
  <c r="Q12"/>
  <c r="Q88"/>
  <c r="Q74"/>
  <c r="Q32"/>
  <c r="Q9"/>
  <c r="Q213"/>
  <c r="Q134"/>
  <c r="Q34"/>
  <c r="Q119"/>
  <c r="Q60"/>
  <c r="Q237"/>
  <c r="Q15"/>
  <c r="Q160"/>
  <c r="Q220"/>
  <c r="Q47"/>
  <c r="Q218"/>
  <c r="Q242"/>
  <c r="Q24"/>
  <c r="Q115"/>
  <c r="Q256"/>
  <c r="Q64"/>
  <c r="Q168"/>
  <c r="Q253"/>
  <c r="Q96"/>
  <c r="Q26"/>
  <c r="Q94"/>
  <c r="Q187"/>
  <c r="Q222"/>
  <c r="Q192"/>
  <c r="Q171"/>
  <c r="Q259"/>
  <c r="Q229"/>
  <c r="Q267"/>
  <c r="Q155"/>
  <c r="Q203"/>
  <c r="Q268"/>
  <c r="Q276"/>
  <c r="Q277"/>
  <c r="U56"/>
  <c r="W56"/>
  <c r="Q243"/>
  <c r="Q158"/>
  <c r="Q71"/>
  <c r="Q118"/>
  <c r="Q117"/>
  <c r="Q148"/>
  <c r="Q6"/>
  <c r="Q225"/>
  <c r="Q30"/>
  <c r="Q261"/>
  <c r="Q76"/>
  <c r="Q23"/>
  <c r="Q199"/>
  <c r="Q144"/>
  <c r="Q269"/>
  <c r="Q264"/>
  <c r="Q231"/>
  <c r="Q95"/>
  <c r="Q164"/>
  <c r="Q142"/>
  <c r="Q179"/>
  <c r="Q53"/>
  <c r="Q178"/>
  <c r="Q19"/>
  <c r="Q244"/>
  <c r="Q63"/>
  <c r="Q180"/>
  <c r="Q233"/>
  <c r="Q279"/>
  <c r="Q91"/>
  <c r="Q72"/>
  <c r="Q5"/>
  <c r="Q240"/>
  <c r="Q165"/>
  <c r="Q52"/>
  <c r="Q245"/>
  <c r="Q81"/>
  <c r="Q108"/>
  <c r="Q140"/>
  <c r="Q45"/>
  <c r="Q272"/>
  <c r="Q278"/>
  <c r="Q61"/>
  <c r="Q40"/>
  <c r="Q226"/>
  <c r="Q283"/>
  <c r="Q212"/>
  <c r="Q174"/>
  <c r="Q193"/>
  <c r="Q170"/>
  <c r="Q84"/>
  <c r="Q13"/>
  <c r="Q111"/>
  <c r="Q157"/>
  <c r="Q190"/>
  <c r="Q86"/>
  <c r="Q35"/>
  <c r="Q236"/>
  <c r="Q263"/>
  <c r="Q25"/>
  <c r="Q89"/>
  <c r="Q238"/>
  <c r="Q145"/>
  <c r="Q87"/>
  <c r="Q29"/>
  <c r="Q28"/>
  <c r="Q130"/>
  <c r="Q201"/>
  <c r="Q70"/>
  <c r="Q182"/>
  <c r="Q227"/>
  <c r="Q39"/>
  <c r="Q167"/>
  <c r="Q103"/>
  <c r="Q186"/>
  <c r="Q59"/>
  <c r="Q120"/>
  <c r="Q161"/>
  <c r="Q101"/>
  <c r="Q58"/>
  <c r="Q66"/>
  <c r="Q282"/>
  <c r="Q21"/>
  <c r="Q82"/>
  <c r="Q48"/>
  <c r="Q69"/>
  <c r="Q214"/>
  <c r="Q112"/>
  <c r="Q175"/>
  <c r="Q152"/>
  <c r="Q65"/>
  <c r="Q17"/>
  <c r="Q105"/>
  <c r="Q149"/>
  <c r="Q232"/>
  <c r="Q10"/>
  <c r="Q133"/>
  <c r="Q33"/>
  <c r="Q181"/>
  <c r="Q156"/>
  <c r="Q57"/>
  <c r="Q223"/>
  <c r="Q235"/>
  <c r="Q49"/>
  <c r="Q50"/>
  <c r="Q98"/>
  <c r="Q211"/>
  <c r="Q270"/>
  <c r="Q206"/>
  <c r="Q27"/>
  <c r="Q286"/>
  <c r="Q162"/>
  <c r="Q273"/>
  <c r="Q135"/>
  <c r="Q31"/>
  <c r="Q189"/>
  <c r="Q113"/>
  <c r="Q275"/>
  <c r="Q122"/>
  <c r="Q20"/>
  <c r="Q200"/>
  <c r="Q138"/>
  <c r="Q184"/>
  <c r="Q36"/>
  <c r="Q78"/>
  <c r="Q125"/>
  <c r="Q228"/>
  <c r="Q215"/>
  <c r="Q234"/>
  <c r="Q8"/>
  <c r="Q67"/>
  <c r="Q22"/>
  <c r="Q137"/>
  <c r="Q97"/>
  <c r="Q246"/>
  <c r="Q221"/>
  <c r="Q284"/>
  <c r="Q257"/>
  <c r="Q38"/>
  <c r="Q7"/>
  <c r="Q285"/>
  <c r="Q93"/>
  <c r="Q262"/>
  <c r="Q208"/>
  <c r="Q288"/>
  <c r="Q271"/>
  <c r="Q126"/>
  <c r="Q177"/>
  <c r="Q99"/>
  <c r="Q79"/>
  <c r="Q196"/>
  <c r="Q109"/>
  <c r="Q90"/>
  <c r="Q239"/>
  <c r="U98"/>
  <c r="W98"/>
  <c r="U87"/>
  <c r="W87"/>
  <c r="U222"/>
  <c r="W222"/>
  <c r="U229"/>
  <c r="W229"/>
  <c r="U22"/>
  <c r="W22"/>
  <c r="U52"/>
  <c r="W52"/>
  <c r="U146"/>
  <c r="W146"/>
  <c r="U26"/>
  <c r="W26"/>
  <c r="U256"/>
  <c r="W256"/>
  <c r="U156"/>
  <c r="W156"/>
  <c r="U125"/>
  <c r="W125"/>
  <c r="U164"/>
  <c r="W164"/>
  <c r="U57"/>
  <c r="W57"/>
  <c r="U30"/>
  <c r="W30"/>
  <c r="U259"/>
  <c r="W259"/>
  <c r="U102"/>
  <c r="W102"/>
  <c r="U195"/>
  <c r="W195"/>
  <c r="U211"/>
  <c r="W211"/>
  <c r="U34"/>
  <c r="W34"/>
  <c r="U171"/>
  <c r="W171"/>
  <c r="U36"/>
  <c r="W36"/>
  <c r="U115"/>
  <c r="W115"/>
  <c r="U118"/>
  <c r="W118"/>
  <c r="U80"/>
  <c r="W80"/>
  <c r="U84"/>
  <c r="W84"/>
  <c r="U75"/>
  <c r="W75"/>
  <c r="U86"/>
  <c r="W86"/>
  <c r="U242"/>
  <c r="W242"/>
  <c r="U53"/>
  <c r="W53"/>
  <c r="U183"/>
  <c r="W183"/>
  <c r="U138"/>
  <c r="W138"/>
  <c r="U33"/>
  <c r="W33"/>
  <c r="U154"/>
  <c r="W154"/>
  <c r="U7"/>
  <c r="W7"/>
  <c r="U203"/>
  <c r="W203"/>
  <c r="U168"/>
  <c r="W168"/>
  <c r="U134"/>
  <c r="W134"/>
  <c r="U117"/>
  <c r="W117"/>
  <c r="U260"/>
  <c r="W260"/>
  <c r="U135"/>
  <c r="W135"/>
  <c r="U237"/>
  <c r="W237"/>
  <c r="U81"/>
  <c r="W81"/>
  <c r="U31"/>
  <c r="W31"/>
  <c r="U281"/>
  <c r="W281"/>
  <c r="U223"/>
  <c r="W223"/>
  <c r="U169"/>
  <c r="W169"/>
  <c r="U69"/>
  <c r="W69"/>
  <c r="U170"/>
  <c r="W170"/>
  <c r="U149"/>
  <c r="W149"/>
  <c r="U150"/>
  <c r="W150"/>
  <c r="U233"/>
  <c r="W233"/>
  <c r="U122"/>
  <c r="W122"/>
  <c r="U12"/>
  <c r="W12"/>
  <c r="U247"/>
  <c r="W247"/>
  <c r="U231"/>
  <c r="W231"/>
  <c r="U66"/>
  <c r="W66"/>
  <c r="U108"/>
  <c r="W108"/>
  <c r="U224"/>
  <c r="W224"/>
  <c r="U184"/>
  <c r="W184"/>
  <c r="U43"/>
  <c r="W43"/>
  <c r="U206"/>
  <c r="W206"/>
  <c r="U55"/>
  <c r="W55"/>
  <c r="U131"/>
  <c r="W131"/>
  <c r="U139"/>
  <c r="W139"/>
  <c r="U132"/>
  <c r="W132"/>
  <c r="U228"/>
  <c r="W228"/>
  <c r="U201"/>
  <c r="W201"/>
  <c r="U197"/>
  <c r="W197"/>
  <c r="U161"/>
  <c r="W161"/>
  <c r="U136"/>
  <c r="W136"/>
  <c r="U14"/>
  <c r="W14"/>
  <c r="U192"/>
  <c r="W192"/>
  <c r="U245"/>
  <c r="W245"/>
  <c r="U283"/>
  <c r="W283"/>
  <c r="U65"/>
  <c r="W65"/>
  <c r="U165"/>
  <c r="W165"/>
  <c r="U60"/>
  <c r="W60"/>
  <c r="U105"/>
  <c r="W105"/>
  <c r="U286"/>
  <c r="W286"/>
  <c r="U230"/>
  <c r="W230"/>
  <c r="U261"/>
  <c r="W261"/>
  <c r="U252"/>
  <c r="W252"/>
  <c r="U216"/>
  <c r="W216"/>
  <c r="U219"/>
  <c r="W219"/>
  <c r="U176"/>
  <c r="W176"/>
  <c r="U20"/>
  <c r="W20"/>
  <c r="U38"/>
  <c r="W38"/>
  <c r="U239"/>
  <c r="W239"/>
  <c r="U10"/>
  <c r="W10"/>
  <c r="U29"/>
  <c r="W29"/>
  <c r="U126"/>
  <c r="W126"/>
  <c r="U76"/>
  <c r="W76"/>
  <c r="U21"/>
  <c r="W21"/>
  <c r="U277"/>
  <c r="W277"/>
  <c r="U244"/>
  <c r="W244"/>
  <c r="U70"/>
  <c r="W70"/>
  <c r="U272"/>
  <c r="W272"/>
  <c r="U212"/>
  <c r="W212"/>
  <c r="U232"/>
  <c r="W232"/>
  <c r="U61"/>
  <c r="W61"/>
  <c r="U159"/>
  <c r="W159"/>
  <c r="U218"/>
  <c r="W218"/>
  <c r="U151"/>
  <c r="W151"/>
  <c r="U96"/>
  <c r="W96"/>
  <c r="U45"/>
  <c r="W45"/>
  <c r="U167"/>
  <c r="W167"/>
  <c r="U199"/>
  <c r="W199"/>
  <c r="U241"/>
  <c r="W241"/>
  <c r="U71"/>
  <c r="W71"/>
  <c r="U190"/>
  <c r="W190"/>
  <c r="U189"/>
  <c r="W189"/>
  <c r="U145"/>
  <c r="W145"/>
  <c r="U255"/>
  <c r="W255"/>
  <c r="U109"/>
  <c r="W109"/>
  <c r="U54"/>
  <c r="W54"/>
  <c r="U180"/>
  <c r="W180"/>
  <c r="U288"/>
  <c r="W288"/>
  <c r="U243"/>
  <c r="W243"/>
  <c r="U18"/>
  <c r="W18"/>
  <c r="U220"/>
  <c r="W220"/>
  <c r="U254"/>
  <c r="W254"/>
  <c r="U253"/>
  <c r="W253"/>
  <c r="U72"/>
  <c r="W72"/>
  <c r="U209"/>
  <c r="W209"/>
  <c r="U93"/>
  <c r="W93"/>
  <c r="U275"/>
  <c r="W275"/>
  <c r="U160"/>
  <c r="W160"/>
  <c r="U15"/>
  <c r="W15"/>
  <c r="U50"/>
  <c r="W50"/>
  <c r="U166"/>
  <c r="W166"/>
  <c r="U249"/>
  <c r="W249"/>
  <c r="U210"/>
  <c r="W210"/>
  <c r="U74"/>
  <c r="W74"/>
  <c r="U63"/>
  <c r="W63"/>
  <c r="U42"/>
  <c r="W42"/>
  <c r="U123"/>
  <c r="W123"/>
  <c r="U112"/>
  <c r="W112"/>
  <c r="U152"/>
  <c r="W152"/>
  <c r="U173"/>
  <c r="W173"/>
  <c r="U187"/>
  <c r="W187"/>
  <c r="U103"/>
  <c r="W103"/>
  <c r="U101"/>
  <c r="W101"/>
  <c r="U62"/>
  <c r="W62"/>
  <c r="U116"/>
  <c r="W116"/>
  <c r="U194"/>
  <c r="W194"/>
  <c r="U198"/>
  <c r="W198"/>
  <c r="U287"/>
  <c r="W287"/>
  <c r="U264"/>
  <c r="W264"/>
  <c r="U265"/>
  <c r="W265"/>
  <c r="U258"/>
  <c r="W258"/>
  <c r="U25"/>
  <c r="W25"/>
  <c r="U282"/>
  <c r="W282"/>
  <c r="U251"/>
  <c r="W251"/>
  <c r="U177"/>
  <c r="W177"/>
  <c r="U140"/>
  <c r="W140"/>
  <c r="U172"/>
  <c r="W172"/>
  <c r="U32"/>
  <c r="W32"/>
  <c r="U106"/>
  <c r="W106"/>
  <c r="U23"/>
  <c r="W23"/>
  <c r="U85"/>
  <c r="W85"/>
  <c r="U196"/>
  <c r="W196"/>
  <c r="U82"/>
  <c r="W82"/>
  <c r="U91"/>
  <c r="W91"/>
  <c r="U269"/>
  <c r="W269"/>
  <c r="U59"/>
  <c r="W59"/>
  <c r="U8"/>
  <c r="W8"/>
  <c r="U128"/>
  <c r="W128"/>
  <c r="U48"/>
  <c r="W48"/>
  <c r="U90"/>
  <c r="W90"/>
  <c r="U97"/>
  <c r="W97"/>
  <c r="U9"/>
  <c r="W9"/>
  <c r="U111"/>
  <c r="W111"/>
  <c r="U276"/>
  <c r="W276"/>
  <c r="U67"/>
  <c r="W67"/>
  <c r="U24"/>
  <c r="W24"/>
  <c r="U257"/>
  <c r="W257"/>
  <c r="U110"/>
  <c r="W110"/>
  <c r="U95"/>
  <c r="W95"/>
  <c r="U41"/>
  <c r="W41"/>
  <c r="U280"/>
  <c r="W280"/>
  <c r="U137"/>
  <c r="W137"/>
  <c r="U181"/>
  <c r="W181"/>
  <c r="U77"/>
  <c r="W77"/>
  <c r="U141"/>
  <c r="W141"/>
  <c r="U120"/>
  <c r="W120"/>
  <c r="U238"/>
  <c r="W238"/>
  <c r="U227"/>
  <c r="W227"/>
  <c r="U119"/>
  <c r="W119"/>
  <c r="U104"/>
  <c r="W104"/>
  <c r="U147"/>
  <c r="W147"/>
  <c r="U226"/>
  <c r="W226"/>
  <c r="U178"/>
  <c r="W178"/>
  <c r="U204"/>
  <c r="W204"/>
  <c r="U78"/>
  <c r="W78"/>
  <c r="U200"/>
  <c r="W200"/>
  <c r="U148"/>
  <c r="W148"/>
  <c r="U284"/>
  <c r="W284"/>
  <c r="U225"/>
  <c r="W225"/>
  <c r="U130"/>
  <c r="W130"/>
  <c r="U39"/>
  <c r="W39"/>
  <c r="U217"/>
  <c r="W217"/>
  <c r="U35"/>
  <c r="W35"/>
  <c r="U79"/>
  <c r="W79"/>
  <c r="U44"/>
  <c r="W44"/>
  <c r="U16"/>
  <c r="W16"/>
  <c r="U37"/>
  <c r="W37"/>
  <c r="U27"/>
  <c r="W27"/>
  <c r="U113"/>
  <c r="W113"/>
  <c r="U133"/>
  <c r="W133"/>
  <c r="U40"/>
  <c r="W40"/>
  <c r="U157"/>
  <c r="W157"/>
  <c r="U236"/>
  <c r="W236"/>
  <c r="U250"/>
  <c r="W250"/>
  <c r="U46"/>
  <c r="W46"/>
  <c r="U100"/>
  <c r="W100"/>
  <c r="U49"/>
  <c r="W49"/>
  <c r="U89"/>
  <c r="W89"/>
  <c r="U263"/>
  <c r="W263"/>
  <c r="U278"/>
  <c r="W278"/>
  <c r="U163"/>
  <c r="W163"/>
  <c r="U155"/>
  <c r="W155"/>
  <c r="U64"/>
  <c r="W64"/>
  <c r="U94"/>
  <c r="W94"/>
  <c r="U279"/>
  <c r="W279"/>
  <c r="U235"/>
  <c r="W235"/>
  <c r="U127"/>
  <c r="W127"/>
  <c r="U274"/>
  <c r="W274"/>
  <c r="U158"/>
  <c r="W158"/>
  <c r="U6"/>
  <c r="W6"/>
  <c r="U179"/>
  <c r="W179"/>
  <c r="U285"/>
  <c r="W285"/>
  <c r="U107"/>
  <c r="W107"/>
  <c r="U73"/>
  <c r="W73"/>
  <c r="U114"/>
  <c r="W114"/>
  <c r="U262"/>
  <c r="W262"/>
  <c r="U143"/>
  <c r="W143"/>
  <c r="U142"/>
  <c r="W142"/>
  <c r="U221"/>
  <c r="W221"/>
  <c r="U124"/>
  <c r="W124"/>
  <c r="U214"/>
  <c r="W214"/>
  <c r="U88"/>
  <c r="W88"/>
  <c r="U186"/>
  <c r="W186"/>
  <c r="U205"/>
  <c r="W205"/>
  <c r="U191"/>
  <c r="W191"/>
  <c r="U17"/>
  <c r="W17"/>
  <c r="U240"/>
  <c r="W240"/>
  <c r="U47"/>
  <c r="W47"/>
  <c r="U92"/>
  <c r="W92"/>
  <c r="U129"/>
  <c r="W129"/>
  <c r="U248"/>
  <c r="W248"/>
  <c r="U162"/>
  <c r="W162"/>
  <c r="U208"/>
  <c r="W208"/>
  <c r="U193"/>
  <c r="W193"/>
  <c r="U266"/>
  <c r="W266"/>
  <c r="U5"/>
  <c r="W5"/>
  <c r="U268"/>
  <c r="W268"/>
  <c r="U51"/>
  <c r="W51"/>
  <c r="U11"/>
  <c r="W11"/>
  <c r="U213"/>
  <c r="W213"/>
  <c r="U270"/>
  <c r="W270"/>
  <c r="U271"/>
  <c r="W271"/>
  <c r="U58"/>
  <c r="W58"/>
  <c r="U68"/>
  <c r="W68"/>
  <c r="U234"/>
  <c r="W234"/>
  <c r="U99"/>
  <c r="W99"/>
  <c r="U121"/>
  <c r="W121"/>
  <c r="U267"/>
  <c r="W267"/>
  <c r="U185"/>
  <c r="W185"/>
  <c r="U144"/>
  <c r="W144"/>
  <c r="U13"/>
  <c r="W13"/>
  <c r="U174"/>
  <c r="W174"/>
  <c r="U202"/>
  <c r="W202"/>
  <c r="U19"/>
  <c r="W19"/>
  <c r="U153"/>
  <c r="W153"/>
  <c r="U83"/>
  <c r="W83"/>
  <c r="U207"/>
  <c r="W207"/>
  <c r="U246"/>
  <c r="W246"/>
  <c r="U28"/>
  <c r="W28"/>
  <c r="U182"/>
  <c r="W182"/>
  <c r="U215"/>
  <c r="W215"/>
  <c r="U273"/>
  <c r="W273"/>
  <c r="Q14"/>
  <c r="Q260"/>
  <c r="Q230"/>
  <c r="Q258"/>
  <c r="Q224"/>
  <c r="Q249"/>
  <c r="Q75"/>
  <c r="Q247"/>
  <c r="Q250"/>
  <c r="Q56"/>
  <c r="Q44"/>
  <c r="Q123"/>
  <c r="Q55"/>
  <c r="Q191"/>
  <c r="Q185"/>
  <c r="Q209"/>
  <c r="Q83"/>
  <c r="Q51"/>
  <c r="Q132"/>
  <c r="Q150"/>
  <c r="Q195"/>
  <c r="Q85"/>
  <c r="Q139"/>
  <c r="Q37"/>
  <c r="Q153"/>
  <c r="Q151"/>
  <c r="Q183"/>
  <c r="Q80"/>
  <c r="Q18"/>
  <c r="Q274"/>
  <c r="Q41"/>
  <c r="Q266"/>
  <c r="Q207"/>
  <c r="Q210"/>
  <c r="Q102"/>
  <c r="Q204"/>
  <c r="Q166"/>
  <c r="Q16"/>
  <c r="Q252"/>
  <c r="Q106"/>
  <c r="Q198"/>
  <c r="Q197"/>
  <c r="Q173"/>
  <c r="Q176"/>
  <c r="Q92"/>
  <c r="Q219"/>
  <c r="Q159"/>
  <c r="Q141"/>
  <c r="Q127"/>
  <c r="Q107"/>
  <c r="Q136"/>
  <c r="Q255"/>
  <c r="Q194"/>
  <c r="Q154"/>
  <c r="Q280"/>
  <c r="Q248"/>
  <c r="Q116"/>
  <c r="Q104"/>
  <c r="Q42"/>
  <c r="Q100"/>
  <c r="Q146"/>
  <c r="Q77"/>
  <c r="Q205"/>
  <c r="Q129"/>
  <c r="Q54"/>
  <c r="Q163"/>
  <c r="Q217"/>
  <c r="Q62"/>
  <c r="Q46"/>
  <c r="Q254"/>
  <c r="U188"/>
  <c r="W188"/>
  <c r="U175"/>
  <c r="W175"/>
  <c r="D202"/>
  <c r="D157"/>
  <c r="D193"/>
  <c r="D278"/>
  <c r="D287"/>
  <c r="D114"/>
  <c r="D174"/>
  <c r="D251"/>
  <c r="D259"/>
  <c r="D238"/>
  <c r="D66"/>
  <c r="D229"/>
  <c r="D111"/>
  <c r="D139"/>
  <c r="D55"/>
  <c r="D219"/>
  <c r="D255"/>
  <c r="D51"/>
  <c r="D194"/>
  <c r="D218"/>
  <c r="D126"/>
  <c r="D208"/>
  <c r="D185"/>
  <c r="D224"/>
  <c r="D273"/>
  <c r="D257"/>
  <c r="D69"/>
  <c r="D220"/>
  <c r="D227"/>
  <c r="D250"/>
  <c r="D262"/>
  <c r="D191"/>
  <c r="D204"/>
  <c r="D48"/>
  <c r="D97"/>
  <c r="D99"/>
  <c r="D282"/>
  <c r="D197"/>
  <c r="D260"/>
  <c r="D138"/>
  <c r="D223"/>
  <c r="D263"/>
  <c r="D104"/>
  <c r="E56"/>
  <c r="Z56"/>
  <c r="Y56"/>
  <c r="AA56"/>
  <c r="E281"/>
  <c r="Y281"/>
  <c r="AA281"/>
  <c r="Z281"/>
  <c r="E150"/>
  <c r="Y150"/>
  <c r="AA150"/>
  <c r="Z150"/>
  <c r="E274"/>
  <c r="Y274"/>
  <c r="Z274"/>
  <c r="AA274"/>
  <c r="E257"/>
  <c r="Y257"/>
  <c r="AA257"/>
  <c r="Z257"/>
  <c r="E268"/>
  <c r="Y268"/>
  <c r="Z268"/>
  <c r="AA268"/>
  <c r="E179"/>
  <c r="Y179"/>
  <c r="AA179"/>
  <c r="Z179"/>
  <c r="E223"/>
  <c r="Y223"/>
  <c r="AA223"/>
  <c r="Z223"/>
  <c r="E193"/>
  <c r="Y193"/>
  <c r="AA193"/>
  <c r="Z193"/>
  <c r="E146"/>
  <c r="Y146"/>
  <c r="Z146"/>
  <c r="AA146"/>
  <c r="E173"/>
  <c r="Y173"/>
  <c r="Z173"/>
  <c r="AA173"/>
  <c r="E231"/>
  <c r="Y231"/>
  <c r="AA231"/>
  <c r="Z231"/>
  <c r="E189"/>
  <c r="Y189"/>
  <c r="Z189"/>
  <c r="AA189"/>
  <c r="E87"/>
  <c r="Z87"/>
  <c r="AA87"/>
  <c r="E67"/>
  <c r="Z67"/>
  <c r="AA67"/>
  <c r="E220"/>
  <c r="Z220"/>
  <c r="AA220"/>
  <c r="E229"/>
  <c r="AA229"/>
  <c r="Z229"/>
  <c r="E237"/>
  <c r="AA237"/>
  <c r="Z237"/>
  <c r="E185"/>
  <c r="AA185"/>
  <c r="Z185"/>
  <c r="E273"/>
  <c r="AA273"/>
  <c r="Z273"/>
  <c r="E209"/>
  <c r="AA209"/>
  <c r="Z209"/>
  <c r="E139"/>
  <c r="AA139"/>
  <c r="Z139"/>
  <c r="E68"/>
  <c r="AA68"/>
  <c r="Z68"/>
  <c r="E190"/>
  <c r="Z190"/>
  <c r="AA190"/>
  <c r="E256"/>
  <c r="Y256"/>
  <c r="Z256"/>
  <c r="AA256"/>
  <c r="E180"/>
  <c r="Y180"/>
  <c r="Z180"/>
  <c r="AA180"/>
  <c r="E159"/>
  <c r="Y159"/>
  <c r="Z159"/>
  <c r="AA159"/>
  <c r="E155"/>
  <c r="Y155"/>
  <c r="AA155"/>
  <c r="Z155"/>
  <c r="E263"/>
  <c r="Y263"/>
  <c r="AA263"/>
  <c r="Z263"/>
  <c r="E270"/>
  <c r="Y270"/>
  <c r="AA270"/>
  <c r="Z270"/>
  <c r="E89"/>
  <c r="Z89"/>
  <c r="AA89"/>
  <c r="E247"/>
  <c r="Y247"/>
  <c r="Z247"/>
  <c r="AA247"/>
  <c r="E93"/>
  <c r="Y93"/>
  <c r="Z93"/>
  <c r="AA93"/>
  <c r="E58"/>
  <c r="Y58"/>
  <c r="Z58"/>
  <c r="AA58"/>
  <c r="E162"/>
  <c r="Y162"/>
  <c r="Z162"/>
  <c r="AA162"/>
  <c r="E201"/>
  <c r="Y201"/>
  <c r="AA201"/>
  <c r="Z201"/>
  <c r="E278"/>
  <c r="AA278"/>
  <c r="Z278"/>
  <c r="E260"/>
  <c r="Z260"/>
  <c r="AA260"/>
  <c r="E149"/>
  <c r="Z149"/>
  <c r="AA149"/>
  <c r="E288"/>
  <c r="Z288"/>
  <c r="AA288"/>
  <c r="E83"/>
  <c r="AA83"/>
  <c r="Z83"/>
  <c r="E255"/>
  <c r="Z255"/>
  <c r="AA255"/>
  <c r="E271"/>
  <c r="Z271"/>
  <c r="AA271"/>
  <c r="E275"/>
  <c r="AA275"/>
  <c r="Z275"/>
  <c r="E279"/>
  <c r="AA279"/>
  <c r="Z279"/>
  <c r="E222"/>
  <c r="Z222"/>
  <c r="AA222"/>
  <c r="E143"/>
  <c r="Z143"/>
  <c r="AA143"/>
  <c r="E203"/>
  <c r="Z203"/>
  <c r="AA203"/>
  <c r="E232"/>
  <c r="AA232"/>
  <c r="Z232"/>
  <c r="E208"/>
  <c r="Z208"/>
  <c r="AA208"/>
  <c r="E202"/>
  <c r="Y202"/>
  <c r="AA202"/>
  <c r="Z202"/>
  <c r="E72"/>
  <c r="Y72"/>
  <c r="AA72"/>
  <c r="Z72"/>
  <c r="E235"/>
  <c r="Y235"/>
  <c r="Z235"/>
  <c r="AA235"/>
  <c r="E108"/>
  <c r="Y108"/>
  <c r="AA108"/>
  <c r="Z108"/>
  <c r="E285"/>
  <c r="Y285"/>
  <c r="AA285"/>
  <c r="Z285"/>
  <c r="E212"/>
  <c r="AA212"/>
  <c r="Z212"/>
  <c r="E188"/>
  <c r="AA188"/>
  <c r="Z188"/>
  <c r="E52"/>
  <c r="Z52"/>
  <c r="AA52"/>
  <c r="E169"/>
  <c r="Z169"/>
  <c r="AA169"/>
  <c r="E144"/>
  <c r="AA144"/>
  <c r="Z144"/>
  <c r="E135"/>
  <c r="Z135"/>
  <c r="AA135"/>
  <c r="E145"/>
  <c r="Z145"/>
  <c r="AA145"/>
  <c r="E243"/>
  <c r="AA243"/>
  <c r="Z243"/>
  <c r="E213"/>
  <c r="Y213"/>
  <c r="Z213"/>
  <c r="AA213"/>
  <c r="E142"/>
  <c r="Y142"/>
  <c r="Z142"/>
  <c r="AA142"/>
  <c r="E100"/>
  <c r="Y100"/>
  <c r="Z100"/>
  <c r="AA100"/>
  <c r="E241"/>
  <c r="Y241"/>
  <c r="AA241"/>
  <c r="Z241"/>
  <c r="E158"/>
  <c r="Y158"/>
  <c r="Z158"/>
  <c r="AA158"/>
  <c r="E267"/>
  <c r="Y267"/>
  <c r="Z267"/>
  <c r="AA267"/>
  <c r="E266"/>
  <c r="Y266"/>
  <c r="AA266"/>
  <c r="Z266"/>
  <c r="E175"/>
  <c r="Y175"/>
  <c r="AA175"/>
  <c r="Z175"/>
  <c r="E51"/>
  <c r="Z51"/>
  <c r="AA51"/>
  <c r="E168"/>
  <c r="Z168"/>
  <c r="AA168"/>
  <c r="E71"/>
  <c r="AA71"/>
  <c r="Z71"/>
  <c r="E174"/>
  <c r="Z174"/>
  <c r="AA174"/>
  <c r="E184"/>
  <c r="AA184"/>
  <c r="Z184"/>
  <c r="E152"/>
  <c r="Z152"/>
  <c r="AA152"/>
  <c r="E18"/>
  <c r="AA18"/>
  <c r="Z18"/>
  <c r="E253"/>
  <c r="AA253"/>
  <c r="Z253"/>
  <c r="E55"/>
  <c r="AA55"/>
  <c r="Z55"/>
  <c r="E254"/>
  <c r="Z254"/>
  <c r="AA254"/>
  <c r="E234"/>
  <c r="Y234"/>
  <c r="Z234"/>
  <c r="AA234"/>
  <c r="E224"/>
  <c r="AA224"/>
  <c r="Z224"/>
  <c r="E246"/>
  <c r="Z246"/>
  <c r="AA246"/>
  <c r="E117"/>
  <c r="Z117"/>
  <c r="AA117"/>
  <c r="E64"/>
  <c r="AA64"/>
  <c r="Z64"/>
  <c r="E99"/>
  <c r="AA99"/>
  <c r="Z99"/>
  <c r="E26"/>
  <c r="AA26"/>
  <c r="Z26"/>
  <c r="E170"/>
  <c r="AA170"/>
  <c r="Z170"/>
  <c r="E98"/>
  <c r="AA98"/>
  <c r="Z98"/>
  <c r="E151"/>
  <c r="AA151"/>
  <c r="Z151"/>
  <c r="E73"/>
  <c r="AA73"/>
  <c r="Z73"/>
  <c r="E242"/>
  <c r="Y242"/>
  <c r="AA242"/>
  <c r="Z242"/>
  <c r="E238"/>
  <c r="Y238"/>
  <c r="AA238"/>
  <c r="Z238"/>
  <c r="E258"/>
  <c r="Y258"/>
  <c r="Z258"/>
  <c r="AA258"/>
  <c r="E265"/>
  <c r="Y265"/>
  <c r="Z265"/>
  <c r="AA265"/>
  <c r="E276"/>
  <c r="Y276"/>
  <c r="AA276"/>
  <c r="Z276"/>
  <c r="E77"/>
  <c r="Y77"/>
  <c r="Z77"/>
  <c r="AA77"/>
  <c r="E126"/>
  <c r="Y126"/>
  <c r="AA126"/>
  <c r="Z126"/>
  <c r="E283"/>
  <c r="Y283"/>
  <c r="Z283"/>
  <c r="AA283"/>
  <c r="E38"/>
  <c r="Y38"/>
  <c r="Z38"/>
  <c r="AA38"/>
  <c r="E10"/>
  <c r="Y10"/>
  <c r="Z10"/>
  <c r="AA10"/>
  <c r="E245"/>
  <c r="Y245"/>
  <c r="AA245"/>
  <c r="Z245"/>
  <c r="E187"/>
  <c r="Y187"/>
  <c r="Z187"/>
  <c r="AA187"/>
  <c r="E125"/>
  <c r="Y125"/>
  <c r="Z125"/>
  <c r="AA125"/>
  <c r="E227"/>
  <c r="Y227"/>
  <c r="Z227"/>
  <c r="AA227"/>
  <c r="E200"/>
  <c r="Y200"/>
  <c r="AA200"/>
  <c r="Z200"/>
  <c r="E230"/>
  <c r="Y230"/>
  <c r="AA230"/>
  <c r="Z230"/>
  <c r="E176"/>
  <c r="Y176"/>
  <c r="AA176"/>
  <c r="Z176"/>
  <c r="E177"/>
  <c r="Y177"/>
  <c r="AA177"/>
  <c r="Z177"/>
  <c r="E154"/>
  <c r="Y154"/>
  <c r="Z154"/>
  <c r="AA154"/>
  <c r="E251"/>
  <c r="Y251"/>
  <c r="AA251"/>
  <c r="Z251"/>
  <c r="E172"/>
  <c r="Y172"/>
  <c r="AA172"/>
  <c r="Z172"/>
  <c r="E60"/>
  <c r="Y60"/>
  <c r="Z60"/>
  <c r="AA60"/>
  <c r="E269"/>
  <c r="Y269"/>
  <c r="AA269"/>
  <c r="Z269"/>
  <c r="E192"/>
  <c r="Y192"/>
  <c r="Z192"/>
  <c r="AA192"/>
  <c r="E264"/>
  <c r="Y264"/>
  <c r="AA264"/>
  <c r="Z264"/>
  <c r="E59"/>
  <c r="Y59"/>
  <c r="Z59"/>
  <c r="AA59"/>
  <c r="E157"/>
  <c r="Y157"/>
  <c r="AA157"/>
  <c r="Z157"/>
  <c r="E194"/>
  <c r="Y194"/>
  <c r="AA194"/>
  <c r="Z194"/>
  <c r="E20"/>
  <c r="Y20"/>
  <c r="Z20"/>
  <c r="AA20"/>
  <c r="E128"/>
  <c r="Y128"/>
  <c r="Z128"/>
  <c r="AA128"/>
  <c r="E216"/>
  <c r="Y216"/>
  <c r="AA216"/>
  <c r="Z216"/>
  <c r="E80"/>
  <c r="Y80"/>
  <c r="Z80"/>
  <c r="AA80"/>
  <c r="E34"/>
  <c r="Y34"/>
  <c r="Z34"/>
  <c r="AA34"/>
  <c r="E84"/>
  <c r="Y84"/>
  <c r="AA84"/>
  <c r="Z84"/>
  <c r="E217"/>
  <c r="Y217"/>
  <c r="Z217"/>
  <c r="AA217"/>
  <c r="E130"/>
  <c r="Y130"/>
  <c r="AA130"/>
  <c r="Z130"/>
  <c r="E186"/>
  <c r="Y186"/>
  <c r="Z186"/>
  <c r="AA186"/>
  <c r="E178"/>
  <c r="Y178"/>
  <c r="AA178"/>
  <c r="Z178"/>
  <c r="E116"/>
  <c r="Y116"/>
  <c r="AA116"/>
  <c r="Z116"/>
  <c r="E90"/>
  <c r="Y90"/>
  <c r="Z90"/>
  <c r="AA90"/>
  <c r="E101"/>
  <c r="Y101"/>
  <c r="Z101"/>
  <c r="AA101"/>
  <c r="E115"/>
  <c r="Y115"/>
  <c r="AA115"/>
  <c r="Z115"/>
  <c r="E79"/>
  <c r="Y79"/>
  <c r="Z79"/>
  <c r="AA79"/>
  <c r="E76"/>
  <c r="Y76"/>
  <c r="AA76"/>
  <c r="Z76"/>
  <c r="E74"/>
  <c r="Y74"/>
  <c r="Z74"/>
  <c r="AA74"/>
  <c r="E75"/>
  <c r="Y75"/>
  <c r="AA75"/>
  <c r="Z75"/>
  <c r="E205"/>
  <c r="Y205"/>
  <c r="AA205"/>
  <c r="Z205"/>
  <c r="E113"/>
  <c r="Y113"/>
  <c r="AA113"/>
  <c r="Z113"/>
  <c r="E44"/>
  <c r="Y44"/>
  <c r="AA44"/>
  <c r="Z44"/>
  <c r="E46"/>
  <c r="Y46"/>
  <c r="AA46"/>
  <c r="Z46"/>
  <c r="E48"/>
  <c r="Y48"/>
  <c r="AA48"/>
  <c r="Z48"/>
  <c r="E62"/>
  <c r="Y62"/>
  <c r="Z62"/>
  <c r="AA62"/>
  <c r="E40"/>
  <c r="Y40"/>
  <c r="AA40"/>
  <c r="Z40"/>
  <c r="E112"/>
  <c r="AA112"/>
  <c r="Z112"/>
  <c r="E164"/>
  <c r="Z164"/>
  <c r="AA164"/>
  <c r="E36"/>
  <c r="AA36"/>
  <c r="Z36"/>
  <c r="E106"/>
  <c r="Z106"/>
  <c r="AA106"/>
  <c r="E105"/>
  <c r="Z105"/>
  <c r="AA105"/>
  <c r="E8"/>
  <c r="AA8"/>
  <c r="Z8"/>
  <c r="E94"/>
  <c r="Z94"/>
  <c r="AA94"/>
  <c r="E69"/>
  <c r="Z69"/>
  <c r="AA69"/>
  <c r="E50"/>
  <c r="Z50"/>
  <c r="AA50"/>
  <c r="E92"/>
  <c r="AA92"/>
  <c r="Z92"/>
  <c r="E7"/>
  <c r="Z7"/>
  <c r="AB7"/>
  <c r="AE7"/>
  <c r="AA7"/>
  <c r="E11"/>
  <c r="Z11"/>
  <c r="AB11"/>
  <c r="AE11"/>
  <c r="AA11"/>
  <c r="E5"/>
  <c r="AA5"/>
  <c r="Z5"/>
  <c r="AB5"/>
  <c r="AE5"/>
  <c r="E9"/>
  <c r="Z9"/>
  <c r="AB9"/>
  <c r="AD9"/>
  <c r="AA9"/>
  <c r="E13"/>
  <c r="Z13"/>
  <c r="AA13"/>
  <c r="E17"/>
  <c r="AA17"/>
  <c r="Z17"/>
  <c r="AB17"/>
  <c r="AE17"/>
  <c r="E6"/>
  <c r="AA6"/>
  <c r="Z6"/>
  <c r="AB6"/>
  <c r="AD6"/>
  <c r="E54"/>
  <c r="Z54"/>
  <c r="AB54"/>
  <c r="AD54"/>
  <c r="AA54"/>
  <c r="E66"/>
  <c r="Z66"/>
  <c r="AB66"/>
  <c r="AE66"/>
  <c r="AA66"/>
  <c r="E22"/>
  <c r="Z22"/>
  <c r="AB22"/>
  <c r="AE22"/>
  <c r="AA22"/>
  <c r="E31"/>
  <c r="Z31"/>
  <c r="AA31"/>
  <c r="E23"/>
  <c r="AA23"/>
  <c r="Z23"/>
  <c r="AB23"/>
  <c r="AE23"/>
  <c r="E53"/>
  <c r="Z53"/>
  <c r="AA53"/>
  <c r="E49"/>
  <c r="Z49"/>
  <c r="AA49"/>
  <c r="E12"/>
  <c r="Z12"/>
  <c r="AB12"/>
  <c r="AD12"/>
  <c r="AA12"/>
  <c r="E63"/>
  <c r="Z63"/>
  <c r="AA63"/>
  <c r="E95"/>
  <c r="Z95"/>
  <c r="AA95"/>
  <c r="E78"/>
  <c r="AA78"/>
  <c r="Z78"/>
  <c r="E206"/>
  <c r="AA206"/>
  <c r="Z206"/>
  <c r="E207"/>
  <c r="AA207"/>
  <c r="Z207"/>
  <c r="E127"/>
  <c r="AA127"/>
  <c r="Z127"/>
  <c r="E166"/>
  <c r="Z166"/>
  <c r="AA166"/>
  <c r="E167"/>
  <c r="AA167"/>
  <c r="Z167"/>
  <c r="E197"/>
  <c r="AA197"/>
  <c r="Z197"/>
  <c r="E160"/>
  <c r="AA160"/>
  <c r="Z160"/>
  <c r="E153"/>
  <c r="AA153"/>
  <c r="Z153"/>
  <c r="E107"/>
  <c r="AA107"/>
  <c r="Z107"/>
  <c r="E134"/>
  <c r="AA134"/>
  <c r="Z134"/>
  <c r="E122"/>
  <c r="Y122"/>
  <c r="Z122"/>
  <c r="AA122"/>
  <c r="E272"/>
  <c r="Y272"/>
  <c r="Z272"/>
  <c r="AA272"/>
  <c r="E61"/>
  <c r="AA61"/>
  <c r="Z61"/>
  <c r="E262"/>
  <c r="Z262"/>
  <c r="AA262"/>
  <c r="E109"/>
  <c r="Z109"/>
  <c r="AA109"/>
  <c r="E218"/>
  <c r="Z218"/>
  <c r="AA218"/>
  <c r="E103"/>
  <c r="AA103"/>
  <c r="Z103"/>
  <c r="E228"/>
  <c r="AA228"/>
  <c r="Z228"/>
  <c r="E248"/>
  <c r="AA248"/>
  <c r="Z248"/>
  <c r="E233"/>
  <c r="Z233"/>
  <c r="AA233"/>
  <c r="E214"/>
  <c r="AA214"/>
  <c r="Z214"/>
  <c r="E221"/>
  <c r="Y221"/>
  <c r="Z221"/>
  <c r="AA221"/>
  <c r="E19"/>
  <c r="Y19"/>
  <c r="AA19"/>
  <c r="Z19"/>
  <c r="E88"/>
  <c r="Y88"/>
  <c r="AA88"/>
  <c r="Z88"/>
  <c r="E199"/>
  <c r="Y199"/>
  <c r="Z199"/>
  <c r="AA199"/>
  <c r="E161"/>
  <c r="Y161"/>
  <c r="AA161"/>
  <c r="Z161"/>
  <c r="E129"/>
  <c r="Y129"/>
  <c r="AA129"/>
  <c r="Z129"/>
  <c r="E131"/>
  <c r="Y131"/>
  <c r="AA131"/>
  <c r="Z131"/>
  <c r="E163"/>
  <c r="Y163"/>
  <c r="Z163"/>
  <c r="AA163"/>
  <c r="E124"/>
  <c r="Y124"/>
  <c r="Z124"/>
  <c r="AA124"/>
  <c r="E114"/>
  <c r="AA114"/>
  <c r="Z114"/>
  <c r="E121"/>
  <c r="Y121"/>
  <c r="AA121"/>
  <c r="Z121"/>
  <c r="E45"/>
  <c r="Y45"/>
  <c r="AA45"/>
  <c r="Z45"/>
  <c r="E132"/>
  <c r="Y132"/>
  <c r="Z132"/>
  <c r="AA132"/>
  <c r="E96"/>
  <c r="Y96"/>
  <c r="AA96"/>
  <c r="Z96"/>
  <c r="E32"/>
  <c r="Y32"/>
  <c r="Z32"/>
  <c r="AA32"/>
  <c r="E261"/>
  <c r="Y261"/>
  <c r="Z261"/>
  <c r="AA261"/>
  <c r="E29"/>
  <c r="Y29"/>
  <c r="AA29"/>
  <c r="Z29"/>
  <c r="E259"/>
  <c r="Y259"/>
  <c r="AA259"/>
  <c r="Z259"/>
  <c r="E277"/>
  <c r="Y277"/>
  <c r="AA277"/>
  <c r="Z277"/>
  <c r="E104"/>
  <c r="Y104"/>
  <c r="AA104"/>
  <c r="Z104"/>
  <c r="E30"/>
  <c r="Y30"/>
  <c r="AA30"/>
  <c r="Z30"/>
  <c r="E286"/>
  <c r="Y286"/>
  <c r="AA286"/>
  <c r="Z286"/>
  <c r="E284"/>
  <c r="Y284"/>
  <c r="AA284"/>
  <c r="Z284"/>
  <c r="E148"/>
  <c r="Y148"/>
  <c r="Z148"/>
  <c r="AA148"/>
  <c r="E225"/>
  <c r="Y225"/>
  <c r="Z225"/>
  <c r="AA225"/>
  <c r="E171"/>
  <c r="Y171"/>
  <c r="Z171"/>
  <c r="AA171"/>
  <c r="E236"/>
  <c r="Y236"/>
  <c r="Z236"/>
  <c r="AA236"/>
  <c r="E211"/>
  <c r="Y211"/>
  <c r="Z211"/>
  <c r="AA211"/>
  <c r="E219"/>
  <c r="Y219"/>
  <c r="AA219"/>
  <c r="Z219"/>
  <c r="E195"/>
  <c r="Y195"/>
  <c r="Z195"/>
  <c r="AA195"/>
  <c r="E102"/>
  <c r="Y102"/>
  <c r="AA102"/>
  <c r="Z102"/>
  <c r="E226"/>
  <c r="Y226"/>
  <c r="AA226"/>
  <c r="Z226"/>
  <c r="E111"/>
  <c r="Y111"/>
  <c r="AA111"/>
  <c r="Z111"/>
  <c r="E282"/>
  <c r="Y282"/>
  <c r="Z282"/>
  <c r="AA282"/>
  <c r="E181"/>
  <c r="Y181"/>
  <c r="AA181"/>
  <c r="Z181"/>
  <c r="E252"/>
  <c r="Y252"/>
  <c r="Z252"/>
  <c r="AA252"/>
  <c r="E137"/>
  <c r="Y137"/>
  <c r="Z137"/>
  <c r="AA137"/>
  <c r="E70"/>
  <c r="Y70"/>
  <c r="AA70"/>
  <c r="Z70"/>
  <c r="E210"/>
  <c r="Y210"/>
  <c r="Z210"/>
  <c r="AA210"/>
  <c r="E138"/>
  <c r="Y138"/>
  <c r="Z138"/>
  <c r="AA138"/>
  <c r="E147"/>
  <c r="Y147"/>
  <c r="Z147"/>
  <c r="AA147"/>
  <c r="E204"/>
  <c r="Y204"/>
  <c r="AA204"/>
  <c r="Z204"/>
  <c r="E287"/>
  <c r="Y287"/>
  <c r="AA287"/>
  <c r="Z287"/>
  <c r="E118"/>
  <c r="Y118"/>
  <c r="AA118"/>
  <c r="Z118"/>
  <c r="E120"/>
  <c r="Y120"/>
  <c r="Z120"/>
  <c r="AA120"/>
  <c r="E165"/>
  <c r="Y165"/>
  <c r="AA165"/>
  <c r="Z165"/>
  <c r="E156"/>
  <c r="Y156"/>
  <c r="AA156"/>
  <c r="Z156"/>
  <c r="E140"/>
  <c r="Y140"/>
  <c r="Z140"/>
  <c r="AA140"/>
  <c r="E280"/>
  <c r="Y280"/>
  <c r="AA280"/>
  <c r="Z280"/>
  <c r="E239"/>
  <c r="Y239"/>
  <c r="AA239"/>
  <c r="Z239"/>
  <c r="E110"/>
  <c r="Y110"/>
  <c r="AA110"/>
  <c r="Z110"/>
  <c r="E182"/>
  <c r="Y182"/>
  <c r="Z182"/>
  <c r="AA182"/>
  <c r="E28"/>
  <c r="Y28"/>
  <c r="AA28"/>
  <c r="Z28"/>
  <c r="E123"/>
  <c r="Y123"/>
  <c r="AA123"/>
  <c r="Z123"/>
  <c r="E65"/>
  <c r="Y65"/>
  <c r="AA65"/>
  <c r="Z65"/>
  <c r="E119"/>
  <c r="Y119"/>
  <c r="Z119"/>
  <c r="AA119"/>
  <c r="E196"/>
  <c r="Y196"/>
  <c r="Z196"/>
  <c r="AA196"/>
  <c r="E215"/>
  <c r="Y215"/>
  <c r="Z215"/>
  <c r="AA215"/>
  <c r="E244"/>
  <c r="Y244"/>
  <c r="AA244"/>
  <c r="Z244"/>
  <c r="E183"/>
  <c r="Y183"/>
  <c r="Z183"/>
  <c r="AA183"/>
  <c r="E198"/>
  <c r="Y198"/>
  <c r="Z198"/>
  <c r="AA198"/>
  <c r="E191"/>
  <c r="Y191"/>
  <c r="AA191"/>
  <c r="Z191"/>
  <c r="E136"/>
  <c r="Y136"/>
  <c r="Z136"/>
  <c r="AA136"/>
  <c r="E249"/>
  <c r="Y249"/>
  <c r="Z249"/>
  <c r="AA249"/>
  <c r="E41"/>
  <c r="Y41"/>
  <c r="AA41"/>
  <c r="Z41"/>
  <c r="E250"/>
  <c r="Y250"/>
  <c r="Z250"/>
  <c r="AA250"/>
  <c r="E82"/>
  <c r="Y82"/>
  <c r="AA82"/>
  <c r="Z82"/>
  <c r="E16"/>
  <c r="Y16"/>
  <c r="AA16"/>
  <c r="Z16"/>
  <c r="E141"/>
  <c r="Y141"/>
  <c r="Z141"/>
  <c r="AA141"/>
  <c r="E133"/>
  <c r="Y133"/>
  <c r="Z133"/>
  <c r="AA133"/>
  <c r="E35"/>
  <c r="Y35"/>
  <c r="AA35"/>
  <c r="Z35"/>
  <c r="E57"/>
  <c r="Y57"/>
  <c r="AA57"/>
  <c r="Z57"/>
  <c r="E240"/>
  <c r="Y240"/>
  <c r="Z240"/>
  <c r="AA240"/>
  <c r="E97"/>
  <c r="Y97"/>
  <c r="Z97"/>
  <c r="AA97"/>
  <c r="E91"/>
  <c r="Y91"/>
  <c r="AA91"/>
  <c r="Z91"/>
  <c r="E86"/>
  <c r="Z86"/>
  <c r="AA86"/>
  <c r="E27"/>
  <c r="Z27"/>
  <c r="AA27"/>
  <c r="E42"/>
  <c r="AA42"/>
  <c r="Z42"/>
  <c r="E37"/>
  <c r="AA37"/>
  <c r="Z37"/>
  <c r="E39"/>
  <c r="Z39"/>
  <c r="AA39"/>
  <c r="E81"/>
  <c r="Z81"/>
  <c r="AA81"/>
  <c r="E15"/>
  <c r="AA15"/>
  <c r="Z15"/>
  <c r="E43"/>
  <c r="Y43"/>
  <c r="Z43"/>
  <c r="AB43"/>
  <c r="AE43"/>
  <c r="AA43"/>
  <c r="E47"/>
  <c r="Z47"/>
  <c r="AB47"/>
  <c r="AE47"/>
  <c r="AA47"/>
  <c r="E24"/>
  <c r="Z24"/>
  <c r="AA24"/>
  <c r="E85"/>
  <c r="Z85"/>
  <c r="AB85"/>
  <c r="AD85"/>
  <c r="AA85"/>
  <c r="E14"/>
  <c r="AA14"/>
  <c r="Z14"/>
  <c r="E25"/>
  <c r="Z25"/>
  <c r="AB25"/>
  <c r="AE25"/>
  <c r="AA25"/>
  <c r="E33"/>
  <c r="Z33"/>
  <c r="AB33"/>
  <c r="AE33"/>
  <c r="AA33"/>
  <c r="E21"/>
  <c r="Z21"/>
  <c r="AB21"/>
  <c r="AE21"/>
  <c r="AA21"/>
  <c r="Y7"/>
  <c r="Y89"/>
  <c r="Y278"/>
  <c r="Y260"/>
  <c r="Y149"/>
  <c r="Y288"/>
  <c r="Y83"/>
  <c r="Y255"/>
  <c r="Y271"/>
  <c r="Y275"/>
  <c r="Y279"/>
  <c r="Y222"/>
  <c r="Y143"/>
  <c r="Y203"/>
  <c r="Y232"/>
  <c r="Y208"/>
  <c r="Y212"/>
  <c r="Y188"/>
  <c r="Y52"/>
  <c r="Y169"/>
  <c r="Y144"/>
  <c r="Y135"/>
  <c r="Y145"/>
  <c r="Y243"/>
  <c r="Y51"/>
  <c r="Y168"/>
  <c r="Y71"/>
  <c r="Y174"/>
  <c r="Y184"/>
  <c r="Y152"/>
  <c r="Y18"/>
  <c r="Y253"/>
  <c r="Y55"/>
  <c r="Y254"/>
  <c r="Y224"/>
  <c r="Y246"/>
  <c r="Y117"/>
  <c r="Y64"/>
  <c r="Y99"/>
  <c r="Y26"/>
  <c r="Y170"/>
  <c r="Y98"/>
  <c r="Y151"/>
  <c r="Y73"/>
  <c r="Y86"/>
  <c r="Y27"/>
  <c r="Y42"/>
  <c r="Y37"/>
  <c r="Y39"/>
  <c r="Y81"/>
  <c r="Y15"/>
  <c r="Y11"/>
  <c r="Y9"/>
  <c r="Y13"/>
  <c r="Y17"/>
  <c r="Y6"/>
  <c r="Y54"/>
  <c r="Y66"/>
  <c r="Y22"/>
  <c r="Y31"/>
  <c r="Y23"/>
  <c r="Y53"/>
  <c r="Y49"/>
  <c r="Y12"/>
  <c r="Y63"/>
  <c r="Y95"/>
  <c r="Y78"/>
  <c r="Y87"/>
  <c r="Y67"/>
  <c r="Y220"/>
  <c r="Y229"/>
  <c r="Y237"/>
  <c r="Y185"/>
  <c r="Y273"/>
  <c r="Y209"/>
  <c r="Y139"/>
  <c r="Y68"/>
  <c r="Y190"/>
  <c r="Y206"/>
  <c r="Y207"/>
  <c r="Y127"/>
  <c r="Y166"/>
  <c r="Y167"/>
  <c r="Y197"/>
  <c r="Y160"/>
  <c r="Y153"/>
  <c r="Y107"/>
  <c r="Y134"/>
  <c r="Y61"/>
  <c r="Y262"/>
  <c r="Y109"/>
  <c r="Y218"/>
  <c r="Y103"/>
  <c r="Y228"/>
  <c r="Y248"/>
  <c r="Y233"/>
  <c r="Y214"/>
  <c r="Y114"/>
  <c r="Y112"/>
  <c r="Y164"/>
  <c r="Y36"/>
  <c r="Y106"/>
  <c r="Y105"/>
  <c r="Y8"/>
  <c r="Y94"/>
  <c r="Y69"/>
  <c r="Y50"/>
  <c r="Y92"/>
  <c r="Y47"/>
  <c r="Y24"/>
  <c r="Y85"/>
  <c r="Y14"/>
  <c r="Y25"/>
  <c r="Y33"/>
  <c r="Y21"/>
  <c r="AE6"/>
  <c r="AD22"/>
  <c r="Y5"/>
  <c r="AD11"/>
  <c r="AE54"/>
  <c r="AE9"/>
  <c r="AB49"/>
  <c r="AD49"/>
  <c r="AE49"/>
  <c r="AB53"/>
  <c r="AD53"/>
  <c r="AE53"/>
  <c r="AB13"/>
  <c r="AD13"/>
  <c r="AE13"/>
  <c r="AB31"/>
  <c r="AD31"/>
  <c r="AE31"/>
  <c r="AE12"/>
  <c r="AD43"/>
  <c r="AD33"/>
  <c r="AD25"/>
  <c r="AB24"/>
  <c r="AD24"/>
  <c r="AB14"/>
  <c r="AE14"/>
  <c r="AB56"/>
  <c r="AE56"/>
  <c r="AD56"/>
  <c r="AD21"/>
  <c r="AE85"/>
  <c r="AD47"/>
  <c r="AD14"/>
  <c r="AD23"/>
  <c r="AD66"/>
  <c r="AD17"/>
  <c r="AD7"/>
  <c r="AE24"/>
  <c r="AB8"/>
  <c r="AE8"/>
  <c r="AD8"/>
  <c r="AB105"/>
  <c r="AE105"/>
  <c r="AD105"/>
  <c r="AB106"/>
  <c r="AE106"/>
  <c r="AD106"/>
  <c r="AB36"/>
  <c r="AE36"/>
  <c r="AD36"/>
  <c r="AB164"/>
  <c r="AE164"/>
  <c r="AD164"/>
  <c r="AB112"/>
  <c r="AE112"/>
  <c r="AD112"/>
  <c r="AB40"/>
  <c r="AE40"/>
  <c r="AD40"/>
  <c r="AB62"/>
  <c r="AE62"/>
  <c r="AD62"/>
  <c r="AB48"/>
  <c r="AE48"/>
  <c r="AD48"/>
  <c r="AB46"/>
  <c r="AE46"/>
  <c r="AD46"/>
  <c r="AB44"/>
  <c r="AE44"/>
  <c r="AD44"/>
  <c r="AB113"/>
  <c r="AE113"/>
  <c r="AD113"/>
  <c r="AB205"/>
  <c r="AE205"/>
  <c r="AD205"/>
  <c r="AB75"/>
  <c r="AE75"/>
  <c r="AD75"/>
  <c r="AB74"/>
  <c r="AE74"/>
  <c r="AD74"/>
  <c r="AB76"/>
  <c r="AE76"/>
  <c r="AD76"/>
  <c r="AB79"/>
  <c r="AE79"/>
  <c r="AD79"/>
  <c r="AB115"/>
  <c r="AE115"/>
  <c r="AD115"/>
  <c r="AB101"/>
  <c r="AE101"/>
  <c r="AD101"/>
  <c r="AB90"/>
  <c r="AE90"/>
  <c r="AD90"/>
  <c r="AB116"/>
  <c r="AE116"/>
  <c r="AD116"/>
  <c r="AB178"/>
  <c r="AE178"/>
  <c r="AD178"/>
  <c r="AB186"/>
  <c r="AE186"/>
  <c r="AD186"/>
  <c r="AB130"/>
  <c r="AE130"/>
  <c r="AD130"/>
  <c r="AB217"/>
  <c r="AE217"/>
  <c r="AD217"/>
  <c r="AB84"/>
  <c r="AE84"/>
  <c r="AD84"/>
  <c r="AB34"/>
  <c r="AE34"/>
  <c r="AD34"/>
  <c r="AB80"/>
  <c r="AE80"/>
  <c r="AD80"/>
  <c r="AB216"/>
  <c r="AE216"/>
  <c r="AD216"/>
  <c r="AB128"/>
  <c r="AE128"/>
  <c r="AD128"/>
  <c r="AB20"/>
  <c r="AE20"/>
  <c r="AD20"/>
  <c r="AB194"/>
  <c r="AE194"/>
  <c r="AD194"/>
  <c r="AB157"/>
  <c r="AE157"/>
  <c r="AD157"/>
  <c r="AB59"/>
  <c r="AE59"/>
  <c r="AD59"/>
  <c r="AB264"/>
  <c r="AE264"/>
  <c r="AD264"/>
  <c r="AB192"/>
  <c r="AE192"/>
  <c r="AD192"/>
  <c r="AB269"/>
  <c r="AE269"/>
  <c r="AD269"/>
  <c r="AB60"/>
  <c r="AE60"/>
  <c r="AD60"/>
  <c r="AB172"/>
  <c r="AE172"/>
  <c r="AD172"/>
  <c r="AB251"/>
  <c r="AE251"/>
  <c r="AD251"/>
  <c r="AB154"/>
  <c r="AE154"/>
  <c r="AD154"/>
  <c r="AB177"/>
  <c r="AE177"/>
  <c r="AD177"/>
  <c r="AB176"/>
  <c r="AE176"/>
  <c r="AD176"/>
  <c r="AB230"/>
  <c r="AE230"/>
  <c r="AD230"/>
  <c r="AB200"/>
  <c r="AE200"/>
  <c r="AD200"/>
  <c r="AB227"/>
  <c r="AE227"/>
  <c r="AD227"/>
  <c r="AB125"/>
  <c r="AE125"/>
  <c r="AD125"/>
  <c r="AB187"/>
  <c r="AE187"/>
  <c r="AD187"/>
  <c r="AB245"/>
  <c r="AE245"/>
  <c r="AD245"/>
  <c r="AB10"/>
  <c r="AE10"/>
  <c r="AD10"/>
  <c r="AB38"/>
  <c r="AE38"/>
  <c r="AD38"/>
  <c r="AB283"/>
  <c r="AE283"/>
  <c r="AD283"/>
  <c r="AB126"/>
  <c r="AE126"/>
  <c r="AD126"/>
  <c r="AB77"/>
  <c r="AE77"/>
  <c r="AD77"/>
  <c r="AB276"/>
  <c r="AE276"/>
  <c r="AD276"/>
  <c r="AB265"/>
  <c r="AE265"/>
  <c r="AD265"/>
  <c r="AB258"/>
  <c r="AE258"/>
  <c r="AD258"/>
  <c r="AB238"/>
  <c r="AE238"/>
  <c r="AD238"/>
  <c r="AB242"/>
  <c r="AE242"/>
  <c r="AD242"/>
  <c r="AB124"/>
  <c r="AE124"/>
  <c r="AD124"/>
  <c r="AB26"/>
  <c r="AE26"/>
  <c r="AD26"/>
  <c r="AB99"/>
  <c r="AE99"/>
  <c r="AD99"/>
  <c r="AB64"/>
  <c r="AE64"/>
  <c r="AD64"/>
  <c r="AB163"/>
  <c r="AE163"/>
  <c r="AD163"/>
  <c r="AB117"/>
  <c r="AE117"/>
  <c r="AD117"/>
  <c r="AB246"/>
  <c r="AE246"/>
  <c r="AD246"/>
  <c r="AB131"/>
  <c r="AE131"/>
  <c r="AD131"/>
  <c r="AB129"/>
  <c r="AE129"/>
  <c r="AD129"/>
  <c r="AB224"/>
  <c r="AE224"/>
  <c r="AD224"/>
  <c r="AB161"/>
  <c r="AE161"/>
  <c r="AD161"/>
  <c r="AB234"/>
  <c r="AE234"/>
  <c r="AD234"/>
  <c r="AB175"/>
  <c r="AE175"/>
  <c r="AD175"/>
  <c r="AB266"/>
  <c r="AE266"/>
  <c r="AD266"/>
  <c r="AB267"/>
  <c r="AE267"/>
  <c r="AD267"/>
  <c r="AB158"/>
  <c r="AE158"/>
  <c r="AD158"/>
  <c r="AB272"/>
  <c r="AE272"/>
  <c r="AD272"/>
  <c r="AB241"/>
  <c r="AE241"/>
  <c r="AD241"/>
  <c r="AB122"/>
  <c r="AE122"/>
  <c r="AD122"/>
  <c r="AB100"/>
  <c r="AE100"/>
  <c r="AD100"/>
  <c r="AB142"/>
  <c r="AE142"/>
  <c r="AD142"/>
  <c r="AB213"/>
  <c r="AE213"/>
  <c r="AD213"/>
  <c r="AB285"/>
  <c r="AE285"/>
  <c r="AD285"/>
  <c r="AB108"/>
  <c r="AE108"/>
  <c r="AD108"/>
  <c r="AB270"/>
  <c r="AE270"/>
  <c r="AD270"/>
  <c r="AB263"/>
  <c r="AE263"/>
  <c r="AD263"/>
  <c r="AB235"/>
  <c r="AE235"/>
  <c r="AD235"/>
  <c r="AB155"/>
  <c r="AE155"/>
  <c r="AD155"/>
  <c r="AB72"/>
  <c r="AE72"/>
  <c r="AD72"/>
  <c r="AB159"/>
  <c r="AE159"/>
  <c r="AD159"/>
  <c r="AB202"/>
  <c r="AE202"/>
  <c r="AD202"/>
  <c r="AB180"/>
  <c r="AE180"/>
  <c r="AD180"/>
  <c r="AB256"/>
  <c r="AE256"/>
  <c r="AD256"/>
  <c r="AB63"/>
  <c r="AE63"/>
  <c r="AD63"/>
  <c r="AB92"/>
  <c r="AE92"/>
  <c r="AD92"/>
  <c r="AB50"/>
  <c r="AE50"/>
  <c r="AD50"/>
  <c r="AB69"/>
  <c r="AE69"/>
  <c r="AD69"/>
  <c r="AB15"/>
  <c r="AE15"/>
  <c r="AD15"/>
  <c r="AB94"/>
  <c r="AE94"/>
  <c r="AD94"/>
  <c r="AB81"/>
  <c r="AE81"/>
  <c r="AD81"/>
  <c r="AB39"/>
  <c r="AE39"/>
  <c r="AD39"/>
  <c r="AB37"/>
  <c r="AE37"/>
  <c r="AD37"/>
  <c r="AB42"/>
  <c r="AE42"/>
  <c r="AD42"/>
  <c r="AB27"/>
  <c r="AE27"/>
  <c r="AD27"/>
  <c r="AB86"/>
  <c r="AE86"/>
  <c r="AD86"/>
  <c r="AB91"/>
  <c r="AE91"/>
  <c r="AD91"/>
  <c r="AB97"/>
  <c r="AE97"/>
  <c r="AD97"/>
  <c r="AB240"/>
  <c r="AE240"/>
  <c r="AD240"/>
  <c r="AB57"/>
  <c r="AE57"/>
  <c r="AD57"/>
  <c r="AB35"/>
  <c r="AE35"/>
  <c r="AD35"/>
  <c r="AB133"/>
  <c r="AE133"/>
  <c r="AD133"/>
  <c r="AB141"/>
  <c r="AE141"/>
  <c r="AD141"/>
  <c r="AB16"/>
  <c r="AE16"/>
  <c r="AD16"/>
  <c r="AB82"/>
  <c r="AE82"/>
  <c r="AD82"/>
  <c r="AB250"/>
  <c r="AE250"/>
  <c r="AD250"/>
  <c r="AB41"/>
  <c r="AE41"/>
  <c r="AD41"/>
  <c r="AB249"/>
  <c r="AE249"/>
  <c r="AD249"/>
  <c r="AB136"/>
  <c r="AE136"/>
  <c r="AD136"/>
  <c r="AB191"/>
  <c r="AE191"/>
  <c r="AD191"/>
  <c r="AB198"/>
  <c r="AE198"/>
  <c r="AD198"/>
  <c r="AB183"/>
  <c r="AE183"/>
  <c r="AD183"/>
  <c r="AB244"/>
  <c r="AE244"/>
  <c r="AD244"/>
  <c r="AB215"/>
  <c r="AE215"/>
  <c r="AD215"/>
  <c r="AB196"/>
  <c r="AE196"/>
  <c r="AD196"/>
  <c r="AB119"/>
  <c r="AE119"/>
  <c r="AD119"/>
  <c r="AB65"/>
  <c r="AE65"/>
  <c r="AD65"/>
  <c r="AB123"/>
  <c r="AE123"/>
  <c r="AD123"/>
  <c r="AB28"/>
  <c r="AE28"/>
  <c r="AD28"/>
  <c r="AB182"/>
  <c r="AE182"/>
  <c r="AD182"/>
  <c r="AB110"/>
  <c r="AE110"/>
  <c r="AD110"/>
  <c r="AB239"/>
  <c r="AE239"/>
  <c r="AD239"/>
  <c r="AB280"/>
  <c r="AE280"/>
  <c r="AD280"/>
  <c r="AB78"/>
  <c r="AE78"/>
  <c r="AD78"/>
  <c r="AB95"/>
  <c r="AE95"/>
  <c r="AD95"/>
  <c r="AB140"/>
  <c r="AE140"/>
  <c r="AD140"/>
  <c r="AB156"/>
  <c r="AE156"/>
  <c r="AD156"/>
  <c r="AB165"/>
  <c r="AE165"/>
  <c r="AD165"/>
  <c r="AB120"/>
  <c r="AE120"/>
  <c r="AD120"/>
  <c r="AB118"/>
  <c r="AE118"/>
  <c r="AD118"/>
  <c r="AB287"/>
  <c r="AE287"/>
  <c r="AD287"/>
  <c r="AB204"/>
  <c r="AE204"/>
  <c r="AD204"/>
  <c r="AB147"/>
  <c r="AE147"/>
  <c r="AD147"/>
  <c r="AB138"/>
  <c r="AE138"/>
  <c r="AD138"/>
  <c r="AB210"/>
  <c r="AE210"/>
  <c r="AD210"/>
  <c r="AB70"/>
  <c r="AE70"/>
  <c r="AD70"/>
  <c r="AB137"/>
  <c r="AE137"/>
  <c r="AD137"/>
  <c r="AB252"/>
  <c r="AE252"/>
  <c r="AD252"/>
  <c r="AB181"/>
  <c r="AE181"/>
  <c r="AD181"/>
  <c r="AB282"/>
  <c r="AE282"/>
  <c r="AD282"/>
  <c r="AB111"/>
  <c r="AE111"/>
  <c r="AD111"/>
  <c r="AB226"/>
  <c r="AE226"/>
  <c r="AD226"/>
  <c r="AB102"/>
  <c r="AE102"/>
  <c r="AD102"/>
  <c r="AB195"/>
  <c r="AE195"/>
  <c r="AD195"/>
  <c r="AB219"/>
  <c r="AE219"/>
  <c r="AD219"/>
  <c r="AB211"/>
  <c r="AE211"/>
  <c r="AD211"/>
  <c r="AB236"/>
  <c r="AE236"/>
  <c r="AD236"/>
  <c r="AB171"/>
  <c r="AE171"/>
  <c r="AD171"/>
  <c r="AB225"/>
  <c r="AE225"/>
  <c r="AD225"/>
  <c r="AB284"/>
  <c r="AE284"/>
  <c r="AD284"/>
  <c r="AB286"/>
  <c r="AE286"/>
  <c r="AD286"/>
  <c r="AB30"/>
  <c r="AE30"/>
  <c r="AD30"/>
  <c r="AB104"/>
  <c r="AE104"/>
  <c r="AD104"/>
  <c r="AB277"/>
  <c r="AE277"/>
  <c r="AD277"/>
  <c r="AB259"/>
  <c r="AE259"/>
  <c r="AD259"/>
  <c r="AB29"/>
  <c r="AE29"/>
  <c r="AD29"/>
  <c r="AB261"/>
  <c r="AE261"/>
  <c r="AD261"/>
  <c r="AB32"/>
  <c r="AE32"/>
  <c r="AD32"/>
  <c r="AB73"/>
  <c r="AE73"/>
  <c r="AD73"/>
  <c r="AB96"/>
  <c r="AE96"/>
  <c r="AD96"/>
  <c r="AB132"/>
  <c r="AE132"/>
  <c r="AD132"/>
  <c r="AB45"/>
  <c r="AE45"/>
  <c r="AD45"/>
  <c r="AB151"/>
  <c r="AE151"/>
  <c r="AD151"/>
  <c r="AB98"/>
  <c r="AE98"/>
  <c r="AD98"/>
  <c r="AB121"/>
  <c r="AE121"/>
  <c r="AD121"/>
  <c r="AB170"/>
  <c r="AE170"/>
  <c r="AD170"/>
  <c r="AB114"/>
  <c r="AE114"/>
  <c r="AD114"/>
  <c r="AB199"/>
  <c r="AE199"/>
  <c r="AD199"/>
  <c r="AB254"/>
  <c r="AE254"/>
  <c r="AD254"/>
  <c r="AB88"/>
  <c r="AE88"/>
  <c r="AD88"/>
  <c r="AB55"/>
  <c r="AE55"/>
  <c r="AD55"/>
  <c r="AB19"/>
  <c r="AE19"/>
  <c r="AD19"/>
  <c r="AB221"/>
  <c r="AE221"/>
  <c r="AD221"/>
  <c r="AB253"/>
  <c r="AE253"/>
  <c r="AD253"/>
  <c r="AB214"/>
  <c r="AE214"/>
  <c r="AD214"/>
  <c r="AB18"/>
  <c r="AE18"/>
  <c r="AD18"/>
  <c r="AB233"/>
  <c r="AE233"/>
  <c r="AD233"/>
  <c r="AB248"/>
  <c r="AE248"/>
  <c r="AD248"/>
  <c r="AB228"/>
  <c r="AE228"/>
  <c r="AD228"/>
  <c r="AB152"/>
  <c r="AE152"/>
  <c r="AD152"/>
  <c r="AB184"/>
  <c r="AE184"/>
  <c r="AD184"/>
  <c r="AB174"/>
  <c r="AE174"/>
  <c r="AD174"/>
  <c r="AB103"/>
  <c r="AE103"/>
  <c r="AD103"/>
  <c r="AB218"/>
  <c r="AE218"/>
  <c r="AD218"/>
  <c r="AB71"/>
  <c r="AE71"/>
  <c r="AD71"/>
  <c r="AB109"/>
  <c r="AE109"/>
  <c r="AD109"/>
  <c r="AB168"/>
  <c r="AE168"/>
  <c r="AD168"/>
  <c r="AB262"/>
  <c r="AE262"/>
  <c r="AD262"/>
  <c r="AB61"/>
  <c r="AE61"/>
  <c r="AD61"/>
  <c r="AB51"/>
  <c r="AE51"/>
  <c r="AD51"/>
  <c r="AB134"/>
  <c r="AE134"/>
  <c r="AD134"/>
  <c r="AB243"/>
  <c r="AE243"/>
  <c r="AD243"/>
  <c r="AB107"/>
  <c r="AE107"/>
  <c r="AD107"/>
  <c r="AB145"/>
  <c r="AE145"/>
  <c r="AD145"/>
  <c r="AB153"/>
  <c r="AE153"/>
  <c r="AD153"/>
  <c r="AB135"/>
  <c r="AE135"/>
  <c r="AD135"/>
  <c r="AB160"/>
  <c r="AE160"/>
  <c r="AD160"/>
  <c r="AB197"/>
  <c r="AE197"/>
  <c r="AD197"/>
  <c r="AB144"/>
  <c r="AE144"/>
  <c r="AD144"/>
  <c r="AB167"/>
  <c r="AE167"/>
  <c r="AD167"/>
  <c r="AB166"/>
  <c r="AE166"/>
  <c r="AD166"/>
  <c r="AB169"/>
  <c r="AE169"/>
  <c r="AD169"/>
  <c r="AB52"/>
  <c r="AE52"/>
  <c r="AD52"/>
  <c r="AB127"/>
  <c r="AE127"/>
  <c r="AD127"/>
  <c r="AB207"/>
  <c r="AE207"/>
  <c r="AD207"/>
  <c r="AB188"/>
  <c r="AE188"/>
  <c r="AD188"/>
  <c r="AB206"/>
  <c r="AE206"/>
  <c r="AD206"/>
  <c r="AB212"/>
  <c r="AE212"/>
  <c r="AD212"/>
  <c r="AB190"/>
  <c r="AE190"/>
  <c r="AD190"/>
  <c r="AB68"/>
  <c r="AE68"/>
  <c r="AD68"/>
  <c r="AB139"/>
  <c r="AE139"/>
  <c r="AD139"/>
  <c r="AB208"/>
  <c r="AE208"/>
  <c r="AD208"/>
  <c r="AB209"/>
  <c r="AE209"/>
  <c r="AD209"/>
  <c r="AB273"/>
  <c r="AE273"/>
  <c r="AD273"/>
  <c r="AB185"/>
  <c r="AE185"/>
  <c r="AD185"/>
  <c r="AB232"/>
  <c r="AE232"/>
  <c r="AD232"/>
  <c r="AB237"/>
  <c r="AE237"/>
  <c r="AD237"/>
  <c r="AB229"/>
  <c r="AE229"/>
  <c r="AD229"/>
  <c r="AB220"/>
  <c r="AE220"/>
  <c r="AD220"/>
  <c r="AB203"/>
  <c r="AE203"/>
  <c r="AD203"/>
  <c r="AB143"/>
  <c r="AE143"/>
  <c r="AD143"/>
  <c r="AB222"/>
  <c r="AE222"/>
  <c r="AD222"/>
  <c r="AB279"/>
  <c r="AE279"/>
  <c r="AD279"/>
  <c r="AB275"/>
  <c r="AE275"/>
  <c r="AD275"/>
  <c r="AB271"/>
  <c r="AE271"/>
  <c r="AD271"/>
  <c r="AB255"/>
  <c r="AE255"/>
  <c r="AD255"/>
  <c r="AB83"/>
  <c r="AE83"/>
  <c r="AD83"/>
  <c r="AB288"/>
  <c r="AE288"/>
  <c r="AD288"/>
  <c r="AB67"/>
  <c r="AE67"/>
  <c r="AD67"/>
  <c r="AB260"/>
  <c r="AE260"/>
  <c r="AD260"/>
  <c r="AB278"/>
  <c r="AE278"/>
  <c r="AD278"/>
  <c r="AB87"/>
  <c r="AE87"/>
  <c r="AD87"/>
  <c r="AB201"/>
  <c r="AE201"/>
  <c r="AD201"/>
  <c r="AB189"/>
  <c r="AE189"/>
  <c r="AD189"/>
  <c r="AB162"/>
  <c r="AE162"/>
  <c r="AD162"/>
  <c r="AB231"/>
  <c r="AE231"/>
  <c r="AD231"/>
  <c r="AB173"/>
  <c r="AE173"/>
  <c r="AD173"/>
  <c r="AB146"/>
  <c r="AE146"/>
  <c r="AD146"/>
  <c r="AB58"/>
  <c r="AE58"/>
  <c r="AD58"/>
  <c r="AB193"/>
  <c r="AE193"/>
  <c r="AD193"/>
  <c r="AB223"/>
  <c r="AE223"/>
  <c r="AD223"/>
  <c r="AB93"/>
  <c r="AE93"/>
  <c r="AD93"/>
  <c r="AB179"/>
  <c r="AE179"/>
  <c r="AD179"/>
  <c r="AB268"/>
  <c r="AE268"/>
  <c r="AD268"/>
  <c r="AB257"/>
  <c r="AE257"/>
  <c r="AD257"/>
  <c r="AB274"/>
  <c r="AE274"/>
  <c r="AD274"/>
  <c r="AB281"/>
  <c r="AE281"/>
  <c r="AD281"/>
  <c r="AB247"/>
  <c r="AE247"/>
  <c r="AD247"/>
  <c r="AB89"/>
  <c r="AE89"/>
  <c r="AD89"/>
  <c r="AB148"/>
  <c r="AE148"/>
  <c r="AD148"/>
  <c r="AB149"/>
  <c r="AE149"/>
  <c r="AD149"/>
  <c r="AB150"/>
  <c r="AE150"/>
  <c r="AD150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X89"/>
  <c r="X34"/>
  <c r="X38"/>
  <c r="X10"/>
  <c r="X126"/>
  <c r="X65"/>
  <c r="X76"/>
  <c r="X112"/>
  <c r="X9"/>
  <c r="X90"/>
  <c r="X8"/>
  <c r="X269"/>
  <c r="X82"/>
  <c r="X23"/>
  <c r="X106"/>
  <c r="X166"/>
  <c r="X50"/>
  <c r="X15"/>
  <c r="X132"/>
  <c r="X139"/>
  <c r="X131"/>
  <c r="X55"/>
  <c r="X206"/>
  <c r="X254"/>
  <c r="X43"/>
  <c r="X184"/>
  <c r="X224"/>
  <c r="X231"/>
  <c r="X24"/>
  <c r="X180"/>
  <c r="X54"/>
  <c r="X109"/>
  <c r="X255"/>
  <c r="X145"/>
  <c r="X189"/>
  <c r="X190"/>
  <c r="X71"/>
  <c r="X247"/>
  <c r="X12"/>
  <c r="X241"/>
  <c r="X237"/>
  <c r="X135"/>
  <c r="X260"/>
  <c r="X117"/>
  <c r="X134"/>
  <c r="X168"/>
  <c r="X203"/>
  <c r="X7"/>
  <c r="X154"/>
  <c r="X33"/>
  <c r="X138"/>
  <c r="X183"/>
  <c r="X53"/>
  <c r="X136"/>
  <c r="X14"/>
  <c r="X192"/>
  <c r="X165"/>
  <c r="X60"/>
  <c r="X105"/>
  <c r="X245"/>
  <c r="X283"/>
  <c r="X259"/>
  <c r="X102"/>
  <c r="X195"/>
  <c r="X36"/>
  <c r="X216"/>
  <c r="X84"/>
  <c r="X75"/>
  <c r="X87"/>
  <c r="X229"/>
  <c r="X52"/>
  <c r="X26"/>
  <c r="X64"/>
  <c r="X268"/>
  <c r="X213"/>
  <c r="X278"/>
  <c r="X163"/>
  <c r="X263"/>
  <c r="X49"/>
  <c r="X100"/>
  <c r="X266"/>
  <c r="X94"/>
  <c r="X235"/>
  <c r="X127"/>
  <c r="X274"/>
  <c r="X158"/>
  <c r="X179"/>
  <c r="X114"/>
  <c r="X142"/>
  <c r="X221"/>
  <c r="X205"/>
  <c r="X240"/>
  <c r="X273"/>
  <c r="X188"/>
  <c r="X211"/>
  <c r="X171"/>
  <c r="X115"/>
  <c r="X219"/>
  <c r="X176"/>
  <c r="X20"/>
  <c r="X239"/>
  <c r="X29"/>
  <c r="X46"/>
  <c r="X250"/>
  <c r="X236"/>
  <c r="X40"/>
  <c r="X113"/>
  <c r="X27"/>
  <c r="X37"/>
  <c r="X16"/>
  <c r="X44"/>
  <c r="X217"/>
  <c r="X130"/>
  <c r="X225"/>
  <c r="X284"/>
  <c r="X78"/>
  <c r="X226"/>
  <c r="X161"/>
  <c r="X197"/>
  <c r="X201"/>
  <c r="X228"/>
  <c r="X160"/>
  <c r="X108"/>
  <c r="X66"/>
  <c r="X275"/>
  <c r="X93"/>
  <c r="X209"/>
  <c r="X72"/>
  <c r="X253"/>
  <c r="X220"/>
  <c r="X18"/>
  <c r="X122"/>
  <c r="X233"/>
  <c r="X150"/>
  <c r="X149"/>
  <c r="X170"/>
  <c r="X69"/>
  <c r="X169"/>
  <c r="X223"/>
  <c r="X243"/>
  <c r="X288"/>
  <c r="X281"/>
  <c r="X31"/>
  <c r="X81"/>
  <c r="X199"/>
  <c r="X167"/>
  <c r="X45"/>
  <c r="X96"/>
  <c r="X151"/>
  <c r="X218"/>
  <c r="X159"/>
  <c r="X61"/>
  <c r="X232"/>
  <c r="X212"/>
  <c r="X272"/>
  <c r="X70"/>
  <c r="X244"/>
  <c r="X277"/>
  <c r="X21"/>
  <c r="X249"/>
  <c r="X210"/>
  <c r="X156"/>
  <c r="X125"/>
  <c r="X164"/>
  <c r="X57"/>
  <c r="X30"/>
  <c r="X74"/>
  <c r="X63"/>
  <c r="X257"/>
  <c r="X286"/>
  <c r="X230"/>
  <c r="X261"/>
  <c r="X252"/>
  <c r="X118"/>
  <c r="X80"/>
  <c r="X86"/>
  <c r="X42"/>
  <c r="X242"/>
  <c r="X123"/>
  <c r="X152"/>
  <c r="X98"/>
  <c r="X222"/>
  <c r="X22"/>
  <c r="X146"/>
  <c r="X256"/>
  <c r="X155"/>
  <c r="X11"/>
  <c r="X208"/>
  <c r="X193"/>
  <c r="X92"/>
  <c r="X129"/>
  <c r="X248"/>
  <c r="X162"/>
  <c r="X5"/>
  <c r="X271"/>
  <c r="X58"/>
  <c r="X234"/>
  <c r="X99"/>
  <c r="X121"/>
  <c r="X174"/>
  <c r="X202"/>
  <c r="X153"/>
  <c r="X246"/>
  <c r="X28"/>
  <c r="X182"/>
  <c r="X215"/>
  <c r="X51"/>
  <c r="X68"/>
  <c r="X6"/>
  <c r="X185"/>
  <c r="X48"/>
  <c r="X285"/>
  <c r="X262"/>
  <c r="X107"/>
  <c r="X97"/>
  <c r="X13"/>
  <c r="X85"/>
  <c r="X196"/>
  <c r="X104"/>
  <c r="X124"/>
  <c r="X140"/>
  <c r="X101"/>
  <c r="X147"/>
  <c r="X91"/>
  <c r="X143"/>
  <c r="X17"/>
  <c r="X280"/>
  <c r="X264"/>
  <c r="X251"/>
  <c r="X141"/>
  <c r="X187"/>
  <c r="X120"/>
  <c r="X276"/>
  <c r="X41"/>
  <c r="X83"/>
  <c r="X265"/>
  <c r="X227"/>
  <c r="X287"/>
  <c r="X144"/>
  <c r="X198"/>
  <c r="X110"/>
  <c r="X194"/>
  <c r="X181"/>
  <c r="X204"/>
  <c r="X177"/>
  <c r="X191"/>
  <c r="X77"/>
  <c r="X238"/>
  <c r="X137"/>
  <c r="X116"/>
  <c r="X62"/>
  <c r="X111"/>
  <c r="X103"/>
  <c r="X173"/>
  <c r="X67"/>
  <c r="X214"/>
  <c r="X19"/>
  <c r="X270"/>
  <c r="X95"/>
  <c r="X282"/>
  <c r="X119"/>
  <c r="X200"/>
  <c r="X172"/>
  <c r="X32"/>
  <c r="X279"/>
  <c r="X79"/>
  <c r="X186"/>
  <c r="X59"/>
  <c r="X88"/>
  <c r="X157"/>
  <c r="X47"/>
  <c r="X258"/>
  <c r="X35"/>
  <c r="X207"/>
  <c r="X148"/>
  <c r="X25"/>
  <c r="X178"/>
  <c r="X133"/>
  <c r="X128"/>
  <c r="X267"/>
  <c r="X39"/>
  <c r="X73"/>
  <c r="X56"/>
  <c r="X175"/>
  <c r="AD5"/>
  <c r="D5"/>
  <c r="D207"/>
  <c r="D101"/>
  <c r="D109"/>
  <c r="D147"/>
  <c r="D210"/>
  <c r="D84"/>
  <c r="D239"/>
  <c r="D213"/>
  <c r="D165"/>
  <c r="D116"/>
  <c r="D60"/>
  <c r="D177"/>
  <c r="D118"/>
  <c r="D53"/>
  <c r="D26"/>
  <c r="D67"/>
  <c r="D23"/>
  <c r="D58"/>
  <c r="D160"/>
  <c r="D272"/>
  <c r="D236"/>
  <c r="D279"/>
  <c r="D212"/>
  <c r="D244"/>
  <c r="D283"/>
  <c r="D276"/>
  <c r="D162"/>
  <c r="D131"/>
  <c r="D163"/>
  <c r="D161"/>
  <c r="D226"/>
  <c r="D248"/>
  <c r="D88"/>
  <c r="D169"/>
  <c r="D143"/>
  <c r="D170"/>
  <c r="D102"/>
  <c r="D233"/>
  <c r="D168"/>
  <c r="D241"/>
  <c r="D178"/>
  <c r="D63"/>
  <c r="D188"/>
  <c r="D37"/>
  <c r="D137"/>
  <c r="D64"/>
  <c r="D71"/>
  <c r="D222"/>
  <c r="D47"/>
  <c r="D13"/>
  <c r="D19"/>
  <c r="D22"/>
  <c r="D32"/>
  <c r="D11"/>
  <c r="D7"/>
  <c r="D128"/>
  <c r="D267"/>
  <c r="D155"/>
  <c r="D74"/>
  <c r="D180"/>
  <c r="D154"/>
  <c r="D231"/>
  <c r="D159"/>
  <c r="D249"/>
  <c r="D86"/>
  <c r="D190"/>
  <c r="D61"/>
  <c r="D203"/>
  <c r="D146"/>
  <c r="D261"/>
  <c r="D253"/>
  <c r="D57"/>
  <c r="D40"/>
  <c r="D93"/>
  <c r="D235"/>
  <c r="D234"/>
  <c r="D271"/>
  <c r="D50"/>
  <c r="D92"/>
  <c r="D34"/>
  <c r="D199"/>
  <c r="D77"/>
  <c r="D158"/>
  <c r="D44"/>
  <c r="D127"/>
  <c r="D270"/>
  <c r="D117"/>
  <c r="D166"/>
  <c r="D151"/>
  <c r="D156"/>
  <c r="D150"/>
  <c r="D72"/>
  <c r="D217"/>
  <c r="D285"/>
  <c r="D35"/>
  <c r="D21"/>
  <c r="D243"/>
  <c r="D98"/>
  <c r="D196"/>
  <c r="D79"/>
  <c r="D27"/>
  <c r="D141"/>
  <c r="D115"/>
  <c r="D286"/>
  <c r="D119"/>
  <c r="D225"/>
  <c r="D95"/>
  <c r="D206"/>
  <c r="D76"/>
  <c r="D8"/>
  <c r="D192"/>
  <c r="D96"/>
  <c r="D106"/>
  <c r="D91"/>
  <c r="D211"/>
  <c r="D148"/>
  <c r="D288"/>
  <c r="D181"/>
  <c r="D89"/>
  <c r="D29"/>
  <c r="D45"/>
  <c r="D187"/>
  <c r="D87"/>
  <c r="D281"/>
  <c r="D237"/>
  <c r="D52"/>
  <c r="D256"/>
  <c r="D56"/>
  <c r="D186"/>
  <c r="D80"/>
  <c r="D39"/>
  <c r="D121"/>
  <c r="D9"/>
  <c r="D153"/>
  <c r="D201"/>
  <c r="D85"/>
  <c r="D242"/>
  <c r="D195"/>
  <c r="D81"/>
  <c r="D28"/>
  <c r="D252"/>
  <c r="D30"/>
  <c r="D75"/>
  <c r="D134"/>
  <c r="D82"/>
  <c r="D264"/>
  <c r="D70"/>
  <c r="D145"/>
  <c r="D94"/>
  <c r="D214"/>
  <c r="D189"/>
  <c r="D245"/>
  <c r="D16"/>
  <c r="D6"/>
  <c r="D130"/>
  <c r="D36"/>
  <c r="D183"/>
  <c r="D167"/>
  <c r="D200"/>
  <c r="D254"/>
  <c r="D140"/>
  <c r="D123"/>
  <c r="D265"/>
  <c r="D65"/>
  <c r="D24"/>
  <c r="D78"/>
  <c r="D209"/>
  <c r="D10"/>
  <c r="D149"/>
  <c r="D46"/>
  <c r="D266"/>
  <c r="D125"/>
  <c r="D182"/>
  <c r="D113"/>
  <c r="D205"/>
  <c r="D122"/>
  <c r="D41"/>
  <c r="D164"/>
  <c r="D14"/>
  <c r="D17"/>
  <c r="D221"/>
  <c r="D20"/>
  <c r="D179"/>
  <c r="D136"/>
  <c r="D62"/>
  <c r="D90"/>
  <c r="D42"/>
  <c r="D112"/>
  <c r="D132"/>
  <c r="D38"/>
  <c r="D107"/>
  <c r="D100"/>
  <c r="D228"/>
  <c r="D54"/>
  <c r="D240"/>
  <c r="D108"/>
  <c r="D152"/>
  <c r="D135"/>
  <c r="D129"/>
  <c r="D83"/>
  <c r="D175"/>
  <c r="D230"/>
  <c r="D103"/>
  <c r="D133"/>
  <c r="D173"/>
  <c r="D247"/>
  <c r="D31"/>
  <c r="D232"/>
  <c r="D184"/>
  <c r="D120"/>
  <c r="D144"/>
  <c r="D59"/>
  <c r="D33"/>
  <c r="D280"/>
  <c r="D269"/>
  <c r="D176"/>
  <c r="D105"/>
  <c r="D171"/>
  <c r="D215"/>
  <c r="D198"/>
  <c r="D277"/>
  <c r="D258"/>
  <c r="D124"/>
  <c r="D274"/>
  <c r="D142"/>
  <c r="D275"/>
  <c r="D246"/>
  <c r="D18"/>
  <c r="D43"/>
  <c r="D284"/>
  <c r="D216"/>
  <c r="D15"/>
  <c r="D172"/>
  <c r="D12"/>
  <c r="D49"/>
  <c r="D268"/>
  <c r="D68"/>
  <c r="D73"/>
  <c r="D110"/>
  <c r="D25"/>
  <c r="P530"/>
  <c r="L530"/>
  <c r="H530"/>
  <c r="M530"/>
  <c r="I530"/>
  <c r="K530"/>
  <c r="N530"/>
  <c r="J530"/>
  <c r="F530"/>
  <c r="O530"/>
  <c r="G530"/>
  <c r="G460"/>
  <c r="K460"/>
  <c r="O460"/>
  <c r="I460"/>
  <c r="M460"/>
  <c r="S460"/>
  <c r="T460"/>
  <c r="I320"/>
  <c r="M320"/>
  <c r="S320"/>
  <c r="T320"/>
  <c r="G320"/>
  <c r="K320"/>
  <c r="O320"/>
  <c r="O454"/>
  <c r="K454"/>
  <c r="G454"/>
  <c r="S454"/>
  <c r="T454"/>
  <c r="M454"/>
  <c r="I454"/>
  <c r="G290"/>
  <c r="I290"/>
  <c r="K290"/>
  <c r="M290"/>
  <c r="O290"/>
  <c r="S290"/>
  <c r="T290"/>
  <c r="G333"/>
  <c r="I333"/>
  <c r="K333"/>
  <c r="M333"/>
  <c r="O333"/>
  <c r="S333"/>
  <c r="T333"/>
  <c r="G346"/>
  <c r="I346"/>
  <c r="K346"/>
  <c r="M346"/>
  <c r="O346"/>
  <c r="S346"/>
  <c r="T346"/>
  <c r="F290"/>
  <c r="H290"/>
  <c r="J290"/>
  <c r="L290"/>
  <c r="N290"/>
  <c r="P290"/>
  <c r="F333"/>
  <c r="H333"/>
  <c r="J333"/>
  <c r="L333"/>
  <c r="N333"/>
  <c r="P333"/>
  <c r="F346"/>
  <c r="H346"/>
  <c r="J346"/>
  <c r="L346"/>
  <c r="N346"/>
  <c r="P346"/>
  <c r="G332"/>
  <c r="I332"/>
  <c r="K332"/>
  <c r="M332"/>
  <c r="O332"/>
  <c r="S332"/>
  <c r="T332"/>
  <c r="G295"/>
  <c r="I295"/>
  <c r="K295"/>
  <c r="M295"/>
  <c r="O295"/>
  <c r="S295"/>
  <c r="T295"/>
  <c r="G361"/>
  <c r="I361"/>
  <c r="K361"/>
  <c r="M361"/>
  <c r="O361"/>
  <c r="S361"/>
  <c r="T361"/>
  <c r="G386"/>
  <c r="I386"/>
  <c r="K386"/>
  <c r="M386"/>
  <c r="O386"/>
  <c r="S386"/>
  <c r="T386"/>
  <c r="G323"/>
  <c r="I323"/>
  <c r="K323"/>
  <c r="M323"/>
  <c r="O323"/>
  <c r="F332"/>
  <c r="H332"/>
  <c r="J332"/>
  <c r="L332"/>
  <c r="N332"/>
  <c r="P332"/>
  <c r="F295"/>
  <c r="H295"/>
  <c r="J295"/>
  <c r="L295"/>
  <c r="N295"/>
  <c r="P295"/>
  <c r="F361"/>
  <c r="H361"/>
  <c r="J361"/>
  <c r="L361"/>
  <c r="N361"/>
  <c r="P361"/>
  <c r="F386"/>
  <c r="H386"/>
  <c r="J386"/>
  <c r="L386"/>
  <c r="N386"/>
  <c r="P386"/>
  <c r="F323"/>
  <c r="H323"/>
  <c r="J323"/>
  <c r="L323"/>
  <c r="N323"/>
  <c r="P323"/>
  <c r="F329"/>
  <c r="H329"/>
  <c r="J329"/>
  <c r="L329"/>
  <c r="N329"/>
  <c r="P329"/>
  <c r="I329"/>
  <c r="M329"/>
  <c r="F387"/>
  <c r="H387"/>
  <c r="J387"/>
  <c r="L387"/>
  <c r="N387"/>
  <c r="P387"/>
  <c r="F449"/>
  <c r="H449"/>
  <c r="J449"/>
  <c r="L449"/>
  <c r="N449"/>
  <c r="P449"/>
  <c r="F302"/>
  <c r="H302"/>
  <c r="J302"/>
  <c r="L302"/>
  <c r="N302"/>
  <c r="P302"/>
  <c r="F372"/>
  <c r="H372"/>
  <c r="J372"/>
  <c r="L372"/>
  <c r="N372"/>
  <c r="P372"/>
  <c r="F438"/>
  <c r="H438"/>
  <c r="J438"/>
  <c r="L438"/>
  <c r="N438"/>
  <c r="P438"/>
  <c r="F425"/>
  <c r="H425"/>
  <c r="J425"/>
  <c r="L425"/>
  <c r="N425"/>
  <c r="P425"/>
  <c r="F470"/>
  <c r="H470"/>
  <c r="J470"/>
  <c r="L470"/>
  <c r="N470"/>
  <c r="P470"/>
  <c r="F529"/>
  <c r="H529"/>
  <c r="J529"/>
  <c r="L529"/>
  <c r="N529"/>
  <c r="P529"/>
  <c r="F362"/>
  <c r="H362"/>
  <c r="J362"/>
  <c r="L362"/>
  <c r="N362"/>
  <c r="P362"/>
  <c r="F331"/>
  <c r="H331"/>
  <c r="J331"/>
  <c r="L331"/>
  <c r="N331"/>
  <c r="P331"/>
  <c r="F491"/>
  <c r="H491"/>
  <c r="J491"/>
  <c r="L491"/>
  <c r="N491"/>
  <c r="P491"/>
  <c r="F526"/>
  <c r="H526"/>
  <c r="J526"/>
  <c r="L526"/>
  <c r="S323"/>
  <c r="T323"/>
  <c r="G329"/>
  <c r="K329"/>
  <c r="O329"/>
  <c r="S329"/>
  <c r="T329"/>
  <c r="G387"/>
  <c r="I387"/>
  <c r="K387"/>
  <c r="M387"/>
  <c r="O387"/>
  <c r="S387"/>
  <c r="T387"/>
  <c r="G449"/>
  <c r="I449"/>
  <c r="K449"/>
  <c r="M449"/>
  <c r="O449"/>
  <c r="S449"/>
  <c r="T449"/>
  <c r="G302"/>
  <c r="I302"/>
  <c r="K302"/>
  <c r="M302"/>
  <c r="O302"/>
  <c r="S302"/>
  <c r="T302"/>
  <c r="G372"/>
  <c r="I372"/>
  <c r="K372"/>
  <c r="M372"/>
  <c r="O372"/>
  <c r="S372"/>
  <c r="T372"/>
  <c r="G438"/>
  <c r="I438"/>
  <c r="K438"/>
  <c r="M438"/>
  <c r="O438"/>
  <c r="S438"/>
  <c r="T438"/>
  <c r="G425"/>
  <c r="I425"/>
  <c r="K425"/>
  <c r="M425"/>
  <c r="O425"/>
  <c r="S425"/>
  <c r="T425"/>
  <c r="G470"/>
  <c r="I470"/>
  <c r="K470"/>
  <c r="M470"/>
  <c r="O470"/>
  <c r="S470"/>
  <c r="T470"/>
  <c r="G529"/>
  <c r="I529"/>
  <c r="K529"/>
  <c r="M529"/>
  <c r="O529"/>
  <c r="S529"/>
  <c r="T529"/>
  <c r="G362"/>
  <c r="I362"/>
  <c r="K362"/>
  <c r="M362"/>
  <c r="O362"/>
  <c r="S362"/>
  <c r="T362"/>
  <c r="G331"/>
  <c r="I331"/>
  <c r="K331"/>
  <c r="M331"/>
  <c r="O331"/>
  <c r="S331"/>
  <c r="T331"/>
  <c r="G491"/>
  <c r="I491"/>
  <c r="K491"/>
  <c r="M491"/>
  <c r="O491"/>
  <c r="S491"/>
  <c r="T491"/>
  <c r="G526"/>
  <c r="I526"/>
  <c r="K526"/>
  <c r="M526"/>
  <c r="O526"/>
  <c r="P526"/>
  <c r="F292"/>
  <c r="H292"/>
  <c r="J292"/>
  <c r="L292"/>
  <c r="N292"/>
  <c r="P292"/>
  <c r="F397"/>
  <c r="H397"/>
  <c r="J397"/>
  <c r="L397"/>
  <c r="N397"/>
  <c r="P397"/>
  <c r="F301"/>
  <c r="H301"/>
  <c r="J301"/>
  <c r="L301"/>
  <c r="N301"/>
  <c r="P301"/>
  <c r="F321"/>
  <c r="H321"/>
  <c r="J321"/>
  <c r="L321"/>
  <c r="N321"/>
  <c r="P321"/>
  <c r="F508"/>
  <c r="H508"/>
  <c r="J508"/>
  <c r="L508"/>
  <c r="N508"/>
  <c r="P508"/>
  <c r="F520"/>
  <c r="H520"/>
  <c r="J520"/>
  <c r="L520"/>
  <c r="N520"/>
  <c r="P520"/>
  <c r="F336"/>
  <c r="H336"/>
  <c r="J336"/>
  <c r="L336"/>
  <c r="N336"/>
  <c r="P336"/>
  <c r="F330"/>
  <c r="H330"/>
  <c r="J330"/>
  <c r="L330"/>
  <c r="N330"/>
  <c r="P330"/>
  <c r="F315"/>
  <c r="H315"/>
  <c r="J315"/>
  <c r="L315"/>
  <c r="N315"/>
  <c r="P315"/>
  <c r="F522"/>
  <c r="H522"/>
  <c r="J522"/>
  <c r="L522"/>
  <c r="N522"/>
  <c r="P522"/>
  <c r="F401"/>
  <c r="H401"/>
  <c r="J401"/>
  <c r="L401"/>
  <c r="N401"/>
  <c r="P401"/>
  <c r="F381"/>
  <c r="H381"/>
  <c r="J381"/>
  <c r="L381"/>
  <c r="N381"/>
  <c r="P381"/>
  <c r="F478"/>
  <c r="H478"/>
  <c r="J478"/>
  <c r="L478"/>
  <c r="N478"/>
  <c r="P478"/>
  <c r="F384"/>
  <c r="H384"/>
  <c r="J384"/>
  <c r="L384"/>
  <c r="N384"/>
  <c r="P384"/>
  <c r="F407"/>
  <c r="H407"/>
  <c r="J407"/>
  <c r="L407"/>
  <c r="N407"/>
  <c r="P407"/>
  <c r="F370"/>
  <c r="H370"/>
  <c r="J370"/>
  <c r="L370"/>
  <c r="N370"/>
  <c r="P370"/>
  <c r="F521"/>
  <c r="H521"/>
  <c r="J521"/>
  <c r="L521"/>
  <c r="N521"/>
  <c r="P521"/>
  <c r="F344"/>
  <c r="H344"/>
  <c r="J344"/>
  <c r="L344"/>
  <c r="N344"/>
  <c r="P344"/>
  <c r="F313"/>
  <c r="H313"/>
  <c r="J313"/>
  <c r="L313"/>
  <c r="N313"/>
  <c r="P313"/>
  <c r="F308"/>
  <c r="H308"/>
  <c r="J308"/>
  <c r="L308"/>
  <c r="N308"/>
  <c r="P308"/>
  <c r="F402"/>
  <c r="H402"/>
  <c r="J402"/>
  <c r="L402"/>
  <c r="N402"/>
  <c r="P402"/>
  <c r="F413"/>
  <c r="H413"/>
  <c r="J413"/>
  <c r="L413"/>
  <c r="N413"/>
  <c r="P413"/>
  <c r="F360"/>
  <c r="H360"/>
  <c r="J360"/>
  <c r="L360"/>
  <c r="N360"/>
  <c r="P360"/>
  <c r="F523"/>
  <c r="H523"/>
  <c r="J523"/>
  <c r="L523"/>
  <c r="N523"/>
  <c r="P523"/>
  <c r="F489"/>
  <c r="H489"/>
  <c r="J489"/>
  <c r="L489"/>
  <c r="N489"/>
  <c r="P489"/>
  <c r="F445"/>
  <c r="H445"/>
  <c r="J445"/>
  <c r="L445"/>
  <c r="N445"/>
  <c r="P445"/>
  <c r="F305"/>
  <c r="H305"/>
  <c r="J305"/>
  <c r="L305"/>
  <c r="N305"/>
  <c r="P305"/>
  <c r="F464"/>
  <c r="H464"/>
  <c r="J464"/>
  <c r="L464"/>
  <c r="N464"/>
  <c r="P464"/>
  <c r="F427"/>
  <c r="H427"/>
  <c r="J427"/>
  <c r="L427"/>
  <c r="N427"/>
  <c r="P427"/>
  <c r="F416"/>
  <c r="H416"/>
  <c r="J416"/>
  <c r="L416"/>
  <c r="N416"/>
  <c r="P416"/>
  <c r="F377"/>
  <c r="H377"/>
  <c r="J377"/>
  <c r="L377"/>
  <c r="N377"/>
  <c r="N526"/>
  <c r="S526"/>
  <c r="T526"/>
  <c r="G292"/>
  <c r="I292"/>
  <c r="K292"/>
  <c r="M292"/>
  <c r="O292"/>
  <c r="S292"/>
  <c r="T292"/>
  <c r="G397"/>
  <c r="I397"/>
  <c r="K397"/>
  <c r="M397"/>
  <c r="O397"/>
  <c r="S397"/>
  <c r="T397"/>
  <c r="G301"/>
  <c r="I301"/>
  <c r="K301"/>
  <c r="M301"/>
  <c r="O301"/>
  <c r="S301"/>
  <c r="T301"/>
  <c r="G321"/>
  <c r="I321"/>
  <c r="K321"/>
  <c r="M321"/>
  <c r="O321"/>
  <c r="S321"/>
  <c r="T321"/>
  <c r="G508"/>
  <c r="I508"/>
  <c r="K508"/>
  <c r="M508"/>
  <c r="O508"/>
  <c r="S508"/>
  <c r="T508"/>
  <c r="G520"/>
  <c r="I520"/>
  <c r="K520"/>
  <c r="M520"/>
  <c r="O520"/>
  <c r="S520"/>
  <c r="T520"/>
  <c r="G336"/>
  <c r="I336"/>
  <c r="K336"/>
  <c r="M336"/>
  <c r="O336"/>
  <c r="S336"/>
  <c r="T336"/>
  <c r="G330"/>
  <c r="I330"/>
  <c r="K330"/>
  <c r="M330"/>
  <c r="O330"/>
  <c r="S330"/>
  <c r="T330"/>
  <c r="G315"/>
  <c r="I315"/>
  <c r="K315"/>
  <c r="M315"/>
  <c r="O315"/>
  <c r="S315"/>
  <c r="T315"/>
  <c r="G522"/>
  <c r="I522"/>
  <c r="K522"/>
  <c r="M522"/>
  <c r="O522"/>
  <c r="S522"/>
  <c r="T522"/>
  <c r="G401"/>
  <c r="I401"/>
  <c r="K401"/>
  <c r="M401"/>
  <c r="O401"/>
  <c r="S401"/>
  <c r="T401"/>
  <c r="G381"/>
  <c r="I381"/>
  <c r="K381"/>
  <c r="M381"/>
  <c r="O381"/>
  <c r="S381"/>
  <c r="T381"/>
  <c r="G478"/>
  <c r="I478"/>
  <c r="K478"/>
  <c r="M478"/>
  <c r="O478"/>
  <c r="S478"/>
  <c r="T478"/>
  <c r="G384"/>
  <c r="I384"/>
  <c r="K384"/>
  <c r="M384"/>
  <c r="O384"/>
  <c r="S384"/>
  <c r="T384"/>
  <c r="G407"/>
  <c r="I407"/>
  <c r="K407"/>
  <c r="M407"/>
  <c r="O407"/>
  <c r="S407"/>
  <c r="T407"/>
  <c r="G370"/>
  <c r="I370"/>
  <c r="K370"/>
  <c r="M370"/>
  <c r="O370"/>
  <c r="S370"/>
  <c r="T370"/>
  <c r="G521"/>
  <c r="I521"/>
  <c r="K521"/>
  <c r="M521"/>
  <c r="O521"/>
  <c r="S521"/>
  <c r="T521"/>
  <c r="G344"/>
  <c r="I344"/>
  <c r="K344"/>
  <c r="M344"/>
  <c r="O344"/>
  <c r="S344"/>
  <c r="T344"/>
  <c r="G313"/>
  <c r="I313"/>
  <c r="K313"/>
  <c r="M313"/>
  <c r="O313"/>
  <c r="S313"/>
  <c r="T313"/>
  <c r="G308"/>
  <c r="I308"/>
  <c r="K308"/>
  <c r="M308"/>
  <c r="O308"/>
  <c r="S308"/>
  <c r="T308"/>
  <c r="G402"/>
  <c r="I402"/>
  <c r="K402"/>
  <c r="M402"/>
  <c r="O402"/>
  <c r="S402"/>
  <c r="T402"/>
  <c r="G413"/>
  <c r="I413"/>
  <c r="K413"/>
  <c r="M413"/>
  <c r="O413"/>
  <c r="S413"/>
  <c r="T413"/>
  <c r="G360"/>
  <c r="I360"/>
  <c r="K360"/>
  <c r="M360"/>
  <c r="O360"/>
  <c r="S360"/>
  <c r="T360"/>
  <c r="G523"/>
  <c r="I523"/>
  <c r="K523"/>
  <c r="M523"/>
  <c r="O523"/>
  <c r="S523"/>
  <c r="T523"/>
  <c r="G489"/>
  <c r="I489"/>
  <c r="K489"/>
  <c r="M489"/>
  <c r="O489"/>
  <c r="S489"/>
  <c r="T489"/>
  <c r="G445"/>
  <c r="I445"/>
  <c r="K445"/>
  <c r="M445"/>
  <c r="O445"/>
  <c r="S445"/>
  <c r="T445"/>
  <c r="G305"/>
  <c r="I305"/>
  <c r="K305"/>
  <c r="M305"/>
  <c r="O305"/>
  <c r="S305"/>
  <c r="T305"/>
  <c r="G464"/>
  <c r="I464"/>
  <c r="K464"/>
  <c r="M464"/>
  <c r="O464"/>
  <c r="S464"/>
  <c r="T464"/>
  <c r="G427"/>
  <c r="I427"/>
  <c r="K427"/>
  <c r="M427"/>
  <c r="O427"/>
  <c r="S427"/>
  <c r="T427"/>
  <c r="G416"/>
  <c r="I416"/>
  <c r="K416"/>
  <c r="M416"/>
  <c r="O416"/>
  <c r="S416"/>
  <c r="T416"/>
  <c r="I377"/>
  <c r="M377"/>
  <c r="P377"/>
  <c r="F403"/>
  <c r="H403"/>
  <c r="J403"/>
  <c r="L403"/>
  <c r="N403"/>
  <c r="P403"/>
  <c r="F505"/>
  <c r="H505"/>
  <c r="J505"/>
  <c r="L505"/>
  <c r="N505"/>
  <c r="P505"/>
  <c r="F411"/>
  <c r="H411"/>
  <c r="J411"/>
  <c r="L411"/>
  <c r="N411"/>
  <c r="P411"/>
  <c r="F418"/>
  <c r="H418"/>
  <c r="J418"/>
  <c r="L418"/>
  <c r="N418"/>
  <c r="P418"/>
  <c r="F516"/>
  <c r="H516"/>
  <c r="J516"/>
  <c r="L516"/>
  <c r="N516"/>
  <c r="P516"/>
  <c r="F399"/>
  <c r="H399"/>
  <c r="J399"/>
  <c r="L399"/>
  <c r="N399"/>
  <c r="P399"/>
  <c r="F434"/>
  <c r="H434"/>
  <c r="J434"/>
  <c r="L434"/>
  <c r="N434"/>
  <c r="P434"/>
  <c r="F495"/>
  <c r="H495"/>
  <c r="J495"/>
  <c r="L495"/>
  <c r="N495"/>
  <c r="P495"/>
  <c r="F404"/>
  <c r="H404"/>
  <c r="J404"/>
  <c r="L404"/>
  <c r="N404"/>
  <c r="P404"/>
  <c r="F393"/>
  <c r="H393"/>
  <c r="J393"/>
  <c r="L393"/>
  <c r="N393"/>
  <c r="P393"/>
  <c r="F473"/>
  <c r="H473"/>
  <c r="J473"/>
  <c r="L473"/>
  <c r="N473"/>
  <c r="P473"/>
  <c r="F365"/>
  <c r="H365"/>
  <c r="J365"/>
  <c r="L365"/>
  <c r="N365"/>
  <c r="P365"/>
  <c r="F412"/>
  <c r="H412"/>
  <c r="J412"/>
  <c r="L412"/>
  <c r="N412"/>
  <c r="P412"/>
  <c r="F466"/>
  <c r="H466"/>
  <c r="J466"/>
  <c r="L466"/>
  <c r="N466"/>
  <c r="P466"/>
  <c r="F481"/>
  <c r="H481"/>
  <c r="J481"/>
  <c r="L481"/>
  <c r="N481"/>
  <c r="P481"/>
  <c r="F304"/>
  <c r="H304"/>
  <c r="J304"/>
  <c r="L304"/>
  <c r="N304"/>
  <c r="P304"/>
  <c r="G377"/>
  <c r="K377"/>
  <c r="O377"/>
  <c r="S377"/>
  <c r="T377"/>
  <c r="G403"/>
  <c r="I403"/>
  <c r="K403"/>
  <c r="M403"/>
  <c r="O403"/>
  <c r="S403"/>
  <c r="T403"/>
  <c r="G505"/>
  <c r="I505"/>
  <c r="K505"/>
  <c r="M505"/>
  <c r="O505"/>
  <c r="S505"/>
  <c r="T505"/>
  <c r="G411"/>
  <c r="I411"/>
  <c r="K411"/>
  <c r="M411"/>
  <c r="O411"/>
  <c r="S411"/>
  <c r="T411"/>
  <c r="G418"/>
  <c r="I418"/>
  <c r="K418"/>
  <c r="M418"/>
  <c r="O418"/>
  <c r="S418"/>
  <c r="T418"/>
  <c r="G516"/>
  <c r="I516"/>
  <c r="K516"/>
  <c r="M516"/>
  <c r="O516"/>
  <c r="S516"/>
  <c r="T516"/>
  <c r="G399"/>
  <c r="I399"/>
  <c r="K399"/>
  <c r="M399"/>
  <c r="O399"/>
  <c r="S399"/>
  <c r="T399"/>
  <c r="G434"/>
  <c r="I434"/>
  <c r="K434"/>
  <c r="M434"/>
  <c r="O434"/>
  <c r="S434"/>
  <c r="T434"/>
  <c r="G495"/>
  <c r="I495"/>
  <c r="K495"/>
  <c r="M495"/>
  <c r="O495"/>
  <c r="S495"/>
  <c r="T495"/>
  <c r="G404"/>
  <c r="I404"/>
  <c r="K404"/>
  <c r="M404"/>
  <c r="O404"/>
  <c r="S404"/>
  <c r="T404"/>
  <c r="G393"/>
  <c r="I393"/>
  <c r="K393"/>
  <c r="M393"/>
  <c r="O393"/>
  <c r="S393"/>
  <c r="T393"/>
  <c r="G473"/>
  <c r="I473"/>
  <c r="K473"/>
  <c r="M473"/>
  <c r="O473"/>
  <c r="S473"/>
  <c r="T473"/>
  <c r="G365"/>
  <c r="I365"/>
  <c r="K365"/>
  <c r="M365"/>
  <c r="O365"/>
  <c r="S365"/>
  <c r="T365"/>
  <c r="G412"/>
  <c r="I412"/>
  <c r="K412"/>
  <c r="M412"/>
  <c r="O412"/>
  <c r="S412"/>
  <c r="T412"/>
  <c r="G466"/>
  <c r="I466"/>
  <c r="K466"/>
  <c r="M466"/>
  <c r="O466"/>
  <c r="S466"/>
  <c r="T466"/>
  <c r="G481"/>
  <c r="I481"/>
  <c r="K481"/>
  <c r="M481"/>
  <c r="O481"/>
  <c r="S481"/>
  <c r="T481"/>
  <c r="G304"/>
  <c r="I304"/>
  <c r="K304"/>
  <c r="M304"/>
  <c r="O304"/>
  <c r="S304"/>
  <c r="T304"/>
  <c r="P454"/>
  <c r="N454"/>
  <c r="L454"/>
  <c r="J454"/>
  <c r="H454"/>
  <c r="F454"/>
  <c r="P460"/>
  <c r="N460"/>
  <c r="L460"/>
  <c r="J460"/>
  <c r="H460"/>
  <c r="F460"/>
  <c r="P320"/>
  <c r="N320"/>
  <c r="L320"/>
  <c r="J320"/>
  <c r="H320"/>
  <c r="F320"/>
  <c r="P487"/>
  <c r="N487"/>
  <c r="L487"/>
  <c r="J487"/>
  <c r="H487"/>
  <c r="F487"/>
  <c r="P439"/>
  <c r="N439"/>
  <c r="L439"/>
  <c r="J439"/>
  <c r="H439"/>
  <c r="F439"/>
  <c r="P502"/>
  <c r="N502"/>
  <c r="L502"/>
  <c r="J502"/>
  <c r="H502"/>
  <c r="F502"/>
  <c r="P496"/>
  <c r="N496"/>
  <c r="L496"/>
  <c r="J496"/>
  <c r="H496"/>
  <c r="F496"/>
  <c r="P474"/>
  <c r="N474"/>
  <c r="L474"/>
  <c r="J474"/>
  <c r="H474"/>
  <c r="F474"/>
  <c r="P293"/>
  <c r="N293"/>
  <c r="L293"/>
  <c r="J293"/>
  <c r="H293"/>
  <c r="F293"/>
  <c r="P507"/>
  <c r="N507"/>
  <c r="L507"/>
  <c r="J507"/>
  <c r="H507"/>
  <c r="F507"/>
  <c r="P342"/>
  <c r="N342"/>
  <c r="L342"/>
  <c r="J342"/>
  <c r="H342"/>
  <c r="F342"/>
  <c r="P339"/>
  <c r="N339"/>
  <c r="L339"/>
  <c r="J339"/>
  <c r="H339"/>
  <c r="F339"/>
  <c r="P453"/>
  <c r="N453"/>
  <c r="L453"/>
  <c r="J453"/>
  <c r="H453"/>
  <c r="F453"/>
  <c r="P504"/>
  <c r="N504"/>
  <c r="L504"/>
  <c r="J504"/>
  <c r="H504"/>
  <c r="F504"/>
  <c r="P306"/>
  <c r="N306"/>
  <c r="L306"/>
  <c r="J306"/>
  <c r="H306"/>
  <c r="F306"/>
  <c r="P392"/>
  <c r="N392"/>
  <c r="L392"/>
  <c r="J392"/>
  <c r="H392"/>
  <c r="F392"/>
  <c r="P421"/>
  <c r="N421"/>
  <c r="L421"/>
  <c r="J421"/>
  <c r="H421"/>
  <c r="F421"/>
  <c r="P406"/>
  <c r="N406"/>
  <c r="L406"/>
  <c r="J406"/>
  <c r="H406"/>
  <c r="F406"/>
  <c r="P385"/>
  <c r="N385"/>
  <c r="L385"/>
  <c r="J385"/>
  <c r="H385"/>
  <c r="F385"/>
  <c r="P340"/>
  <c r="N340"/>
  <c r="L340"/>
  <c r="J340"/>
  <c r="H340"/>
  <c r="F340"/>
  <c r="P389"/>
  <c r="N389"/>
  <c r="L389"/>
  <c r="J389"/>
  <c r="H389"/>
  <c r="F389"/>
  <c r="P316"/>
  <c r="N316"/>
  <c r="L316"/>
  <c r="J316"/>
  <c r="H316"/>
  <c r="F316"/>
  <c r="P298"/>
  <c r="N298"/>
  <c r="L298"/>
  <c r="J298"/>
  <c r="H298"/>
  <c r="F298"/>
  <c r="P303"/>
  <c r="N303"/>
  <c r="L303"/>
  <c r="J303"/>
  <c r="H303"/>
  <c r="F303"/>
  <c r="P324"/>
  <c r="N324"/>
  <c r="L324"/>
  <c r="J324"/>
  <c r="H324"/>
  <c r="F324"/>
  <c r="S487"/>
  <c r="T487"/>
  <c r="O487"/>
  <c r="M487"/>
  <c r="K487"/>
  <c r="I487"/>
  <c r="G487"/>
  <c r="S439"/>
  <c r="T439"/>
  <c r="O439"/>
  <c r="M439"/>
  <c r="K439"/>
  <c r="I439"/>
  <c r="G439"/>
  <c r="S502"/>
  <c r="T502"/>
  <c r="O502"/>
  <c r="M502"/>
  <c r="K502"/>
  <c r="I502"/>
  <c r="G502"/>
  <c r="S496"/>
  <c r="T496"/>
  <c r="O496"/>
  <c r="M496"/>
  <c r="K496"/>
  <c r="I496"/>
  <c r="G496"/>
  <c r="S474"/>
  <c r="T474"/>
  <c r="O474"/>
  <c r="M474"/>
  <c r="K474"/>
  <c r="I474"/>
  <c r="G474"/>
  <c r="S293"/>
  <c r="T293"/>
  <c r="O293"/>
  <c r="M293"/>
  <c r="K293"/>
  <c r="I293"/>
  <c r="G293"/>
  <c r="S507"/>
  <c r="T507"/>
  <c r="O507"/>
  <c r="M507"/>
  <c r="K507"/>
  <c r="I507"/>
  <c r="G507"/>
  <c r="S342"/>
  <c r="T342"/>
  <c r="O342"/>
  <c r="M342"/>
  <c r="K342"/>
  <c r="I342"/>
  <c r="G342"/>
  <c r="S339"/>
  <c r="T339"/>
  <c r="O339"/>
  <c r="M339"/>
  <c r="K339"/>
  <c r="I339"/>
  <c r="G339"/>
  <c r="S453"/>
  <c r="T453"/>
  <c r="O453"/>
  <c r="M453"/>
  <c r="K453"/>
  <c r="I453"/>
  <c r="G453"/>
  <c r="S504"/>
  <c r="T504"/>
  <c r="O504"/>
  <c r="M504"/>
  <c r="K504"/>
  <c r="I504"/>
  <c r="G504"/>
  <c r="S306"/>
  <c r="T306"/>
  <c r="O306"/>
  <c r="M306"/>
  <c r="K306"/>
  <c r="I306"/>
  <c r="G306"/>
  <c r="S392"/>
  <c r="T392"/>
  <c r="O392"/>
  <c r="M392"/>
  <c r="K392"/>
  <c r="I392"/>
  <c r="G392"/>
  <c r="S421"/>
  <c r="T421"/>
  <c r="O421"/>
  <c r="M421"/>
  <c r="K421"/>
  <c r="I421"/>
  <c r="G421"/>
  <c r="S406"/>
  <c r="T406"/>
  <c r="O406"/>
  <c r="M406"/>
  <c r="K406"/>
  <c r="I406"/>
  <c r="G406"/>
  <c r="S385"/>
  <c r="T385"/>
  <c r="O385"/>
  <c r="M385"/>
  <c r="K385"/>
  <c r="I385"/>
  <c r="G385"/>
  <c r="S340"/>
  <c r="T340"/>
  <c r="O340"/>
  <c r="M340"/>
  <c r="K340"/>
  <c r="I340"/>
  <c r="G340"/>
  <c r="S389"/>
  <c r="T389"/>
  <c r="O389"/>
  <c r="M389"/>
  <c r="K389"/>
  <c r="I389"/>
  <c r="G389"/>
  <c r="S316"/>
  <c r="T316"/>
  <c r="O316"/>
  <c r="M316"/>
  <c r="K316"/>
  <c r="I316"/>
  <c r="G316"/>
  <c r="S298"/>
  <c r="T298"/>
  <c r="O298"/>
  <c r="M298"/>
  <c r="K298"/>
  <c r="I298"/>
  <c r="G298"/>
  <c r="S303"/>
  <c r="T303"/>
  <c r="O303"/>
  <c r="M303"/>
  <c r="K303"/>
  <c r="I303"/>
  <c r="G303"/>
  <c r="S324"/>
  <c r="T324"/>
  <c r="O324"/>
  <c r="M324"/>
  <c r="K324"/>
  <c r="I324"/>
  <c r="G324"/>
  <c r="P310"/>
  <c r="N310"/>
  <c r="L310"/>
  <c r="H310"/>
  <c r="N312"/>
  <c r="J312"/>
  <c r="F312"/>
  <c r="F395"/>
  <c r="H395"/>
  <c r="J395"/>
  <c r="L395"/>
  <c r="N395"/>
  <c r="P395"/>
  <c r="G527"/>
  <c r="I527"/>
  <c r="K527"/>
  <c r="M527"/>
  <c r="O527"/>
  <c r="S527"/>
  <c r="T527"/>
  <c r="G469"/>
  <c r="I469"/>
  <c r="K469"/>
  <c r="M469"/>
  <c r="O469"/>
  <c r="S469"/>
  <c r="T469"/>
  <c r="F391"/>
  <c r="H391"/>
  <c r="J391"/>
  <c r="L391"/>
  <c r="N391"/>
  <c r="P391"/>
  <c r="F363"/>
  <c r="H363"/>
  <c r="J363"/>
  <c r="L363"/>
  <c r="N363"/>
  <c r="P363"/>
  <c r="G347"/>
  <c r="I347"/>
  <c r="K347"/>
  <c r="M347"/>
  <c r="O347"/>
  <c r="S347"/>
  <c r="T347"/>
  <c r="F297"/>
  <c r="H297"/>
  <c r="J297"/>
  <c r="L297"/>
  <c r="N297"/>
  <c r="P297"/>
  <c r="F341"/>
  <c r="H341"/>
  <c r="J341"/>
  <c r="L341"/>
  <c r="N341"/>
  <c r="P341"/>
  <c r="G354"/>
  <c r="I354"/>
  <c r="K354"/>
  <c r="M354"/>
  <c r="O354"/>
  <c r="S354"/>
  <c r="T354"/>
  <c r="F428"/>
  <c r="H428"/>
  <c r="J428"/>
  <c r="L428"/>
  <c r="N428"/>
  <c r="P428"/>
  <c r="F368"/>
  <c r="H368"/>
  <c r="J368"/>
  <c r="L368"/>
  <c r="N368"/>
  <c r="P368"/>
  <c r="F479"/>
  <c r="H479"/>
  <c r="J479"/>
  <c r="L479"/>
  <c r="N479"/>
  <c r="P479"/>
  <c r="G291"/>
  <c r="I291"/>
  <c r="K291"/>
  <c r="M291"/>
  <c r="O291"/>
  <c r="S291"/>
  <c r="T291"/>
  <c r="G395"/>
  <c r="I395"/>
  <c r="K395"/>
  <c r="M395"/>
  <c r="O395"/>
  <c r="S395"/>
  <c r="T395"/>
  <c r="F527"/>
  <c r="H527"/>
  <c r="J527"/>
  <c r="L527"/>
  <c r="N527"/>
  <c r="P527"/>
  <c r="F469"/>
  <c r="H469"/>
  <c r="J469"/>
  <c r="L469"/>
  <c r="N469"/>
  <c r="P469"/>
  <c r="G391"/>
  <c r="I391"/>
  <c r="K391"/>
  <c r="M391"/>
  <c r="O391"/>
  <c r="S391"/>
  <c r="T391"/>
  <c r="G363"/>
  <c r="I363"/>
  <c r="K363"/>
  <c r="M363"/>
  <c r="O363"/>
  <c r="S363"/>
  <c r="T363"/>
  <c r="F347"/>
  <c r="H347"/>
  <c r="J347"/>
  <c r="L347"/>
  <c r="N347"/>
  <c r="P347"/>
  <c r="G297"/>
  <c r="I297"/>
  <c r="K297"/>
  <c r="M297"/>
  <c r="O297"/>
  <c r="S297"/>
  <c r="T297"/>
  <c r="G341"/>
  <c r="I341"/>
  <c r="K341"/>
  <c r="M341"/>
  <c r="O341"/>
  <c r="S341"/>
  <c r="T341"/>
  <c r="F354"/>
  <c r="H354"/>
  <c r="J354"/>
  <c r="L354"/>
  <c r="N354"/>
  <c r="P354"/>
  <c r="G428"/>
  <c r="I428"/>
  <c r="K428"/>
  <c r="M428"/>
  <c r="O428"/>
  <c r="S428"/>
  <c r="T428"/>
  <c r="G368"/>
  <c r="I368"/>
  <c r="K368"/>
  <c r="M368"/>
  <c r="O368"/>
  <c r="S368"/>
  <c r="T368"/>
  <c r="G479"/>
  <c r="I479"/>
  <c r="K479"/>
  <c r="M479"/>
  <c r="O479"/>
  <c r="S479"/>
  <c r="T479"/>
  <c r="H291"/>
  <c r="L291"/>
  <c r="P291"/>
  <c r="G289"/>
  <c r="I289"/>
  <c r="K289"/>
  <c r="M289"/>
  <c r="O289"/>
  <c r="S289"/>
  <c r="T289"/>
  <c r="F319"/>
  <c r="H319"/>
  <c r="J319"/>
  <c r="L319"/>
  <c r="N319"/>
  <c r="P319"/>
  <c r="G299"/>
  <c r="I299"/>
  <c r="K299"/>
  <c r="M299"/>
  <c r="O299"/>
  <c r="S299"/>
  <c r="T299"/>
  <c r="F296"/>
  <c r="H296"/>
  <c r="J296"/>
  <c r="L296"/>
  <c r="N296"/>
  <c r="P296"/>
  <c r="G498"/>
  <c r="I498"/>
  <c r="K498"/>
  <c r="M498"/>
  <c r="O498"/>
  <c r="S498"/>
  <c r="T498"/>
  <c r="F314"/>
  <c r="H314"/>
  <c r="J314"/>
  <c r="L314"/>
  <c r="N314"/>
  <c r="P314"/>
  <c r="G334"/>
  <c r="I334"/>
  <c r="K334"/>
  <c r="M334"/>
  <c r="O334"/>
  <c r="S334"/>
  <c r="T334"/>
  <c r="F291"/>
  <c r="J291"/>
  <c r="N291"/>
  <c r="F289"/>
  <c r="H289"/>
  <c r="J289"/>
  <c r="L289"/>
  <c r="N289"/>
  <c r="P289"/>
  <c r="G319"/>
  <c r="I319"/>
  <c r="K319"/>
  <c r="M319"/>
  <c r="O319"/>
  <c r="S319"/>
  <c r="T319"/>
  <c r="F299"/>
  <c r="H299"/>
  <c r="J299"/>
  <c r="L299"/>
  <c r="N299"/>
  <c r="P299"/>
  <c r="G296"/>
  <c r="I296"/>
  <c r="K296"/>
  <c r="M296"/>
  <c r="O296"/>
  <c r="S296"/>
  <c r="T296"/>
  <c r="F498"/>
  <c r="H498"/>
  <c r="J498"/>
  <c r="L498"/>
  <c r="N498"/>
  <c r="P498"/>
  <c r="G314"/>
  <c r="I314"/>
  <c r="K314"/>
  <c r="M314"/>
  <c r="O314"/>
  <c r="S314"/>
  <c r="T314"/>
  <c r="F334"/>
  <c r="H334"/>
  <c r="J334"/>
  <c r="L334"/>
  <c r="N334"/>
  <c r="P334"/>
  <c r="F349"/>
  <c r="H349"/>
  <c r="J349"/>
  <c r="L349"/>
  <c r="N349"/>
  <c r="P349"/>
  <c r="G356"/>
  <c r="I356"/>
  <c r="K356"/>
  <c r="M356"/>
  <c r="O356"/>
  <c r="S356"/>
  <c r="T356"/>
  <c r="F348"/>
  <c r="H348"/>
  <c r="J348"/>
  <c r="L348"/>
  <c r="N348"/>
  <c r="P348"/>
  <c r="G488"/>
  <c r="I488"/>
  <c r="K488"/>
  <c r="M488"/>
  <c r="O488"/>
  <c r="S488"/>
  <c r="T488"/>
  <c r="G493"/>
  <c r="I493"/>
  <c r="K493"/>
  <c r="M493"/>
  <c r="O493"/>
  <c r="S493"/>
  <c r="T493"/>
  <c r="F369"/>
  <c r="H369"/>
  <c r="J369"/>
  <c r="L369"/>
  <c r="N369"/>
  <c r="P369"/>
  <c r="F433"/>
  <c r="H433"/>
  <c r="J433"/>
  <c r="L433"/>
  <c r="N433"/>
  <c r="P433"/>
  <c r="F325"/>
  <c r="H325"/>
  <c r="J325"/>
  <c r="L325"/>
  <c r="N325"/>
  <c r="P325"/>
  <c r="F414"/>
  <c r="H414"/>
  <c r="J414"/>
  <c r="L414"/>
  <c r="N414"/>
  <c r="P414"/>
  <c r="G375"/>
  <c r="I375"/>
  <c r="K375"/>
  <c r="M375"/>
  <c r="O375"/>
  <c r="S375"/>
  <c r="T375"/>
  <c r="F322"/>
  <c r="H322"/>
  <c r="J322"/>
  <c r="L322"/>
  <c r="N322"/>
  <c r="P322"/>
  <c r="G443"/>
  <c r="I443"/>
  <c r="K443"/>
  <c r="M443"/>
  <c r="O443"/>
  <c r="S443"/>
  <c r="T443"/>
  <c r="G380"/>
  <c r="I380"/>
  <c r="K380"/>
  <c r="M380"/>
  <c r="O380"/>
  <c r="S380"/>
  <c r="T380"/>
  <c r="F409"/>
  <c r="H409"/>
  <c r="J409"/>
  <c r="L409"/>
  <c r="N409"/>
  <c r="P409"/>
  <c r="G383"/>
  <c r="I383"/>
  <c r="K383"/>
  <c r="M383"/>
  <c r="O383"/>
  <c r="S383"/>
  <c r="T383"/>
  <c r="F482"/>
  <c r="H482"/>
  <c r="J482"/>
  <c r="L482"/>
  <c r="N482"/>
  <c r="P482"/>
  <c r="G328"/>
  <c r="I328"/>
  <c r="K328"/>
  <c r="M328"/>
  <c r="O328"/>
  <c r="S328"/>
  <c r="T328"/>
  <c r="G467"/>
  <c r="I467"/>
  <c r="K467"/>
  <c r="M467"/>
  <c r="O467"/>
  <c r="S467"/>
  <c r="T467"/>
  <c r="F429"/>
  <c r="H429"/>
  <c r="J429"/>
  <c r="L429"/>
  <c r="N429"/>
  <c r="P429"/>
  <c r="G337"/>
  <c r="I337"/>
  <c r="K337"/>
  <c r="M337"/>
  <c r="O337"/>
  <c r="S337"/>
  <c r="T337"/>
  <c r="G400"/>
  <c r="I400"/>
  <c r="K400"/>
  <c r="M400"/>
  <c r="O400"/>
  <c r="S400"/>
  <c r="T400"/>
  <c r="G349"/>
  <c r="I349"/>
  <c r="K349"/>
  <c r="M349"/>
  <c r="O349"/>
  <c r="S349"/>
  <c r="T349"/>
  <c r="F356"/>
  <c r="H356"/>
  <c r="J356"/>
  <c r="L356"/>
  <c r="N356"/>
  <c r="P356"/>
  <c r="G348"/>
  <c r="I348"/>
  <c r="K348"/>
  <c r="M348"/>
  <c r="O348"/>
  <c r="S348"/>
  <c r="T348"/>
  <c r="F488"/>
  <c r="H488"/>
  <c r="J488"/>
  <c r="L488"/>
  <c r="N488"/>
  <c r="P488"/>
  <c r="F493"/>
  <c r="H493"/>
  <c r="J493"/>
  <c r="L493"/>
  <c r="N493"/>
  <c r="P493"/>
  <c r="G369"/>
  <c r="I369"/>
  <c r="K369"/>
  <c r="M369"/>
  <c r="O369"/>
  <c r="S369"/>
  <c r="T369"/>
  <c r="G433"/>
  <c r="I433"/>
  <c r="K433"/>
  <c r="M433"/>
  <c r="O433"/>
  <c r="S433"/>
  <c r="T433"/>
  <c r="G325"/>
  <c r="I325"/>
  <c r="K325"/>
  <c r="M325"/>
  <c r="O325"/>
  <c r="S325"/>
  <c r="T325"/>
  <c r="G414"/>
  <c r="I414"/>
  <c r="K414"/>
  <c r="M414"/>
  <c r="O414"/>
  <c r="S414"/>
  <c r="T414"/>
  <c r="F375"/>
  <c r="H375"/>
  <c r="J375"/>
  <c r="L375"/>
  <c r="N375"/>
  <c r="P375"/>
  <c r="G322"/>
  <c r="I322"/>
  <c r="K322"/>
  <c r="M322"/>
  <c r="O322"/>
  <c r="S322"/>
  <c r="T322"/>
  <c r="F443"/>
  <c r="H443"/>
  <c r="J443"/>
  <c r="L443"/>
  <c r="N443"/>
  <c r="P443"/>
  <c r="F380"/>
  <c r="H380"/>
  <c r="J380"/>
  <c r="L380"/>
  <c r="N380"/>
  <c r="P380"/>
  <c r="G409"/>
  <c r="I409"/>
  <c r="K409"/>
  <c r="M409"/>
  <c r="O409"/>
  <c r="S409"/>
  <c r="T409"/>
  <c r="F383"/>
  <c r="H383"/>
  <c r="J383"/>
  <c r="L383"/>
  <c r="N383"/>
  <c r="P383"/>
  <c r="G482"/>
  <c r="I482"/>
  <c r="K482"/>
  <c r="M482"/>
  <c r="O482"/>
  <c r="S482"/>
  <c r="T482"/>
  <c r="F328"/>
  <c r="H328"/>
  <c r="J328"/>
  <c r="L328"/>
  <c r="N328"/>
  <c r="P328"/>
  <c r="H467"/>
  <c r="L467"/>
  <c r="P467"/>
  <c r="G429"/>
  <c r="K429"/>
  <c r="O429"/>
  <c r="S429"/>
  <c r="T429"/>
  <c r="F337"/>
  <c r="J337"/>
  <c r="N337"/>
  <c r="H400"/>
  <c r="L400"/>
  <c r="P400"/>
  <c r="F480"/>
  <c r="H480"/>
  <c r="J480"/>
  <c r="L480"/>
  <c r="N480"/>
  <c r="P480"/>
  <c r="G405"/>
  <c r="I405"/>
  <c r="K405"/>
  <c r="M405"/>
  <c r="O405"/>
  <c r="S405"/>
  <c r="T405"/>
  <c r="F309"/>
  <c r="H309"/>
  <c r="J309"/>
  <c r="L309"/>
  <c r="N309"/>
  <c r="P309"/>
  <c r="F468"/>
  <c r="H468"/>
  <c r="J468"/>
  <c r="L468"/>
  <c r="N468"/>
  <c r="P468"/>
  <c r="F307"/>
  <c r="H307"/>
  <c r="J307"/>
  <c r="L307"/>
  <c r="N307"/>
  <c r="P307"/>
  <c r="G294"/>
  <c r="I294"/>
  <c r="K294"/>
  <c r="M294"/>
  <c r="O294"/>
  <c r="S294"/>
  <c r="T294"/>
  <c r="F367"/>
  <c r="H367"/>
  <c r="J367"/>
  <c r="L367"/>
  <c r="N367"/>
  <c r="P367"/>
  <c r="G528"/>
  <c r="I528"/>
  <c r="K528"/>
  <c r="M528"/>
  <c r="O528"/>
  <c r="S528"/>
  <c r="T528"/>
  <c r="G465"/>
  <c r="I465"/>
  <c r="K465"/>
  <c r="M465"/>
  <c r="O465"/>
  <c r="S465"/>
  <c r="T465"/>
  <c r="F350"/>
  <c r="H350"/>
  <c r="J350"/>
  <c r="L350"/>
  <c r="N350"/>
  <c r="P350"/>
  <c r="F447"/>
  <c r="H447"/>
  <c r="J447"/>
  <c r="L447"/>
  <c r="N447"/>
  <c r="P447"/>
  <c r="F499"/>
  <c r="H499"/>
  <c r="J499"/>
  <c r="L499"/>
  <c r="N499"/>
  <c r="P499"/>
  <c r="G500"/>
  <c r="I500"/>
  <c r="K500"/>
  <c r="M500"/>
  <c r="O500"/>
  <c r="S500"/>
  <c r="T500"/>
  <c r="G424"/>
  <c r="I424"/>
  <c r="K424"/>
  <c r="M424"/>
  <c r="O424"/>
  <c r="S424"/>
  <c r="T424"/>
  <c r="F467"/>
  <c r="J467"/>
  <c r="N467"/>
  <c r="I429"/>
  <c r="M429"/>
  <c r="H337"/>
  <c r="L337"/>
  <c r="P337"/>
  <c r="F400"/>
  <c r="J400"/>
  <c r="N400"/>
  <c r="G480"/>
  <c r="I480"/>
  <c r="K480"/>
  <c r="M480"/>
  <c r="O480"/>
  <c r="S480"/>
  <c r="T480"/>
  <c r="F405"/>
  <c r="H405"/>
  <c r="J405"/>
  <c r="L405"/>
  <c r="N405"/>
  <c r="P405"/>
  <c r="G309"/>
  <c r="I309"/>
  <c r="K309"/>
  <c r="M309"/>
  <c r="O309"/>
  <c r="S309"/>
  <c r="T309"/>
  <c r="G468"/>
  <c r="I468"/>
  <c r="K468"/>
  <c r="M468"/>
  <c r="O468"/>
  <c r="S468"/>
  <c r="T468"/>
  <c r="G307"/>
  <c r="I307"/>
  <c r="K307"/>
  <c r="M307"/>
  <c r="O307"/>
  <c r="S307"/>
  <c r="T307"/>
  <c r="F294"/>
  <c r="H294"/>
  <c r="J294"/>
  <c r="L294"/>
  <c r="N294"/>
  <c r="P294"/>
  <c r="G367"/>
  <c r="I367"/>
  <c r="K367"/>
  <c r="M367"/>
  <c r="O367"/>
  <c r="S367"/>
  <c r="T367"/>
  <c r="F528"/>
  <c r="H528"/>
  <c r="J528"/>
  <c r="L528"/>
  <c r="N528"/>
  <c r="P528"/>
  <c r="F465"/>
  <c r="H465"/>
  <c r="J465"/>
  <c r="L465"/>
  <c r="N465"/>
  <c r="P465"/>
  <c r="G350"/>
  <c r="I350"/>
  <c r="K350"/>
  <c r="M350"/>
  <c r="O350"/>
  <c r="S350"/>
  <c r="T350"/>
  <c r="G447"/>
  <c r="I447"/>
  <c r="K447"/>
  <c r="M447"/>
  <c r="O447"/>
  <c r="S447"/>
  <c r="T447"/>
  <c r="G499"/>
  <c r="I499"/>
  <c r="K499"/>
  <c r="M499"/>
  <c r="O499"/>
  <c r="S499"/>
  <c r="T499"/>
  <c r="F500"/>
  <c r="H500"/>
  <c r="J500"/>
  <c r="L500"/>
  <c r="N500"/>
  <c r="P500"/>
  <c r="F424"/>
  <c r="H424"/>
  <c r="J424"/>
  <c r="L424"/>
  <c r="N424"/>
  <c r="P424"/>
  <c r="F435"/>
  <c r="H435"/>
  <c r="J435"/>
  <c r="L435"/>
  <c r="N435"/>
  <c r="P435"/>
  <c r="F477"/>
  <c r="H477"/>
  <c r="J477"/>
  <c r="L477"/>
  <c r="N477"/>
  <c r="P477"/>
  <c r="G378"/>
  <c r="I378"/>
  <c r="K378"/>
  <c r="M378"/>
  <c r="O378"/>
  <c r="S378"/>
  <c r="T378"/>
  <c r="G352"/>
  <c r="I352"/>
  <c r="K352"/>
  <c r="M352"/>
  <c r="O352"/>
  <c r="S352"/>
  <c r="T352"/>
  <c r="F366"/>
  <c r="H366"/>
  <c r="J366"/>
  <c r="L366"/>
  <c r="N366"/>
  <c r="P366"/>
  <c r="G524"/>
  <c r="I524"/>
  <c r="K524"/>
  <c r="M524"/>
  <c r="O524"/>
  <c r="S524"/>
  <c r="T524"/>
  <c r="F525"/>
  <c r="H525"/>
  <c r="J525"/>
  <c r="L525"/>
  <c r="N525"/>
  <c r="P525"/>
  <c r="G510"/>
  <c r="I510"/>
  <c r="K510"/>
  <c r="M510"/>
  <c r="O510"/>
  <c r="S510"/>
  <c r="T510"/>
  <c r="G388"/>
  <c r="I388"/>
  <c r="K388"/>
  <c r="M388"/>
  <c r="O388"/>
  <c r="S388"/>
  <c r="T388"/>
  <c r="F345"/>
  <c r="H345"/>
  <c r="J345"/>
  <c r="L345"/>
  <c r="N345"/>
  <c r="P345"/>
  <c r="G371"/>
  <c r="I371"/>
  <c r="K371"/>
  <c r="M371"/>
  <c r="O371"/>
  <c r="S371"/>
  <c r="T371"/>
  <c r="F327"/>
  <c r="H327"/>
  <c r="J327"/>
  <c r="L327"/>
  <c r="N327"/>
  <c r="P327"/>
  <c r="G515"/>
  <c r="I515"/>
  <c r="K515"/>
  <c r="M515"/>
  <c r="O515"/>
  <c r="S515"/>
  <c r="T515"/>
  <c r="G300"/>
  <c r="I300"/>
  <c r="K300"/>
  <c r="M300"/>
  <c r="O300"/>
  <c r="S300"/>
  <c r="T300"/>
  <c r="F335"/>
  <c r="H335"/>
  <c r="J335"/>
  <c r="L335"/>
  <c r="N335"/>
  <c r="P335"/>
  <c r="G326"/>
  <c r="I326"/>
  <c r="K326"/>
  <c r="M326"/>
  <c r="O326"/>
  <c r="S326"/>
  <c r="T326"/>
  <c r="G432"/>
  <c r="I432"/>
  <c r="K432"/>
  <c r="M432"/>
  <c r="O432"/>
  <c r="S432"/>
  <c r="T432"/>
  <c r="F379"/>
  <c r="H379"/>
  <c r="J379"/>
  <c r="L379"/>
  <c r="N379"/>
  <c r="P379"/>
  <c r="F394"/>
  <c r="H394"/>
  <c r="J394"/>
  <c r="L394"/>
  <c r="N394"/>
  <c r="P394"/>
  <c r="F364"/>
  <c r="H364"/>
  <c r="J364"/>
  <c r="L364"/>
  <c r="N364"/>
  <c r="P364"/>
  <c r="G419"/>
  <c r="I419"/>
  <c r="K419"/>
  <c r="M419"/>
  <c r="O419"/>
  <c r="S419"/>
  <c r="T419"/>
  <c r="F382"/>
  <c r="H382"/>
  <c r="J382"/>
  <c r="L382"/>
  <c r="N382"/>
  <c r="P382"/>
  <c r="F472"/>
  <c r="H472"/>
  <c r="J472"/>
  <c r="L472"/>
  <c r="N472"/>
  <c r="P472"/>
  <c r="F417"/>
  <c r="H417"/>
  <c r="J417"/>
  <c r="L417"/>
  <c r="N417"/>
  <c r="P417"/>
  <c r="F503"/>
  <c r="H503"/>
  <c r="J503"/>
  <c r="L503"/>
  <c r="N503"/>
  <c r="P503"/>
  <c r="G456"/>
  <c r="I456"/>
  <c r="K456"/>
  <c r="M456"/>
  <c r="O456"/>
  <c r="S456"/>
  <c r="T456"/>
  <c r="F351"/>
  <c r="H351"/>
  <c r="J351"/>
  <c r="L351"/>
  <c r="N351"/>
  <c r="P351"/>
  <c r="F513"/>
  <c r="H513"/>
  <c r="J513"/>
  <c r="L513"/>
  <c r="N513"/>
  <c r="P513"/>
  <c r="G511"/>
  <c r="I511"/>
  <c r="K511"/>
  <c r="M511"/>
  <c r="O511"/>
  <c r="S511"/>
  <c r="T511"/>
  <c r="F485"/>
  <c r="H485"/>
  <c r="J485"/>
  <c r="L485"/>
  <c r="N485"/>
  <c r="P485"/>
  <c r="G463"/>
  <c r="I463"/>
  <c r="K463"/>
  <c r="M463"/>
  <c r="O463"/>
  <c r="S463"/>
  <c r="T463"/>
  <c r="G355"/>
  <c r="I355"/>
  <c r="K355"/>
  <c r="M355"/>
  <c r="O355"/>
  <c r="S355"/>
  <c r="T355"/>
  <c r="G435"/>
  <c r="I435"/>
  <c r="K435"/>
  <c r="M435"/>
  <c r="O435"/>
  <c r="S435"/>
  <c r="T435"/>
  <c r="G477"/>
  <c r="I477"/>
  <c r="K477"/>
  <c r="M477"/>
  <c r="O477"/>
  <c r="S477"/>
  <c r="T477"/>
  <c r="F378"/>
  <c r="H378"/>
  <c r="J378"/>
  <c r="L378"/>
  <c r="N378"/>
  <c r="P378"/>
  <c r="F352"/>
  <c r="H352"/>
  <c r="J352"/>
  <c r="L352"/>
  <c r="N352"/>
  <c r="P352"/>
  <c r="G366"/>
  <c r="I366"/>
  <c r="K366"/>
  <c r="M366"/>
  <c r="O366"/>
  <c r="S366"/>
  <c r="T366"/>
  <c r="F524"/>
  <c r="H524"/>
  <c r="J524"/>
  <c r="L524"/>
  <c r="N524"/>
  <c r="P524"/>
  <c r="G525"/>
  <c r="I525"/>
  <c r="K525"/>
  <c r="M525"/>
  <c r="O525"/>
  <c r="S525"/>
  <c r="T525"/>
  <c r="F510"/>
  <c r="H510"/>
  <c r="J510"/>
  <c r="L510"/>
  <c r="N510"/>
  <c r="P510"/>
  <c r="F388"/>
  <c r="H388"/>
  <c r="J388"/>
  <c r="L388"/>
  <c r="N388"/>
  <c r="P388"/>
  <c r="G345"/>
  <c r="I345"/>
  <c r="K345"/>
  <c r="M345"/>
  <c r="O345"/>
  <c r="S345"/>
  <c r="T345"/>
  <c r="F371"/>
  <c r="H371"/>
  <c r="J371"/>
  <c r="L371"/>
  <c r="N371"/>
  <c r="P371"/>
  <c r="G327"/>
  <c r="I327"/>
  <c r="K327"/>
  <c r="M327"/>
  <c r="O327"/>
  <c r="S327"/>
  <c r="T327"/>
  <c r="F515"/>
  <c r="H515"/>
  <c r="J515"/>
  <c r="L515"/>
  <c r="N515"/>
  <c r="P515"/>
  <c r="F300"/>
  <c r="H300"/>
  <c r="J300"/>
  <c r="L300"/>
  <c r="N300"/>
  <c r="P300"/>
  <c r="G335"/>
  <c r="I335"/>
  <c r="K335"/>
  <c r="M335"/>
  <c r="O335"/>
  <c r="S335"/>
  <c r="T335"/>
  <c r="F326"/>
  <c r="H326"/>
  <c r="J326"/>
  <c r="L326"/>
  <c r="N326"/>
  <c r="P326"/>
  <c r="F432"/>
  <c r="H432"/>
  <c r="J432"/>
  <c r="L432"/>
  <c r="N432"/>
  <c r="P432"/>
  <c r="G379"/>
  <c r="I379"/>
  <c r="K379"/>
  <c r="M379"/>
  <c r="O379"/>
  <c r="S379"/>
  <c r="T379"/>
  <c r="G394"/>
  <c r="I394"/>
  <c r="K394"/>
  <c r="M394"/>
  <c r="O394"/>
  <c r="S394"/>
  <c r="T394"/>
  <c r="G364"/>
  <c r="I364"/>
  <c r="K364"/>
  <c r="M364"/>
  <c r="O364"/>
  <c r="S364"/>
  <c r="T364"/>
  <c r="F419"/>
  <c r="H419"/>
  <c r="J419"/>
  <c r="L419"/>
  <c r="N419"/>
  <c r="P419"/>
  <c r="G382"/>
  <c r="I382"/>
  <c r="K382"/>
  <c r="M382"/>
  <c r="O382"/>
  <c r="S382"/>
  <c r="T382"/>
  <c r="G472"/>
  <c r="I472"/>
  <c r="K472"/>
  <c r="M472"/>
  <c r="O472"/>
  <c r="S472"/>
  <c r="T472"/>
  <c r="G417"/>
  <c r="I417"/>
  <c r="K417"/>
  <c r="M417"/>
  <c r="O417"/>
  <c r="S417"/>
  <c r="T417"/>
  <c r="G503"/>
  <c r="I503"/>
  <c r="K503"/>
  <c r="M503"/>
  <c r="O503"/>
  <c r="S503"/>
  <c r="T503"/>
  <c r="F456"/>
  <c r="H456"/>
  <c r="J456"/>
  <c r="L456"/>
  <c r="N456"/>
  <c r="P456"/>
  <c r="G351"/>
  <c r="I351"/>
  <c r="K351"/>
  <c r="M351"/>
  <c r="O351"/>
  <c r="S351"/>
  <c r="T351"/>
  <c r="G513"/>
  <c r="I513"/>
  <c r="K513"/>
  <c r="M513"/>
  <c r="O513"/>
  <c r="S513"/>
  <c r="T513"/>
  <c r="F511"/>
  <c r="H511"/>
  <c r="J511"/>
  <c r="L511"/>
  <c r="N511"/>
  <c r="P511"/>
  <c r="G485"/>
  <c r="I485"/>
  <c r="K485"/>
  <c r="M485"/>
  <c r="O485"/>
  <c r="S485"/>
  <c r="T485"/>
  <c r="F463"/>
  <c r="H463"/>
  <c r="J463"/>
  <c r="L463"/>
  <c r="N463"/>
  <c r="P463"/>
  <c r="F355"/>
  <c r="H355"/>
  <c r="J355"/>
  <c r="L355"/>
  <c r="N355"/>
  <c r="P355"/>
  <c r="G312"/>
  <c r="I312"/>
  <c r="K312"/>
  <c r="M312"/>
  <c r="O312"/>
  <c r="S312"/>
  <c r="T312"/>
  <c r="G310"/>
  <c r="I310"/>
  <c r="K310"/>
  <c r="S310"/>
  <c r="T310"/>
  <c r="O310"/>
  <c r="M310"/>
  <c r="J310"/>
  <c r="F310"/>
  <c r="P312"/>
  <c r="L312"/>
  <c r="H312"/>
  <c r="U395"/>
  <c r="W395"/>
  <c r="S530"/>
  <c r="T530"/>
  <c r="E528"/>
  <c r="Y528"/>
  <c r="Z528"/>
  <c r="AA528"/>
  <c r="E526"/>
  <c r="Y526"/>
  <c r="AA526"/>
  <c r="Z526"/>
  <c r="E478"/>
  <c r="Y478"/>
  <c r="Z478"/>
  <c r="AA478"/>
  <c r="E295"/>
  <c r="Y295"/>
  <c r="Z295"/>
  <c r="AA295"/>
  <c r="E499"/>
  <c r="Y499"/>
  <c r="AA499"/>
  <c r="Z499"/>
  <c r="E296"/>
  <c r="Y296"/>
  <c r="AA296"/>
  <c r="Z296"/>
  <c r="E460"/>
  <c r="Y460"/>
  <c r="AA460"/>
  <c r="Z460"/>
  <c r="E397"/>
  <c r="Y397"/>
  <c r="AA397"/>
  <c r="Z397"/>
  <c r="E409"/>
  <c r="Y409"/>
  <c r="Z409"/>
  <c r="AA409"/>
  <c r="E344"/>
  <c r="Z344"/>
  <c r="AA344"/>
  <c r="E488"/>
  <c r="AA488"/>
  <c r="Z488"/>
  <c r="E370"/>
  <c r="AA370"/>
  <c r="Z370"/>
  <c r="E502"/>
  <c r="Z502"/>
  <c r="AA502"/>
  <c r="E480"/>
  <c r="Y480"/>
  <c r="AA480"/>
  <c r="Z480"/>
  <c r="E386"/>
  <c r="Y386"/>
  <c r="Z386"/>
  <c r="AA386"/>
  <c r="E312"/>
  <c r="Y312"/>
  <c r="Z312"/>
  <c r="AA312"/>
  <c r="E350"/>
  <c r="Y350"/>
  <c r="Z350"/>
  <c r="AA350"/>
  <c r="E434"/>
  <c r="Y434"/>
  <c r="AA434"/>
  <c r="Z434"/>
  <c r="E508"/>
  <c r="Y508"/>
  <c r="Z508"/>
  <c r="AA508"/>
  <c r="E513"/>
  <c r="Y513"/>
  <c r="AA513"/>
  <c r="Z513"/>
  <c r="E496"/>
  <c r="Y496"/>
  <c r="AA496"/>
  <c r="Z496"/>
  <c r="E456"/>
  <c r="Y456"/>
  <c r="AA456"/>
  <c r="Z456"/>
  <c r="E341"/>
  <c r="Y341"/>
  <c r="Z341"/>
  <c r="AA341"/>
  <c r="E389"/>
  <c r="Y389"/>
  <c r="AA389"/>
  <c r="Z389"/>
  <c r="E313"/>
  <c r="Z313"/>
  <c r="AA313"/>
  <c r="E477"/>
  <c r="Z477"/>
  <c r="AA477"/>
  <c r="E303"/>
  <c r="Z303"/>
  <c r="AA303"/>
  <c r="E463"/>
  <c r="Z463"/>
  <c r="AA463"/>
  <c r="E424"/>
  <c r="AA424"/>
  <c r="Z424"/>
  <c r="E351"/>
  <c r="Z351"/>
  <c r="AA351"/>
  <c r="E315"/>
  <c r="Z315"/>
  <c r="AA315"/>
  <c r="E362"/>
  <c r="Y362"/>
  <c r="AA362"/>
  <c r="Z362"/>
  <c r="E321"/>
  <c r="Y321"/>
  <c r="AA321"/>
  <c r="Z321"/>
  <c r="E474"/>
  <c r="Y474"/>
  <c r="Z474"/>
  <c r="AA474"/>
  <c r="E464"/>
  <c r="Y464"/>
  <c r="AA464"/>
  <c r="Z464"/>
  <c r="E349"/>
  <c r="Y349"/>
  <c r="Z349"/>
  <c r="AA349"/>
  <c r="E361"/>
  <c r="Y361"/>
  <c r="Z361"/>
  <c r="AA361"/>
  <c r="E292"/>
  <c r="Y292"/>
  <c r="AA292"/>
  <c r="Z292"/>
  <c r="E414"/>
  <c r="Y414"/>
  <c r="Z414"/>
  <c r="AA414"/>
  <c r="E529"/>
  <c r="Y529"/>
  <c r="AA529"/>
  <c r="Z529"/>
  <c r="E401"/>
  <c r="Y401"/>
  <c r="AA401"/>
  <c r="Z401"/>
  <c r="E416"/>
  <c r="AA416"/>
  <c r="Z416"/>
  <c r="E310"/>
  <c r="Z310"/>
  <c r="AA310"/>
  <c r="E339"/>
  <c r="AA339"/>
  <c r="Z339"/>
  <c r="E454"/>
  <c r="AA454"/>
  <c r="Z454"/>
  <c r="E524"/>
  <c r="Y524"/>
  <c r="AA524"/>
  <c r="Z524"/>
  <c r="E382"/>
  <c r="Y382"/>
  <c r="AA382"/>
  <c r="Z382"/>
  <c r="E407"/>
  <c r="Y407"/>
  <c r="AA407"/>
  <c r="Z407"/>
  <c r="E348"/>
  <c r="Y348"/>
  <c r="Z348"/>
  <c r="AA348"/>
  <c r="E319"/>
  <c r="Y319"/>
  <c r="AA319"/>
  <c r="Z319"/>
  <c r="E394"/>
  <c r="Y394"/>
  <c r="Z394"/>
  <c r="AA394"/>
  <c r="E399"/>
  <c r="AA399"/>
  <c r="Z399"/>
  <c r="E347"/>
  <c r="Z347"/>
  <c r="AA347"/>
  <c r="E403"/>
  <c r="Z403"/>
  <c r="AA403"/>
  <c r="E400"/>
  <c r="Z400"/>
  <c r="AA400"/>
  <c r="E320"/>
  <c r="AA320"/>
  <c r="Z320"/>
  <c r="E525"/>
  <c r="AA525"/>
  <c r="Z525"/>
  <c r="E405"/>
  <c r="Z405"/>
  <c r="AA405"/>
  <c r="E439"/>
  <c r="AA439"/>
  <c r="Z439"/>
  <c r="E482"/>
  <c r="Z482"/>
  <c r="AA482"/>
  <c r="E495"/>
  <c r="Z495"/>
  <c r="AA495"/>
  <c r="E342"/>
  <c r="Z342"/>
  <c r="AA342"/>
  <c r="E421"/>
  <c r="Z421"/>
  <c r="AA421"/>
  <c r="E491"/>
  <c r="AA491"/>
  <c r="Z491"/>
  <c r="E466"/>
  <c r="AA466"/>
  <c r="Z466"/>
  <c r="E527"/>
  <c r="AA527"/>
  <c r="Z527"/>
  <c r="E354"/>
  <c r="Z354"/>
  <c r="AA354"/>
  <c r="E402"/>
  <c r="Z402"/>
  <c r="AA402"/>
  <c r="E520"/>
  <c r="Y520"/>
  <c r="Z520"/>
  <c r="AA520"/>
  <c r="E479"/>
  <c r="Y479"/>
  <c r="Z479"/>
  <c r="AA479"/>
  <c r="E298"/>
  <c r="Y298"/>
  <c r="Z298"/>
  <c r="AA298"/>
  <c r="E305"/>
  <c r="Y305"/>
  <c r="AA305"/>
  <c r="Z305"/>
  <c r="E521"/>
  <c r="Y521"/>
  <c r="AA521"/>
  <c r="Z521"/>
  <c r="E290"/>
  <c r="Y290"/>
  <c r="Z290"/>
  <c r="AA290"/>
  <c r="E511"/>
  <c r="Y511"/>
  <c r="Z511"/>
  <c r="AA511"/>
  <c r="E323"/>
  <c r="Y323"/>
  <c r="AA323"/>
  <c r="Z323"/>
  <c r="E467"/>
  <c r="Y467"/>
  <c r="Z467"/>
  <c r="AA467"/>
  <c r="E387"/>
  <c r="Y387"/>
  <c r="Z387"/>
  <c r="AA387"/>
  <c r="E510"/>
  <c r="Y510"/>
  <c r="Z510"/>
  <c r="AA510"/>
  <c r="E371"/>
  <c r="Y371"/>
  <c r="AA371"/>
  <c r="Z371"/>
  <c r="E307"/>
  <c r="Y307"/>
  <c r="Z307"/>
  <c r="AA307"/>
  <c r="E381"/>
  <c r="Y381"/>
  <c r="AA381"/>
  <c r="Z381"/>
  <c r="E289"/>
  <c r="Y289"/>
  <c r="AA289"/>
  <c r="Z289"/>
  <c r="E489"/>
  <c r="Y489"/>
  <c r="Z489"/>
  <c r="AA489"/>
  <c r="E366"/>
  <c r="Y366"/>
  <c r="AA366"/>
  <c r="Z366"/>
  <c r="E443"/>
  <c r="Y443"/>
  <c r="AA443"/>
  <c r="Z443"/>
  <c r="E378"/>
  <c r="Y378"/>
  <c r="AA378"/>
  <c r="Z378"/>
  <c r="E432"/>
  <c r="Y432"/>
  <c r="Z432"/>
  <c r="AA432"/>
  <c r="E363"/>
  <c r="Y363"/>
  <c r="Z363"/>
  <c r="AA363"/>
  <c r="E392"/>
  <c r="Y392"/>
  <c r="AA392"/>
  <c r="Z392"/>
  <c r="E335"/>
  <c r="Y335"/>
  <c r="AA335"/>
  <c r="Z335"/>
  <c r="E337"/>
  <c r="Y337"/>
  <c r="AA337"/>
  <c r="Z337"/>
  <c r="E385"/>
  <c r="Y385"/>
  <c r="AA385"/>
  <c r="Z385"/>
  <c r="E368"/>
  <c r="Y368"/>
  <c r="AA368"/>
  <c r="Z368"/>
  <c r="E369"/>
  <c r="Y369"/>
  <c r="AA369"/>
  <c r="Z369"/>
  <c r="E395"/>
  <c r="Y395"/>
  <c r="AA395"/>
  <c r="Z395"/>
  <c r="E516"/>
  <c r="Y516"/>
  <c r="AA516"/>
  <c r="Z516"/>
  <c r="E487"/>
  <c r="Y487"/>
  <c r="Z487"/>
  <c r="AA487"/>
  <c r="E331"/>
  <c r="Y331"/>
  <c r="AA331"/>
  <c r="Z331"/>
  <c r="E308"/>
  <c r="Y308"/>
  <c r="AA308"/>
  <c r="Z308"/>
  <c r="E465"/>
  <c r="Y465"/>
  <c r="AA465"/>
  <c r="Z465"/>
  <c r="E427"/>
  <c r="Y427"/>
  <c r="AA427"/>
  <c r="Z427"/>
  <c r="E447"/>
  <c r="Y447"/>
  <c r="Z447"/>
  <c r="AA447"/>
  <c r="E327"/>
  <c r="Y327"/>
  <c r="Z327"/>
  <c r="AA327"/>
  <c r="E379"/>
  <c r="Y379"/>
  <c r="Z379"/>
  <c r="AA379"/>
  <c r="E300"/>
  <c r="AA300"/>
  <c r="Z300"/>
  <c r="E384"/>
  <c r="Z384"/>
  <c r="AA384"/>
  <c r="E316"/>
  <c r="Z316"/>
  <c r="AA316"/>
  <c r="E330"/>
  <c r="Z330"/>
  <c r="AA330"/>
  <c r="E485"/>
  <c r="AA485"/>
  <c r="Z485"/>
  <c r="E523"/>
  <c r="Z523"/>
  <c r="AA523"/>
  <c r="E299"/>
  <c r="Z299"/>
  <c r="AB299"/>
  <c r="AD299"/>
  <c r="AA299"/>
  <c r="E304"/>
  <c r="AA304"/>
  <c r="Z304"/>
  <c r="AB304"/>
  <c r="AD304"/>
  <c r="E334"/>
  <c r="AA334"/>
  <c r="Z334"/>
  <c r="AB334"/>
  <c r="AD334"/>
  <c r="E328"/>
  <c r="Z328"/>
  <c r="AA328"/>
  <c r="E356"/>
  <c r="AA356"/>
  <c r="Z356"/>
  <c r="AB356"/>
  <c r="AD356"/>
  <c r="E417"/>
  <c r="Z417"/>
  <c r="AA417"/>
  <c r="E429"/>
  <c r="Z429"/>
  <c r="AA429"/>
  <c r="E340"/>
  <c r="AA340"/>
  <c r="Z340"/>
  <c r="E293"/>
  <c r="AA293"/>
  <c r="Z293"/>
  <c r="E372"/>
  <c r="Z372"/>
  <c r="AA372"/>
  <c r="E380"/>
  <c r="AA380"/>
  <c r="Z380"/>
  <c r="E419"/>
  <c r="Z419"/>
  <c r="AA419"/>
  <c r="E302"/>
  <c r="Z302"/>
  <c r="AA302"/>
  <c r="E413"/>
  <c r="AA413"/>
  <c r="Z413"/>
  <c r="E314"/>
  <c r="Y314"/>
  <c r="Z314"/>
  <c r="AA314"/>
  <c r="E493"/>
  <c r="Y493"/>
  <c r="AA493"/>
  <c r="Z493"/>
  <c r="E324"/>
  <c r="Y324"/>
  <c r="Z324"/>
  <c r="AA324"/>
  <c r="E530"/>
  <c r="Y530"/>
  <c r="Z530"/>
  <c r="AA530"/>
  <c r="E425"/>
  <c r="Y425"/>
  <c r="Z425"/>
  <c r="AA425"/>
  <c r="E469"/>
  <c r="Y469"/>
  <c r="AA469"/>
  <c r="Z469"/>
  <c r="E504"/>
  <c r="Z504"/>
  <c r="AA504"/>
  <c r="E498"/>
  <c r="AA498"/>
  <c r="Z498"/>
  <c r="E346"/>
  <c r="Z346"/>
  <c r="AA346"/>
  <c r="E412"/>
  <c r="AA412"/>
  <c r="Z412"/>
  <c r="E326"/>
  <c r="Z326"/>
  <c r="AA326"/>
  <c r="E383"/>
  <c r="Y383"/>
  <c r="Z383"/>
  <c r="AA383"/>
  <c r="E515"/>
  <c r="Y515"/>
  <c r="Z515"/>
  <c r="AA515"/>
  <c r="E428"/>
  <c r="Y428"/>
  <c r="AA428"/>
  <c r="Z428"/>
  <c r="E453"/>
  <c r="Y453"/>
  <c r="Z453"/>
  <c r="AA453"/>
  <c r="E449"/>
  <c r="Y449"/>
  <c r="AA449"/>
  <c r="Z449"/>
  <c r="E470"/>
  <c r="Y470"/>
  <c r="AA470"/>
  <c r="Z470"/>
  <c r="E435"/>
  <c r="Y435"/>
  <c r="Z435"/>
  <c r="AA435"/>
  <c r="E336"/>
  <c r="Y336"/>
  <c r="AA336"/>
  <c r="Z336"/>
  <c r="E377"/>
  <c r="Y377"/>
  <c r="AA377"/>
  <c r="Z377"/>
  <c r="E365"/>
  <c r="Y365"/>
  <c r="Z365"/>
  <c r="AA365"/>
  <c r="E306"/>
  <c r="Y306"/>
  <c r="Z306"/>
  <c r="AA306"/>
  <c r="E481"/>
  <c r="Y481"/>
  <c r="Z481"/>
  <c r="AA481"/>
  <c r="E388"/>
  <c r="Y388"/>
  <c r="AA388"/>
  <c r="Z388"/>
  <c r="E507"/>
  <c r="Y507"/>
  <c r="Z507"/>
  <c r="AA507"/>
  <c r="E391"/>
  <c r="Y391"/>
  <c r="Z391"/>
  <c r="AA391"/>
  <c r="E505"/>
  <c r="Y505"/>
  <c r="AA505"/>
  <c r="Z505"/>
  <c r="E472"/>
  <c r="Y472"/>
  <c r="AA472"/>
  <c r="Z472"/>
  <c r="E332"/>
  <c r="Y332"/>
  <c r="Z332"/>
  <c r="AA332"/>
  <c r="E291"/>
  <c r="Y291"/>
  <c r="Z291"/>
  <c r="AA291"/>
  <c r="E325"/>
  <c r="Y325"/>
  <c r="AA325"/>
  <c r="Z325"/>
  <c r="E522"/>
  <c r="Y522"/>
  <c r="AA522"/>
  <c r="Z522"/>
  <c r="E297"/>
  <c r="Y297"/>
  <c r="AA297"/>
  <c r="Z297"/>
  <c r="E503"/>
  <c r="Y503"/>
  <c r="Z503"/>
  <c r="AA503"/>
  <c r="E345"/>
  <c r="Y345"/>
  <c r="AA345"/>
  <c r="Z345"/>
  <c r="E364"/>
  <c r="Y364"/>
  <c r="Z364"/>
  <c r="AA364"/>
  <c r="E355"/>
  <c r="Y355"/>
  <c r="Z355"/>
  <c r="AA355"/>
  <c r="E352"/>
  <c r="Y352"/>
  <c r="AA352"/>
  <c r="Z352"/>
  <c r="E294"/>
  <c r="Y294"/>
  <c r="Z294"/>
  <c r="AA294"/>
  <c r="E468"/>
  <c r="Y468"/>
  <c r="AA468"/>
  <c r="Z468"/>
  <c r="E433"/>
  <c r="Y433"/>
  <c r="Z433"/>
  <c r="AA433"/>
  <c r="E438"/>
  <c r="Y438"/>
  <c r="AA438"/>
  <c r="Z438"/>
  <c r="E367"/>
  <c r="Y367"/>
  <c r="Z367"/>
  <c r="AA367"/>
  <c r="E500"/>
  <c r="Y500"/>
  <c r="Z500"/>
  <c r="AA500"/>
  <c r="E411"/>
  <c r="Y411"/>
  <c r="AA411"/>
  <c r="Z411"/>
  <c r="E418"/>
  <c r="Y418"/>
  <c r="AA418"/>
  <c r="Z418"/>
  <c r="E406"/>
  <c r="Y406"/>
  <c r="Z406"/>
  <c r="AA406"/>
  <c r="E375"/>
  <c r="Y375"/>
  <c r="AA375"/>
  <c r="Z375"/>
  <c r="E393"/>
  <c r="Z393"/>
  <c r="AA393"/>
  <c r="E360"/>
  <c r="AA360"/>
  <c r="Z360"/>
  <c r="E404"/>
  <c r="AA404"/>
  <c r="Z404"/>
  <c r="E309"/>
  <c r="Z309"/>
  <c r="AA309"/>
  <c r="E333"/>
  <c r="AA333"/>
  <c r="Z333"/>
  <c r="E329"/>
  <c r="Z329"/>
  <c r="AA329"/>
  <c r="E301"/>
  <c r="AA301"/>
  <c r="Z301"/>
  <c r="AB301"/>
  <c r="AE301"/>
  <c r="E322"/>
  <c r="Z322"/>
  <c r="AB322"/>
  <c r="AD322"/>
  <c r="AA322"/>
  <c r="E473"/>
  <c r="AA473"/>
  <c r="Z473"/>
  <c r="E445"/>
  <c r="Z445"/>
  <c r="AA445"/>
  <c r="Y313"/>
  <c r="Y477"/>
  <c r="Y303"/>
  <c r="Y463"/>
  <c r="Y424"/>
  <c r="Y351"/>
  <c r="Y315"/>
  <c r="Y416"/>
  <c r="Y310"/>
  <c r="Y339"/>
  <c r="Y454"/>
  <c r="Y399"/>
  <c r="Y347"/>
  <c r="Y403"/>
  <c r="Y400"/>
  <c r="Y320"/>
  <c r="Y525"/>
  <c r="Y405"/>
  <c r="Y439"/>
  <c r="Y482"/>
  <c r="Y495"/>
  <c r="Y342"/>
  <c r="Y421"/>
  <c r="Y491"/>
  <c r="Y466"/>
  <c r="Y527"/>
  <c r="Y354"/>
  <c r="Y402"/>
  <c r="Y393"/>
  <c r="Y360"/>
  <c r="Y404"/>
  <c r="Y309"/>
  <c r="Y333"/>
  <c r="Y485"/>
  <c r="Y523"/>
  <c r="Y299"/>
  <c r="Y304"/>
  <c r="Y334"/>
  <c r="Y328"/>
  <c r="Y356"/>
  <c r="Y417"/>
  <c r="Y429"/>
  <c r="Y340"/>
  <c r="Y344"/>
  <c r="Y488"/>
  <c r="Y370"/>
  <c r="Y502"/>
  <c r="Y293"/>
  <c r="Y372"/>
  <c r="Y380"/>
  <c r="Y419"/>
  <c r="Y302"/>
  <c r="Y413"/>
  <c r="Y504"/>
  <c r="Y498"/>
  <c r="Y346"/>
  <c r="Y412"/>
  <c r="Y326"/>
  <c r="Y300"/>
  <c r="Y384"/>
  <c r="Y316"/>
  <c r="Y330"/>
  <c r="Y329"/>
  <c r="Y301"/>
  <c r="Y322"/>
  <c r="Y473"/>
  <c r="Y445"/>
  <c r="AE304"/>
  <c r="AE356"/>
  <c r="U491"/>
  <c r="W491"/>
  <c r="U504"/>
  <c r="W504"/>
  <c r="U403"/>
  <c r="W403"/>
  <c r="U428"/>
  <c r="W428"/>
  <c r="U352"/>
  <c r="W352"/>
  <c r="U322"/>
  <c r="W322"/>
  <c r="U523"/>
  <c r="W523"/>
  <c r="U417"/>
  <c r="W417"/>
  <c r="U507"/>
  <c r="W507"/>
  <c r="U371"/>
  <c r="W371"/>
  <c r="U433"/>
  <c r="W433"/>
  <c r="U443"/>
  <c r="W443"/>
  <c r="U305"/>
  <c r="W305"/>
  <c r="U331"/>
  <c r="W331"/>
  <c r="U389"/>
  <c r="W389"/>
  <c r="U429"/>
  <c r="W429"/>
  <c r="U323"/>
  <c r="W323"/>
  <c r="U435"/>
  <c r="W435"/>
  <c r="U404"/>
  <c r="W404"/>
  <c r="U314"/>
  <c r="W314"/>
  <c r="U469"/>
  <c r="W469"/>
  <c r="U454"/>
  <c r="W454"/>
  <c r="U425"/>
  <c r="W425"/>
  <c r="U480"/>
  <c r="W480"/>
  <c r="U326"/>
  <c r="W326"/>
  <c r="U351"/>
  <c r="W351"/>
  <c r="U414"/>
  <c r="W414"/>
  <c r="U488"/>
  <c r="W488"/>
  <c r="U456"/>
  <c r="W456"/>
  <c r="U453"/>
  <c r="W453"/>
  <c r="U407"/>
  <c r="W407"/>
  <c r="U315"/>
  <c r="W315"/>
  <c r="U303"/>
  <c r="W303"/>
  <c r="U354"/>
  <c r="W354"/>
  <c r="U516"/>
  <c r="W516"/>
  <c r="U299"/>
  <c r="W299"/>
  <c r="U297"/>
  <c r="W297"/>
  <c r="U522"/>
  <c r="W522"/>
  <c r="U379"/>
  <c r="W379"/>
  <c r="U301"/>
  <c r="W301"/>
  <c r="U363"/>
  <c r="W363"/>
  <c r="U375"/>
  <c r="W375"/>
  <c r="U364"/>
  <c r="W364"/>
  <c r="U294"/>
  <c r="W294"/>
  <c r="U473"/>
  <c r="W473"/>
  <c r="U387"/>
  <c r="W387"/>
  <c r="U445"/>
  <c r="W445"/>
  <c r="U472"/>
  <c r="W472"/>
  <c r="U392"/>
  <c r="W392"/>
  <c r="U327"/>
  <c r="W327"/>
  <c r="U487"/>
  <c r="W487"/>
  <c r="U289"/>
  <c r="W289"/>
  <c r="U381"/>
  <c r="W381"/>
  <c r="U386"/>
  <c r="W386"/>
  <c r="U525"/>
  <c r="W525"/>
  <c r="U495"/>
  <c r="W495"/>
  <c r="U524"/>
  <c r="W524"/>
  <c r="U474"/>
  <c r="W474"/>
  <c r="U493"/>
  <c r="W493"/>
  <c r="U372"/>
  <c r="W372"/>
  <c r="U293"/>
  <c r="W293"/>
  <c r="U424"/>
  <c r="W424"/>
  <c r="U397"/>
  <c r="W397"/>
  <c r="U321"/>
  <c r="W321"/>
  <c r="U295"/>
  <c r="W295"/>
  <c r="U409"/>
  <c r="W409"/>
  <c r="U302"/>
  <c r="W302"/>
  <c r="U413"/>
  <c r="W413"/>
  <c r="U310"/>
  <c r="W310"/>
  <c r="U350"/>
  <c r="W350"/>
  <c r="U412"/>
  <c r="W412"/>
  <c r="U515"/>
  <c r="W515"/>
  <c r="U292"/>
  <c r="W292"/>
  <c r="U370"/>
  <c r="W370"/>
  <c r="U526"/>
  <c r="W526"/>
  <c r="U510"/>
  <c r="W510"/>
  <c r="U411"/>
  <c r="W411"/>
  <c r="U434"/>
  <c r="W434"/>
  <c r="U394"/>
  <c r="W394"/>
  <c r="U313"/>
  <c r="W313"/>
  <c r="U470"/>
  <c r="W470"/>
  <c r="U438"/>
  <c r="W438"/>
  <c r="U368"/>
  <c r="W368"/>
  <c r="U291"/>
  <c r="W291"/>
  <c r="U468"/>
  <c r="W468"/>
  <c r="U325"/>
  <c r="W325"/>
  <c r="U378"/>
  <c r="W378"/>
  <c r="U290"/>
  <c r="W290"/>
  <c r="U479"/>
  <c r="W479"/>
  <c r="U340"/>
  <c r="W340"/>
  <c r="U355"/>
  <c r="W355"/>
  <c r="U308"/>
  <c r="W308"/>
  <c r="U432"/>
  <c r="W432"/>
  <c r="U329"/>
  <c r="W329"/>
  <c r="U391"/>
  <c r="W391"/>
  <c r="U300"/>
  <c r="W300"/>
  <c r="U360"/>
  <c r="W360"/>
  <c r="U406"/>
  <c r="W406"/>
  <c r="U463"/>
  <c r="W463"/>
  <c r="U362"/>
  <c r="W362"/>
  <c r="U382"/>
  <c r="W382"/>
  <c r="U511"/>
  <c r="W511"/>
  <c r="U467"/>
  <c r="W467"/>
  <c r="U485"/>
  <c r="W485"/>
  <c r="U505"/>
  <c r="W505"/>
  <c r="U337"/>
  <c r="W337"/>
  <c r="U521"/>
  <c r="W521"/>
  <c r="U298"/>
  <c r="W298"/>
  <c r="U388"/>
  <c r="W388"/>
  <c r="U465"/>
  <c r="W465"/>
  <c r="U481"/>
  <c r="W481"/>
  <c r="U307"/>
  <c r="W307"/>
  <c r="U520"/>
  <c r="W520"/>
  <c r="U418"/>
  <c r="W418"/>
  <c r="U304"/>
  <c r="W304"/>
  <c r="U369"/>
  <c r="W369"/>
  <c r="U385"/>
  <c r="W385"/>
  <c r="U503"/>
  <c r="W503"/>
  <c r="U384"/>
  <c r="W384"/>
  <c r="U347"/>
  <c r="W347"/>
  <c r="U341"/>
  <c r="W341"/>
  <c r="U508"/>
  <c r="W508"/>
  <c r="U330"/>
  <c r="W330"/>
  <c r="U333"/>
  <c r="W333"/>
  <c r="U496"/>
  <c r="W496"/>
  <c r="U399"/>
  <c r="W399"/>
  <c r="U460"/>
  <c r="W460"/>
  <c r="U320"/>
  <c r="W320"/>
  <c r="U348"/>
  <c r="W348"/>
  <c r="U439"/>
  <c r="W439"/>
  <c r="U309"/>
  <c r="W309"/>
  <c r="U421"/>
  <c r="W421"/>
  <c r="U312"/>
  <c r="W312"/>
  <c r="U482"/>
  <c r="W482"/>
  <c r="U513"/>
  <c r="W513"/>
  <c r="U502"/>
  <c r="W502"/>
  <c r="U344"/>
  <c r="W344"/>
  <c r="U334"/>
  <c r="W334"/>
  <c r="U401"/>
  <c r="W401"/>
  <c r="U477"/>
  <c r="W477"/>
  <c r="U365"/>
  <c r="W365"/>
  <c r="U449"/>
  <c r="W449"/>
  <c r="U427"/>
  <c r="W427"/>
  <c r="U345"/>
  <c r="W345"/>
  <c r="U447"/>
  <c r="W447"/>
  <c r="U393"/>
  <c r="W393"/>
  <c r="U478"/>
  <c r="W478"/>
  <c r="U400"/>
  <c r="W400"/>
  <c r="U306"/>
  <c r="W306"/>
  <c r="U405"/>
  <c r="W405"/>
  <c r="U466"/>
  <c r="W466"/>
  <c r="U402"/>
  <c r="W402"/>
  <c r="U336"/>
  <c r="W336"/>
  <c r="U339"/>
  <c r="W339"/>
  <c r="U380"/>
  <c r="W380"/>
  <c r="U528"/>
  <c r="W528"/>
  <c r="U356"/>
  <c r="W356"/>
  <c r="U324"/>
  <c r="W324"/>
  <c r="U419"/>
  <c r="W419"/>
  <c r="U346"/>
  <c r="W346"/>
  <c r="U296"/>
  <c r="W296"/>
  <c r="U328"/>
  <c r="W328"/>
  <c r="U383"/>
  <c r="W383"/>
  <c r="U499"/>
  <c r="W499"/>
  <c r="U377"/>
  <c r="W377"/>
  <c r="U529"/>
  <c r="W529"/>
  <c r="U498"/>
  <c r="W498"/>
  <c r="U527"/>
  <c r="W527"/>
  <c r="U319"/>
  <c r="W319"/>
  <c r="U530"/>
  <c r="W530"/>
  <c r="U464"/>
  <c r="W464"/>
  <c r="U361"/>
  <c r="W361"/>
  <c r="U416"/>
  <c r="W416"/>
  <c r="U349"/>
  <c r="W349"/>
  <c r="U342"/>
  <c r="W342"/>
  <c r="U332"/>
  <c r="W332"/>
  <c r="U335"/>
  <c r="W335"/>
  <c r="U489"/>
  <c r="W489"/>
  <c r="U366"/>
  <c r="W366"/>
  <c r="U316"/>
  <c r="W316"/>
  <c r="U500"/>
  <c r="W500"/>
  <c r="U367"/>
  <c r="W367"/>
  <c r="AB328"/>
  <c r="AD328"/>
  <c r="AE328"/>
  <c r="AE299"/>
  <c r="AE334"/>
  <c r="AD301"/>
  <c r="AE322"/>
  <c r="AB316"/>
  <c r="AE316"/>
  <c r="AD316"/>
  <c r="AB384"/>
  <c r="AE384"/>
  <c r="AD384"/>
  <c r="AB300"/>
  <c r="AE300"/>
  <c r="AD300"/>
  <c r="AB379"/>
  <c r="AE379"/>
  <c r="AD379"/>
  <c r="AB327"/>
  <c r="AE327"/>
  <c r="AD327"/>
  <c r="AB447"/>
  <c r="AE447"/>
  <c r="AD447"/>
  <c r="AB427"/>
  <c r="AE427"/>
  <c r="AD427"/>
  <c r="AB465"/>
  <c r="AE465"/>
  <c r="AD465"/>
  <c r="AB308"/>
  <c r="AE308"/>
  <c r="AD308"/>
  <c r="AB331"/>
  <c r="AE331"/>
  <c r="AD331"/>
  <c r="AB487"/>
  <c r="AE487"/>
  <c r="AD487"/>
  <c r="AB516"/>
  <c r="AE516"/>
  <c r="AD516"/>
  <c r="AB395"/>
  <c r="AE395"/>
  <c r="AD395"/>
  <c r="AB369"/>
  <c r="AE369"/>
  <c r="AD369"/>
  <c r="AB368"/>
  <c r="AE368"/>
  <c r="AD368"/>
  <c r="AB385"/>
  <c r="AE385"/>
  <c r="AD385"/>
  <c r="AB337"/>
  <c r="AE337"/>
  <c r="AD337"/>
  <c r="AB335"/>
  <c r="AE335"/>
  <c r="AD335"/>
  <c r="AB392"/>
  <c r="AE392"/>
  <c r="AD392"/>
  <c r="AB363"/>
  <c r="AE363"/>
  <c r="AD363"/>
  <c r="AB432"/>
  <c r="AE432"/>
  <c r="AD432"/>
  <c r="AB378"/>
  <c r="AE378"/>
  <c r="AD378"/>
  <c r="AB443"/>
  <c r="AE443"/>
  <c r="AD443"/>
  <c r="AB366"/>
  <c r="AE366"/>
  <c r="AD366"/>
  <c r="AB489"/>
  <c r="AE489"/>
  <c r="AD489"/>
  <c r="AB289"/>
  <c r="AE289"/>
  <c r="AB381"/>
  <c r="AE381"/>
  <c r="AD381"/>
  <c r="AB307"/>
  <c r="AE307"/>
  <c r="AD307"/>
  <c r="AB371"/>
  <c r="AE371"/>
  <c r="AD371"/>
  <c r="AB510"/>
  <c r="AE510"/>
  <c r="AD510"/>
  <c r="AB387"/>
  <c r="AE387"/>
  <c r="AD387"/>
  <c r="AB467"/>
  <c r="AE467"/>
  <c r="AD467"/>
  <c r="AB323"/>
  <c r="AE323"/>
  <c r="AD323"/>
  <c r="AB511"/>
  <c r="AE511"/>
  <c r="AD511"/>
  <c r="AB290"/>
  <c r="AE290"/>
  <c r="AD290"/>
  <c r="AB521"/>
  <c r="AE521"/>
  <c r="AD521"/>
  <c r="AB305"/>
  <c r="AE305"/>
  <c r="AD305"/>
  <c r="AB298"/>
  <c r="AE298"/>
  <c r="AD298"/>
  <c r="AB479"/>
  <c r="AE479"/>
  <c r="AD479"/>
  <c r="AB520"/>
  <c r="AE520"/>
  <c r="AD520"/>
  <c r="AB354"/>
  <c r="AE354"/>
  <c r="AD354"/>
  <c r="AB527"/>
  <c r="AE527"/>
  <c r="AD527"/>
  <c r="AB377"/>
  <c r="AE377"/>
  <c r="AD377"/>
  <c r="AB336"/>
  <c r="AE336"/>
  <c r="AD336"/>
  <c r="AB435"/>
  <c r="AE435"/>
  <c r="AD435"/>
  <c r="AB466"/>
  <c r="AE466"/>
  <c r="AD466"/>
  <c r="AB491"/>
  <c r="AE491"/>
  <c r="AD491"/>
  <c r="AB421"/>
  <c r="AE421"/>
  <c r="AD421"/>
  <c r="AB470"/>
  <c r="AE470"/>
  <c r="AD470"/>
  <c r="AB342"/>
  <c r="AE342"/>
  <c r="AD342"/>
  <c r="AB425"/>
  <c r="AE425"/>
  <c r="AD425"/>
  <c r="AB530"/>
  <c r="AE530"/>
  <c r="AD530"/>
  <c r="AB324"/>
  <c r="AE324"/>
  <c r="AD324"/>
  <c r="AB493"/>
  <c r="AE493"/>
  <c r="AD493"/>
  <c r="AB394"/>
  <c r="AE394"/>
  <c r="AD394"/>
  <c r="AB319"/>
  <c r="AE319"/>
  <c r="AD319"/>
  <c r="AB314"/>
  <c r="AE314"/>
  <c r="AD314"/>
  <c r="AB348"/>
  <c r="AE348"/>
  <c r="AD348"/>
  <c r="AB407"/>
  <c r="AE407"/>
  <c r="AD407"/>
  <c r="AB382"/>
  <c r="AE382"/>
  <c r="AD382"/>
  <c r="AB524"/>
  <c r="AE524"/>
  <c r="AD524"/>
  <c r="AB529"/>
  <c r="AE529"/>
  <c r="AD529"/>
  <c r="AB414"/>
  <c r="AE414"/>
  <c r="AD414"/>
  <c r="AB292"/>
  <c r="AE292"/>
  <c r="AD292"/>
  <c r="AB361"/>
  <c r="AE361"/>
  <c r="AD361"/>
  <c r="AB386"/>
  <c r="AE386"/>
  <c r="AD386"/>
  <c r="AB349"/>
  <c r="AE349"/>
  <c r="AD349"/>
  <c r="AB464"/>
  <c r="AE464"/>
  <c r="AD464"/>
  <c r="AB474"/>
  <c r="AE474"/>
  <c r="AD474"/>
  <c r="AB480"/>
  <c r="AE480"/>
  <c r="AD480"/>
  <c r="AB321"/>
  <c r="AE321"/>
  <c r="AD321"/>
  <c r="AB362"/>
  <c r="AE362"/>
  <c r="AD362"/>
  <c r="AB523"/>
  <c r="AE523"/>
  <c r="AD523"/>
  <c r="AB329"/>
  <c r="AE329"/>
  <c r="AD329"/>
  <c r="AB485"/>
  <c r="AE485"/>
  <c r="AD485"/>
  <c r="AB429"/>
  <c r="AE429"/>
  <c r="AD429"/>
  <c r="AB417"/>
  <c r="AE417"/>
  <c r="AD417"/>
  <c r="AB333"/>
  <c r="AE333"/>
  <c r="AD333"/>
  <c r="AB309"/>
  <c r="AE309"/>
  <c r="AD309"/>
  <c r="AB330"/>
  <c r="AE330"/>
  <c r="AD330"/>
  <c r="AB404"/>
  <c r="AE404"/>
  <c r="AD404"/>
  <c r="AB360"/>
  <c r="AE360"/>
  <c r="AD360"/>
  <c r="AB393"/>
  <c r="AE393"/>
  <c r="AD393"/>
  <c r="AB375"/>
  <c r="AE375"/>
  <c r="AD375"/>
  <c r="AB406"/>
  <c r="AE406"/>
  <c r="AD406"/>
  <c r="AB418"/>
  <c r="AE418"/>
  <c r="AD418"/>
  <c r="AB411"/>
  <c r="AE411"/>
  <c r="AD411"/>
  <c r="AB500"/>
  <c r="AE500"/>
  <c r="AD500"/>
  <c r="AB367"/>
  <c r="AE367"/>
  <c r="AD367"/>
  <c r="AB438"/>
  <c r="AE438"/>
  <c r="AD438"/>
  <c r="AB433"/>
  <c r="AE433"/>
  <c r="AD433"/>
  <c r="AB401"/>
  <c r="AE401"/>
  <c r="AD401"/>
  <c r="AB445"/>
  <c r="AE445"/>
  <c r="AD445"/>
  <c r="AB473"/>
  <c r="AE473"/>
  <c r="AD473"/>
  <c r="AB340"/>
  <c r="AE340"/>
  <c r="AD340"/>
  <c r="AB468"/>
  <c r="AE468"/>
  <c r="AD468"/>
  <c r="AB294"/>
  <c r="AE294"/>
  <c r="AD294"/>
  <c r="AB352"/>
  <c r="AE352"/>
  <c r="AD352"/>
  <c r="AB355"/>
  <c r="AE355"/>
  <c r="AD355"/>
  <c r="AB364"/>
  <c r="AE364"/>
  <c r="AD364"/>
  <c r="AB345"/>
  <c r="AE345"/>
  <c r="AD345"/>
  <c r="AB503"/>
  <c r="AE503"/>
  <c r="AD503"/>
  <c r="AB297"/>
  <c r="AE297"/>
  <c r="AD297"/>
  <c r="AB522"/>
  <c r="AE522"/>
  <c r="AD522"/>
  <c r="AB325"/>
  <c r="AE325"/>
  <c r="AD325"/>
  <c r="AB291"/>
  <c r="AE291"/>
  <c r="AD291"/>
  <c r="AB472"/>
  <c r="AE472"/>
  <c r="AD472"/>
  <c r="AB505"/>
  <c r="AE505"/>
  <c r="AD505"/>
  <c r="AB391"/>
  <c r="AE391"/>
  <c r="AD391"/>
  <c r="AB507"/>
  <c r="AE507"/>
  <c r="AD507"/>
  <c r="AB388"/>
  <c r="AE388"/>
  <c r="AD388"/>
  <c r="AB481"/>
  <c r="AE481"/>
  <c r="AD481"/>
  <c r="AB306"/>
  <c r="AE306"/>
  <c r="AD306"/>
  <c r="AB365"/>
  <c r="AE365"/>
  <c r="AD365"/>
  <c r="AB402"/>
  <c r="AE402"/>
  <c r="AD402"/>
  <c r="AB449"/>
  <c r="AE449"/>
  <c r="AD449"/>
  <c r="AB495"/>
  <c r="AE495"/>
  <c r="AD495"/>
  <c r="AB453"/>
  <c r="AE453"/>
  <c r="AD453"/>
  <c r="AB482"/>
  <c r="AE482"/>
  <c r="AD482"/>
  <c r="AB439"/>
  <c r="AE439"/>
  <c r="AD439"/>
  <c r="AB428"/>
  <c r="AE428"/>
  <c r="AD428"/>
  <c r="AB515"/>
  <c r="AE515"/>
  <c r="AD515"/>
  <c r="AB383"/>
  <c r="AE383"/>
  <c r="AD383"/>
  <c r="AB525"/>
  <c r="AE525"/>
  <c r="AD525"/>
  <c r="AB320"/>
  <c r="AE320"/>
  <c r="AD320"/>
  <c r="AB326"/>
  <c r="AE326"/>
  <c r="AD326"/>
  <c r="AB400"/>
  <c r="AE400"/>
  <c r="AD400"/>
  <c r="AB412"/>
  <c r="AE412"/>
  <c r="AD412"/>
  <c r="AB346"/>
  <c r="AE346"/>
  <c r="AD346"/>
  <c r="AB403"/>
  <c r="AE403"/>
  <c r="AD403"/>
  <c r="AB347"/>
  <c r="AE347"/>
  <c r="AD347"/>
  <c r="AB399"/>
  <c r="AE399"/>
  <c r="AD399"/>
  <c r="AB498"/>
  <c r="AE498"/>
  <c r="AD498"/>
  <c r="AB504"/>
  <c r="AE504"/>
  <c r="AD504"/>
  <c r="AB469"/>
  <c r="AE469"/>
  <c r="AD469"/>
  <c r="AB454"/>
  <c r="AE454"/>
  <c r="AD454"/>
  <c r="AB413"/>
  <c r="AE413"/>
  <c r="AD413"/>
  <c r="AB302"/>
  <c r="AE302"/>
  <c r="AD302"/>
  <c r="AB339"/>
  <c r="AE339"/>
  <c r="AD339"/>
  <c r="AB310"/>
  <c r="AE310"/>
  <c r="AD310"/>
  <c r="AB419"/>
  <c r="AE419"/>
  <c r="AD419"/>
  <c r="AB380"/>
  <c r="AE380"/>
  <c r="AD380"/>
  <c r="AB416"/>
  <c r="AE416"/>
  <c r="AD416"/>
  <c r="AB372"/>
  <c r="AE372"/>
  <c r="AD372"/>
  <c r="AB293"/>
  <c r="AE293"/>
  <c r="AD293"/>
  <c r="AB315"/>
  <c r="AE315"/>
  <c r="AD315"/>
  <c r="AB351"/>
  <c r="AE351"/>
  <c r="AD351"/>
  <c r="AB502"/>
  <c r="AE502"/>
  <c r="AD502"/>
  <c r="AB424"/>
  <c r="AE424"/>
  <c r="AD424"/>
  <c r="AB463"/>
  <c r="AE463"/>
  <c r="AD463"/>
  <c r="AB370"/>
  <c r="AE370"/>
  <c r="AD370"/>
  <c r="AB303"/>
  <c r="AE303"/>
  <c r="AD303"/>
  <c r="AB477"/>
  <c r="AE477"/>
  <c r="AD477"/>
  <c r="AB313"/>
  <c r="AE313"/>
  <c r="AD313"/>
  <c r="AB488"/>
  <c r="AE488"/>
  <c r="AD488"/>
  <c r="AB312"/>
  <c r="AE312"/>
  <c r="AD312"/>
  <c r="AB528"/>
  <c r="AE528"/>
  <c r="AD528"/>
  <c r="AB409"/>
  <c r="AE409"/>
  <c r="AD409"/>
  <c r="AB397"/>
  <c r="AE397"/>
  <c r="AD397"/>
  <c r="AB460"/>
  <c r="AE460"/>
  <c r="AD460"/>
  <c r="AB296"/>
  <c r="AE296"/>
  <c r="AD296"/>
  <c r="AB499"/>
  <c r="AE499"/>
  <c r="AD499"/>
  <c r="AB389"/>
  <c r="AE389"/>
  <c r="AD389"/>
  <c r="AB341"/>
  <c r="AE341"/>
  <c r="AD341"/>
  <c r="AB456"/>
  <c r="AE456"/>
  <c r="AD456"/>
  <c r="AB295"/>
  <c r="AE295"/>
  <c r="AD295"/>
  <c r="AB496"/>
  <c r="AE496"/>
  <c r="AD496"/>
  <c r="AB478"/>
  <c r="AE478"/>
  <c r="AD478"/>
  <c r="AB513"/>
  <c r="AE513"/>
  <c r="AD513"/>
  <c r="AB508"/>
  <c r="AE508"/>
  <c r="AD508"/>
  <c r="AB526"/>
  <c r="AE526"/>
  <c r="AD526"/>
  <c r="AB350"/>
  <c r="AE350"/>
  <c r="AD350"/>
  <c r="AB332"/>
  <c r="AE332"/>
  <c r="AD332"/>
  <c r="AB405"/>
  <c r="AE405"/>
  <c r="AD405"/>
  <c r="AB344"/>
  <c r="AE344"/>
  <c r="AD344"/>
  <c r="AB434"/>
  <c r="AE434"/>
  <c r="AD434"/>
  <c r="D529"/>
  <c r="D290"/>
  <c r="D333"/>
  <c r="D346"/>
  <c r="D332"/>
  <c r="D295"/>
  <c r="D386"/>
  <c r="D323"/>
  <c r="D329"/>
  <c r="D387"/>
  <c r="D449"/>
  <c r="D302"/>
  <c r="D372"/>
  <c r="D438"/>
  <c r="D425"/>
  <c r="D470"/>
  <c r="D362"/>
  <c r="D331"/>
  <c r="D491"/>
  <c r="D526"/>
  <c r="D292"/>
  <c r="D397"/>
  <c r="D301"/>
  <c r="D321"/>
  <c r="D508"/>
  <c r="D520"/>
  <c r="D336"/>
  <c r="D330"/>
  <c r="D315"/>
  <c r="D522"/>
  <c r="D401"/>
  <c r="D381"/>
  <c r="D478"/>
  <c r="D384"/>
  <c r="D407"/>
  <c r="D370"/>
  <c r="D521"/>
  <c r="D344"/>
  <c r="D313"/>
  <c r="D308"/>
  <c r="D402"/>
  <c r="D413"/>
  <c r="D360"/>
  <c r="D523"/>
  <c r="D489"/>
  <c r="D445"/>
  <c r="D305"/>
  <c r="D464"/>
  <c r="D427"/>
  <c r="D416"/>
  <c r="D377"/>
  <c r="D403"/>
  <c r="D505"/>
  <c r="D411"/>
  <c r="D418"/>
  <c r="D516"/>
  <c r="D399"/>
  <c r="D434"/>
  <c r="D495"/>
  <c r="D404"/>
  <c r="D473"/>
  <c r="D365"/>
  <c r="D412"/>
  <c r="D466"/>
  <c r="D481"/>
  <c r="D304"/>
  <c r="D454"/>
  <c r="D460"/>
  <c r="D320"/>
  <c r="D487"/>
  <c r="D439"/>
  <c r="D502"/>
  <c r="D496"/>
  <c r="D474"/>
  <c r="D507"/>
  <c r="D342"/>
  <c r="D339"/>
  <c r="D453"/>
  <c r="D504"/>
  <c r="D306"/>
  <c r="D392"/>
  <c r="D421"/>
  <c r="D406"/>
  <c r="D385"/>
  <c r="D340"/>
  <c r="D389"/>
  <c r="D316"/>
  <c r="D298"/>
  <c r="D303"/>
  <c r="D324"/>
  <c r="D310"/>
  <c r="D395"/>
  <c r="D391"/>
  <c r="D363"/>
  <c r="D341"/>
  <c r="D428"/>
  <c r="D368"/>
  <c r="D479"/>
  <c r="D527"/>
  <c r="D469"/>
  <c r="D347"/>
  <c r="D354"/>
  <c r="D291"/>
  <c r="D319"/>
  <c r="D296"/>
  <c r="D314"/>
  <c r="D289"/>
  <c r="D299"/>
  <c r="D498"/>
  <c r="D334"/>
  <c r="D349"/>
  <c r="D348"/>
  <c r="D369"/>
  <c r="D433"/>
  <c r="D325"/>
  <c r="D414"/>
  <c r="D322"/>
  <c r="D409"/>
  <c r="D482"/>
  <c r="D429"/>
  <c r="D480"/>
  <c r="D356"/>
  <c r="D488"/>
  <c r="D493"/>
  <c r="D375"/>
  <c r="D443"/>
  <c r="D380"/>
  <c r="D383"/>
  <c r="D328"/>
  <c r="D467"/>
  <c r="D400"/>
  <c r="D309"/>
  <c r="D468"/>
  <c r="D307"/>
  <c r="D367"/>
  <c r="D350"/>
  <c r="D447"/>
  <c r="D499"/>
  <c r="D337"/>
  <c r="D405"/>
  <c r="D294"/>
  <c r="D528"/>
  <c r="D465"/>
  <c r="D500"/>
  <c r="D424"/>
  <c r="D477"/>
  <c r="D366"/>
  <c r="D525"/>
  <c r="D345"/>
  <c r="D327"/>
  <c r="D335"/>
  <c r="D379"/>
  <c r="D394"/>
  <c r="D364"/>
  <c r="D382"/>
  <c r="D472"/>
  <c r="D417"/>
  <c r="D503"/>
  <c r="D351"/>
  <c r="D513"/>
  <c r="D485"/>
  <c r="D378"/>
  <c r="D352"/>
  <c r="D524"/>
  <c r="D510"/>
  <c r="D388"/>
  <c r="D371"/>
  <c r="D515"/>
  <c r="D300"/>
  <c r="D326"/>
  <c r="D432"/>
  <c r="D419"/>
  <c r="D456"/>
  <c r="D511"/>
  <c r="D463"/>
  <c r="D355"/>
  <c r="D312"/>
  <c r="D361"/>
  <c r="Q530"/>
  <c r="D435"/>
  <c r="Q322"/>
  <c r="D393"/>
  <c r="Q334"/>
  <c r="Q339"/>
  <c r="Q349"/>
  <c r="Q527"/>
  <c r="Q354"/>
  <c r="D530"/>
  <c r="D297"/>
  <c r="Q299"/>
  <c r="Q520"/>
  <c r="Q397"/>
  <c r="Q363"/>
  <c r="Q454"/>
  <c r="Q477"/>
  <c r="Q473"/>
  <c r="Q394"/>
  <c r="Q521"/>
  <c r="Q298"/>
  <c r="Q489"/>
  <c r="Q407"/>
  <c r="Q372"/>
  <c r="Q306"/>
  <c r="Q329"/>
  <c r="Q443"/>
  <c r="Q401"/>
  <c r="Q528"/>
  <c r="Q386"/>
  <c r="Q323"/>
  <c r="D293"/>
  <c r="Q293"/>
  <c r="Q305"/>
  <c r="Q302"/>
  <c r="Q470"/>
  <c r="Q429"/>
  <c r="Q488"/>
  <c r="Q493"/>
  <c r="Q424"/>
  <c r="Q449"/>
  <c r="Q361"/>
  <c r="Q330"/>
  <c r="Q508"/>
  <c r="Q315"/>
  <c r="Q467"/>
  <c r="Q351"/>
  <c r="Q337"/>
  <c r="Q290"/>
  <c r="Q346"/>
  <c r="Q319"/>
  <c r="Q395"/>
  <c r="Q291"/>
  <c r="Q368"/>
  <c r="Q307"/>
  <c r="Q296"/>
  <c r="Q367"/>
  <c r="Q402"/>
  <c r="Q505"/>
  <c r="Q320"/>
  <c r="Q433"/>
  <c r="Q435"/>
  <c r="Q380"/>
  <c r="Q447"/>
  <c r="Q350"/>
  <c r="Q482"/>
  <c r="Q480"/>
  <c r="Q387"/>
  <c r="Q355"/>
  <c r="Q316"/>
  <c r="Q502"/>
  <c r="Q416"/>
  <c r="Q364"/>
  <c r="Q524"/>
  <c r="Q366"/>
  <c r="Q375"/>
  <c r="Q499"/>
  <c r="Q300"/>
  <c r="Q511"/>
  <c r="Q453"/>
  <c r="Q313"/>
  <c r="Q495"/>
  <c r="Q294"/>
  <c r="Q522"/>
  <c r="Q413"/>
  <c r="Q432"/>
  <c r="Q344"/>
  <c r="Q360"/>
  <c r="Q295"/>
  <c r="Q403"/>
  <c r="Q481"/>
  <c r="Q478"/>
  <c r="Q384"/>
  <c r="Q371"/>
  <c r="Q500"/>
  <c r="Q393"/>
  <c r="Q498"/>
  <c r="Q399"/>
  <c r="Q321"/>
  <c r="Q439"/>
  <c r="Q301"/>
  <c r="Q381"/>
  <c r="Q297"/>
  <c r="Q464"/>
  <c r="Q515"/>
  <c r="Q347"/>
  <c r="Q332"/>
  <c r="Q479"/>
  <c r="Q445"/>
  <c r="Q340"/>
  <c r="Q310"/>
  <c r="Q336"/>
  <c r="Q335"/>
  <c r="Q356"/>
  <c r="Q391"/>
  <c r="Q427"/>
  <c r="Q365"/>
  <c r="Q289"/>
  <c r="Q327"/>
  <c r="Q469"/>
  <c r="Q438"/>
  <c r="Q341"/>
  <c r="Q491"/>
  <c r="Q474"/>
  <c r="Q378"/>
  <c r="Q352"/>
  <c r="Q496"/>
  <c r="Q414"/>
  <c r="Q510"/>
  <c r="Q460"/>
  <c r="Q314"/>
  <c r="Q400"/>
  <c r="Q328"/>
  <c r="Q292"/>
  <c r="Q333"/>
  <c r="Q428"/>
  <c r="Q370"/>
  <c r="Q411"/>
  <c r="Q466"/>
  <c r="Q362"/>
  <c r="Q419"/>
  <c r="Q382"/>
  <c r="Q325"/>
  <c r="Q389"/>
  <c r="Q523"/>
  <c r="Q326"/>
  <c r="Q485"/>
  <c r="Q406"/>
  <c r="Q404"/>
  <c r="Q507"/>
  <c r="Q377"/>
  <c r="Q487"/>
  <c r="Q526"/>
  <c r="Q309"/>
  <c r="Q312"/>
  <c r="Q348"/>
  <c r="Q308"/>
  <c r="Q331"/>
  <c r="Q425"/>
  <c r="Q463"/>
  <c r="Q405"/>
  <c r="Q465"/>
  <c r="Q383"/>
  <c r="Q504"/>
  <c r="Q421"/>
  <c r="Q303"/>
  <c r="Q345"/>
  <c r="Q418"/>
  <c r="Q525"/>
  <c r="Q468"/>
  <c r="Q456"/>
  <c r="Q385"/>
  <c r="Q434"/>
  <c r="Q472"/>
  <c r="Q513"/>
  <c r="Q409"/>
  <c r="Q529"/>
  <c r="Q417"/>
  <c r="Q324"/>
  <c r="Q369"/>
  <c r="Q342"/>
  <c r="Q516"/>
  <c r="Q392"/>
  <c r="Q412"/>
  <c r="Q379"/>
  <c r="Q388"/>
  <c r="Q503"/>
  <c r="Q304"/>
  <c r="R306"/>
  <c r="X306"/>
  <c r="R507"/>
  <c r="X507"/>
  <c r="R371"/>
  <c r="X371"/>
  <c r="R406"/>
  <c r="X406"/>
  <c r="R526"/>
  <c r="X526"/>
  <c r="R370"/>
  <c r="X370"/>
  <c r="R407"/>
  <c r="X407"/>
  <c r="R302"/>
  <c r="X302"/>
  <c r="R453"/>
  <c r="X453"/>
  <c r="R456"/>
  <c r="X456"/>
  <c r="R488"/>
  <c r="X488"/>
  <c r="R321"/>
  <c r="X321"/>
  <c r="R397"/>
  <c r="X397"/>
  <c r="R424"/>
  <c r="X424"/>
  <c r="R293"/>
  <c r="X293"/>
  <c r="R372"/>
  <c r="X372"/>
  <c r="R493"/>
  <c r="X493"/>
  <c r="R414"/>
  <c r="X414"/>
  <c r="R474"/>
  <c r="X474"/>
  <c r="R469"/>
  <c r="X469"/>
  <c r="R314"/>
  <c r="X314"/>
  <c r="R404"/>
  <c r="X404"/>
  <c r="R435"/>
  <c r="X435"/>
  <c r="R323"/>
  <c r="X323"/>
  <c r="R429"/>
  <c r="X429"/>
  <c r="R516"/>
  <c r="X516"/>
  <c r="R301"/>
  <c r="X301"/>
  <c r="R363"/>
  <c r="X363"/>
  <c r="R375"/>
  <c r="X375"/>
  <c r="R299"/>
  <c r="X299"/>
  <c r="R297"/>
  <c r="X297"/>
  <c r="R523"/>
  <c r="X523"/>
  <c r="R417"/>
  <c r="X417"/>
  <c r="R387"/>
  <c r="X387"/>
  <c r="R445"/>
  <c r="X445"/>
  <c r="R433"/>
  <c r="X433"/>
  <c r="R443"/>
  <c r="X443"/>
  <c r="R331"/>
  <c r="X331"/>
  <c r="R379"/>
  <c r="X379"/>
  <c r="R491"/>
  <c r="X491"/>
  <c r="R504"/>
  <c r="X504"/>
  <c r="R333"/>
  <c r="X333"/>
  <c r="R496"/>
  <c r="X496"/>
  <c r="R320"/>
  <c r="X320"/>
  <c r="R328"/>
  <c r="X328"/>
  <c r="R508"/>
  <c r="X508"/>
  <c r="R336"/>
  <c r="X336"/>
  <c r="R380"/>
  <c r="X380"/>
  <c r="R528"/>
  <c r="X528"/>
  <c r="R324"/>
  <c r="X324"/>
  <c r="R428"/>
  <c r="X428"/>
  <c r="R348"/>
  <c r="X348"/>
  <c r="R309"/>
  <c r="X309"/>
  <c r="R502"/>
  <c r="X502"/>
  <c r="R401"/>
  <c r="X401"/>
  <c r="R365"/>
  <c r="X365"/>
  <c r="R449"/>
  <c r="X449"/>
  <c r="R427"/>
  <c r="X427"/>
  <c r="R345"/>
  <c r="X345"/>
  <c r="R447"/>
  <c r="X447"/>
  <c r="R395"/>
  <c r="X395"/>
  <c r="R346"/>
  <c r="X346"/>
  <c r="R478"/>
  <c r="X478"/>
  <c r="R522"/>
  <c r="X522"/>
  <c r="R503"/>
  <c r="X503"/>
  <c r="R385"/>
  <c r="X385"/>
  <c r="R304"/>
  <c r="X304"/>
  <c r="R354"/>
  <c r="X354"/>
  <c r="R303"/>
  <c r="X303"/>
  <c r="R315"/>
  <c r="X315"/>
  <c r="R292"/>
  <c r="X292"/>
  <c r="R515"/>
  <c r="X515"/>
  <c r="R412"/>
  <c r="X412"/>
  <c r="R350"/>
  <c r="X350"/>
  <c r="R310"/>
  <c r="X310"/>
  <c r="R413"/>
  <c r="X413"/>
  <c r="R409"/>
  <c r="X409"/>
  <c r="R351"/>
  <c r="X351"/>
  <c r="R326"/>
  <c r="X326"/>
  <c r="R480"/>
  <c r="X480"/>
  <c r="R295"/>
  <c r="X295"/>
  <c r="R425"/>
  <c r="X425"/>
  <c r="R454"/>
  <c r="X454"/>
  <c r="R389"/>
  <c r="X389"/>
  <c r="R524"/>
  <c r="X524"/>
  <c r="R495"/>
  <c r="X495"/>
  <c r="R525"/>
  <c r="X525"/>
  <c r="R386"/>
  <c r="X386"/>
  <c r="R381"/>
  <c r="X381"/>
  <c r="R289"/>
  <c r="X289"/>
  <c r="R487"/>
  <c r="X487"/>
  <c r="R327"/>
  <c r="X327"/>
  <c r="R392"/>
  <c r="X392"/>
  <c r="R510"/>
  <c r="X510"/>
  <c r="R352"/>
  <c r="X352"/>
  <c r="R322"/>
  <c r="X322"/>
  <c r="R438"/>
  <c r="X438"/>
  <c r="R411"/>
  <c r="X411"/>
  <c r="R364"/>
  <c r="X364"/>
  <c r="R294"/>
  <c r="X294"/>
  <c r="R473"/>
  <c r="X473"/>
  <c r="R472"/>
  <c r="X472"/>
  <c r="R305"/>
  <c r="X305"/>
  <c r="R434"/>
  <c r="X434"/>
  <c r="R403"/>
  <c r="X403"/>
  <c r="R341"/>
  <c r="X341"/>
  <c r="R399"/>
  <c r="X399"/>
  <c r="R296"/>
  <c r="X296"/>
  <c r="R330"/>
  <c r="X330"/>
  <c r="R402"/>
  <c r="X402"/>
  <c r="R339"/>
  <c r="X339"/>
  <c r="R356"/>
  <c r="X356"/>
  <c r="R405"/>
  <c r="X405"/>
  <c r="R466"/>
  <c r="X466"/>
  <c r="R347"/>
  <c r="X347"/>
  <c r="R460"/>
  <c r="X460"/>
  <c r="R383"/>
  <c r="X383"/>
  <c r="R499"/>
  <c r="X499"/>
  <c r="R377"/>
  <c r="X377"/>
  <c r="R527"/>
  <c r="X527"/>
  <c r="R319"/>
  <c r="X319"/>
  <c r="R361"/>
  <c r="X361"/>
  <c r="R416"/>
  <c r="X416"/>
  <c r="R342"/>
  <c r="X342"/>
  <c r="R335"/>
  <c r="X335"/>
  <c r="R489"/>
  <c r="X489"/>
  <c r="R366"/>
  <c r="X366"/>
  <c r="R500"/>
  <c r="X500"/>
  <c r="R419"/>
  <c r="X419"/>
  <c r="R394"/>
  <c r="X394"/>
  <c r="R470"/>
  <c r="X470"/>
  <c r="R513"/>
  <c r="X513"/>
  <c r="R421"/>
  <c r="X421"/>
  <c r="R312"/>
  <c r="X312"/>
  <c r="R340"/>
  <c r="X340"/>
  <c r="R332"/>
  <c r="X332"/>
  <c r="R334"/>
  <c r="X334"/>
  <c r="R465"/>
  <c r="X465"/>
  <c r="R298"/>
  <c r="X298"/>
  <c r="R477"/>
  <c r="X477"/>
  <c r="R393"/>
  <c r="X393"/>
  <c r="R329"/>
  <c r="X329"/>
  <c r="R479"/>
  <c r="X479"/>
  <c r="R349"/>
  <c r="X349"/>
  <c r="R325"/>
  <c r="X325"/>
  <c r="R464"/>
  <c r="X464"/>
  <c r="R400"/>
  <c r="X400"/>
  <c r="R378"/>
  <c r="X378"/>
  <c r="R355"/>
  <c r="X355"/>
  <c r="R362"/>
  <c r="X362"/>
  <c r="R463"/>
  <c r="X463"/>
  <c r="R382"/>
  <c r="X382"/>
  <c r="R313"/>
  <c r="X313"/>
  <c r="R482"/>
  <c r="X482"/>
  <c r="R467"/>
  <c r="X467"/>
  <c r="R521"/>
  <c r="X521"/>
  <c r="R388"/>
  <c r="X388"/>
  <c r="R369"/>
  <c r="X369"/>
  <c r="R432"/>
  <c r="X432"/>
  <c r="R481"/>
  <c r="X481"/>
  <c r="R391"/>
  <c r="X391"/>
  <c r="R505"/>
  <c r="X505"/>
  <c r="R511"/>
  <c r="X511"/>
  <c r="R316"/>
  <c r="X316"/>
  <c r="R337"/>
  <c r="X337"/>
  <c r="R360"/>
  <c r="X360"/>
  <c r="R344"/>
  <c r="X344"/>
  <c r="R485"/>
  <c r="X485"/>
  <c r="R384"/>
  <c r="X384"/>
  <c r="R520"/>
  <c r="X520"/>
  <c r="R468"/>
  <c r="X468"/>
  <c r="R498"/>
  <c r="X498"/>
  <c r="R368"/>
  <c r="X368"/>
  <c r="R367"/>
  <c r="X367"/>
  <c r="R308"/>
  <c r="X308"/>
  <c r="R291"/>
  <c r="X291"/>
  <c r="R439"/>
  <c r="X439"/>
  <c r="R530"/>
  <c r="X530"/>
  <c r="R529"/>
  <c r="X529"/>
  <c r="R307"/>
  <c r="X307"/>
  <c r="R300"/>
  <c r="X300"/>
  <c r="R418"/>
  <c r="X418"/>
  <c r="R290"/>
  <c r="X290"/>
  <c r="F422"/>
  <c r="H422"/>
  <c r="J422"/>
  <c r="L422"/>
  <c r="N422"/>
  <c r="P422"/>
  <c r="F420"/>
  <c r="H420"/>
  <c r="J420"/>
  <c r="L420"/>
  <c r="N420"/>
  <c r="P420"/>
  <c r="G422"/>
  <c r="I422"/>
  <c r="K422"/>
  <c r="M422"/>
  <c r="O422"/>
  <c r="S422"/>
  <c r="T422"/>
  <c r="G420"/>
  <c r="I420"/>
  <c r="K420"/>
  <c r="M420"/>
  <c r="O420"/>
  <c r="S420"/>
  <c r="T420"/>
  <c r="F450"/>
  <c r="H450"/>
  <c r="J450"/>
  <c r="L450"/>
  <c r="N450"/>
  <c r="P450"/>
  <c r="G450"/>
  <c r="I450"/>
  <c r="K450"/>
  <c r="M450"/>
  <c r="O450"/>
  <c r="S450"/>
  <c r="T450"/>
  <c r="P518"/>
  <c r="N518"/>
  <c r="L518"/>
  <c r="J518"/>
  <c r="H518"/>
  <c r="F518"/>
  <c r="P442"/>
  <c r="N442"/>
  <c r="L442"/>
  <c r="J442"/>
  <c r="H442"/>
  <c r="F442"/>
  <c r="P415"/>
  <c r="N415"/>
  <c r="L415"/>
  <c r="J415"/>
  <c r="H415"/>
  <c r="F415"/>
  <c r="S518"/>
  <c r="T518"/>
  <c r="O518"/>
  <c r="M518"/>
  <c r="K518"/>
  <c r="I518"/>
  <c r="G518"/>
  <c r="S442"/>
  <c r="T442"/>
  <c r="O442"/>
  <c r="M442"/>
  <c r="K442"/>
  <c r="I442"/>
  <c r="G442"/>
  <c r="S415"/>
  <c r="T415"/>
  <c r="O415"/>
  <c r="M415"/>
  <c r="K415"/>
  <c r="I415"/>
  <c r="G415"/>
  <c r="G494"/>
  <c r="I494"/>
  <c r="K494"/>
  <c r="M494"/>
  <c r="O494"/>
  <c r="S494"/>
  <c r="T494"/>
  <c r="F497"/>
  <c r="H497"/>
  <c r="J497"/>
  <c r="L497"/>
  <c r="N497"/>
  <c r="P497"/>
  <c r="F494"/>
  <c r="H494"/>
  <c r="J494"/>
  <c r="L494"/>
  <c r="N494"/>
  <c r="P494"/>
  <c r="G497"/>
  <c r="I497"/>
  <c r="K497"/>
  <c r="M497"/>
  <c r="O497"/>
  <c r="S497"/>
  <c r="T497"/>
  <c r="F475"/>
  <c r="H475"/>
  <c r="J475"/>
  <c r="L475"/>
  <c r="N475"/>
  <c r="P475"/>
  <c r="G475"/>
  <c r="I475"/>
  <c r="K475"/>
  <c r="M475"/>
  <c r="O475"/>
  <c r="S475"/>
  <c r="T475"/>
  <c r="E475"/>
  <c r="Y475"/>
  <c r="Z475"/>
  <c r="AA475"/>
  <c r="E518"/>
  <c r="AA518"/>
  <c r="Z518"/>
  <c r="E422"/>
  <c r="Y422"/>
  <c r="AA422"/>
  <c r="Z422"/>
  <c r="E450"/>
  <c r="Y450"/>
  <c r="Z450"/>
  <c r="AA450"/>
  <c r="E494"/>
  <c r="Y494"/>
  <c r="Z494"/>
  <c r="AA494"/>
  <c r="E420"/>
  <c r="Y420"/>
  <c r="AA420"/>
  <c r="Z420"/>
  <c r="E497"/>
  <c r="Z497"/>
  <c r="AA497"/>
  <c r="E442"/>
  <c r="Y442"/>
  <c r="AA442"/>
  <c r="Z442"/>
  <c r="E415"/>
  <c r="Y415"/>
  <c r="Z415"/>
  <c r="AA415"/>
  <c r="Y518"/>
  <c r="Y497"/>
  <c r="U420"/>
  <c r="W420"/>
  <c r="U442"/>
  <c r="W442"/>
  <c r="U450"/>
  <c r="W450"/>
  <c r="U518"/>
  <c r="W518"/>
  <c r="U422"/>
  <c r="W422"/>
  <c r="U497"/>
  <c r="W497"/>
  <c r="U494"/>
  <c r="W494"/>
  <c r="U415"/>
  <c r="W415"/>
  <c r="AB420"/>
  <c r="AE420"/>
  <c r="AD420"/>
  <c r="AB494"/>
  <c r="AE494"/>
  <c r="AD494"/>
  <c r="AB450"/>
  <c r="AE450"/>
  <c r="AD450"/>
  <c r="AB422"/>
  <c r="AE422"/>
  <c r="AD422"/>
  <c r="AB415"/>
  <c r="AE415"/>
  <c r="AD415"/>
  <c r="AB442"/>
  <c r="AE442"/>
  <c r="AD442"/>
  <c r="AB497"/>
  <c r="AE497"/>
  <c r="AD497"/>
  <c r="AB475"/>
  <c r="AE475"/>
  <c r="AD475"/>
  <c r="AB518"/>
  <c r="AE518"/>
  <c r="AD518"/>
  <c r="U475"/>
  <c r="W475"/>
  <c r="D422"/>
  <c r="D420"/>
  <c r="D450"/>
  <c r="D518"/>
  <c r="D442"/>
  <c r="D415"/>
  <c r="D497"/>
  <c r="D494"/>
  <c r="D475"/>
  <c r="Q442"/>
  <c r="Q494"/>
  <c r="Q450"/>
  <c r="Q420"/>
  <c r="Q422"/>
  <c r="Q497"/>
  <c r="Q415"/>
  <c r="Q475"/>
  <c r="Q518"/>
  <c r="R497"/>
  <c r="X497"/>
  <c r="R422"/>
  <c r="X422"/>
  <c r="R518"/>
  <c r="X518"/>
  <c r="R420"/>
  <c r="X420"/>
  <c r="R450"/>
  <c r="X450"/>
  <c r="R442"/>
  <c r="X442"/>
  <c r="R415"/>
  <c r="X415"/>
  <c r="R494"/>
  <c r="X494"/>
  <c r="R475"/>
  <c r="X475"/>
  <c r="F484"/>
  <c r="H484"/>
  <c r="J484"/>
  <c r="L484"/>
  <c r="N484"/>
  <c r="P484"/>
  <c r="F436"/>
  <c r="H436"/>
  <c r="J436"/>
  <c r="L436"/>
  <c r="N436"/>
  <c r="P436"/>
  <c r="F461"/>
  <c r="H461"/>
  <c r="J461"/>
  <c r="L461"/>
  <c r="N461"/>
  <c r="P461"/>
  <c r="F441"/>
  <c r="H441"/>
  <c r="J441"/>
  <c r="L441"/>
  <c r="N441"/>
  <c r="P441"/>
  <c r="G484"/>
  <c r="I484"/>
  <c r="K484"/>
  <c r="M484"/>
  <c r="O484"/>
  <c r="S484"/>
  <c r="T484"/>
  <c r="G436"/>
  <c r="I436"/>
  <c r="K436"/>
  <c r="M436"/>
  <c r="O436"/>
  <c r="S436"/>
  <c r="T436"/>
  <c r="G461"/>
  <c r="I461"/>
  <c r="K461"/>
  <c r="M461"/>
  <c r="O461"/>
  <c r="S461"/>
  <c r="T461"/>
  <c r="G441"/>
  <c r="I441"/>
  <c r="K441"/>
  <c r="M441"/>
  <c r="O441"/>
  <c r="S441"/>
  <c r="T441"/>
  <c r="F514"/>
  <c r="H514"/>
  <c r="J514"/>
  <c r="L514"/>
  <c r="N514"/>
  <c r="P514"/>
  <c r="G514"/>
  <c r="I514"/>
  <c r="K514"/>
  <c r="M514"/>
  <c r="O514"/>
  <c r="S514"/>
  <c r="T514"/>
  <c r="P451"/>
  <c r="N451"/>
  <c r="L451"/>
  <c r="J451"/>
  <c r="H451"/>
  <c r="F451"/>
  <c r="S451"/>
  <c r="T451"/>
  <c r="O451"/>
  <c r="M451"/>
  <c r="K451"/>
  <c r="I451"/>
  <c r="G451"/>
  <c r="F471"/>
  <c r="H471"/>
  <c r="J471"/>
  <c r="L471"/>
  <c r="N471"/>
  <c r="P471"/>
  <c r="G398"/>
  <c r="I398"/>
  <c r="K398"/>
  <c r="M398"/>
  <c r="O398"/>
  <c r="S398"/>
  <c r="T398"/>
  <c r="G471"/>
  <c r="I471"/>
  <c r="K471"/>
  <c r="M471"/>
  <c r="O471"/>
  <c r="S471"/>
  <c r="T471"/>
  <c r="F398"/>
  <c r="H398"/>
  <c r="J398"/>
  <c r="L398"/>
  <c r="N398"/>
  <c r="P398"/>
  <c r="G455"/>
  <c r="I455"/>
  <c r="K455"/>
  <c r="M455"/>
  <c r="O455"/>
  <c r="S455"/>
  <c r="T455"/>
  <c r="F358"/>
  <c r="H358"/>
  <c r="J358"/>
  <c r="L358"/>
  <c r="N358"/>
  <c r="P358"/>
  <c r="F455"/>
  <c r="H455"/>
  <c r="J455"/>
  <c r="L455"/>
  <c r="N455"/>
  <c r="P455"/>
  <c r="G358"/>
  <c r="I358"/>
  <c r="K358"/>
  <c r="M358"/>
  <c r="O358"/>
  <c r="S358"/>
  <c r="T358"/>
  <c r="F452"/>
  <c r="H452"/>
  <c r="J452"/>
  <c r="L452"/>
  <c r="N452"/>
  <c r="P452"/>
  <c r="G490"/>
  <c r="I490"/>
  <c r="K490"/>
  <c r="M490"/>
  <c r="O490"/>
  <c r="S490"/>
  <c r="T490"/>
  <c r="G462"/>
  <c r="I462"/>
  <c r="K462"/>
  <c r="M462"/>
  <c r="O462"/>
  <c r="S462"/>
  <c r="T462"/>
  <c r="F430"/>
  <c r="H430"/>
  <c r="J430"/>
  <c r="L430"/>
  <c r="N430"/>
  <c r="P430"/>
  <c r="G452"/>
  <c r="I452"/>
  <c r="K452"/>
  <c r="M452"/>
  <c r="O452"/>
  <c r="S452"/>
  <c r="T452"/>
  <c r="F490"/>
  <c r="H490"/>
  <c r="J490"/>
  <c r="L490"/>
  <c r="N490"/>
  <c r="P490"/>
  <c r="F462"/>
  <c r="H462"/>
  <c r="J462"/>
  <c r="L462"/>
  <c r="N462"/>
  <c r="P462"/>
  <c r="G430"/>
  <c r="I430"/>
  <c r="K430"/>
  <c r="M430"/>
  <c r="O430"/>
  <c r="S430"/>
  <c r="T430"/>
  <c r="G486"/>
  <c r="I486"/>
  <c r="K486"/>
  <c r="M486"/>
  <c r="O486"/>
  <c r="S486"/>
  <c r="T486"/>
  <c r="G457"/>
  <c r="I457"/>
  <c r="K457"/>
  <c r="M457"/>
  <c r="O457"/>
  <c r="S457"/>
  <c r="T457"/>
  <c r="G440"/>
  <c r="I440"/>
  <c r="K440"/>
  <c r="M440"/>
  <c r="O440"/>
  <c r="S440"/>
  <c r="T440"/>
  <c r="F448"/>
  <c r="H448"/>
  <c r="J448"/>
  <c r="L448"/>
  <c r="N448"/>
  <c r="P448"/>
  <c r="F486"/>
  <c r="H486"/>
  <c r="J486"/>
  <c r="L486"/>
  <c r="N486"/>
  <c r="P486"/>
  <c r="F457"/>
  <c r="H457"/>
  <c r="J457"/>
  <c r="L457"/>
  <c r="N457"/>
  <c r="P457"/>
  <c r="F440"/>
  <c r="H440"/>
  <c r="J440"/>
  <c r="L440"/>
  <c r="N440"/>
  <c r="P440"/>
  <c r="I448"/>
  <c r="M448"/>
  <c r="G483"/>
  <c r="I483"/>
  <c r="K483"/>
  <c r="M483"/>
  <c r="O483"/>
  <c r="S483"/>
  <c r="T483"/>
  <c r="G501"/>
  <c r="I501"/>
  <c r="K501"/>
  <c r="M501"/>
  <c r="O501"/>
  <c r="S501"/>
  <c r="T501"/>
  <c r="G476"/>
  <c r="I476"/>
  <c r="K476"/>
  <c r="M476"/>
  <c r="O476"/>
  <c r="S476"/>
  <c r="T476"/>
  <c r="G426"/>
  <c r="I426"/>
  <c r="K426"/>
  <c r="M426"/>
  <c r="O426"/>
  <c r="S426"/>
  <c r="T426"/>
  <c r="F459"/>
  <c r="H459"/>
  <c r="J459"/>
  <c r="L459"/>
  <c r="N459"/>
  <c r="P459"/>
  <c r="G512"/>
  <c r="I512"/>
  <c r="K512"/>
  <c r="M512"/>
  <c r="O512"/>
  <c r="S512"/>
  <c r="T512"/>
  <c r="F437"/>
  <c r="H437"/>
  <c r="J437"/>
  <c r="L437"/>
  <c r="N437"/>
  <c r="P437"/>
  <c r="G396"/>
  <c r="I396"/>
  <c r="K396"/>
  <c r="M396"/>
  <c r="O396"/>
  <c r="S396"/>
  <c r="T396"/>
  <c r="G448"/>
  <c r="K448"/>
  <c r="O448"/>
  <c r="S448"/>
  <c r="T448"/>
  <c r="F483"/>
  <c r="H483"/>
  <c r="J483"/>
  <c r="L483"/>
  <c r="N483"/>
  <c r="P483"/>
  <c r="F501"/>
  <c r="H501"/>
  <c r="J501"/>
  <c r="L501"/>
  <c r="N501"/>
  <c r="P501"/>
  <c r="F476"/>
  <c r="H476"/>
  <c r="J476"/>
  <c r="L476"/>
  <c r="N476"/>
  <c r="P476"/>
  <c r="F426"/>
  <c r="H426"/>
  <c r="J426"/>
  <c r="L426"/>
  <c r="N426"/>
  <c r="P426"/>
  <c r="G459"/>
  <c r="I459"/>
  <c r="K459"/>
  <c r="M459"/>
  <c r="O459"/>
  <c r="S459"/>
  <c r="T459"/>
  <c r="F512"/>
  <c r="H512"/>
  <c r="J512"/>
  <c r="L512"/>
  <c r="N512"/>
  <c r="P512"/>
  <c r="G437"/>
  <c r="I437"/>
  <c r="K437"/>
  <c r="M437"/>
  <c r="O437"/>
  <c r="S437"/>
  <c r="T437"/>
  <c r="F396"/>
  <c r="H396"/>
  <c r="J396"/>
  <c r="L396"/>
  <c r="N396"/>
  <c r="P396"/>
  <c r="E471"/>
  <c r="Y471"/>
  <c r="AA471"/>
  <c r="Z471"/>
  <c r="E476"/>
  <c r="Y476"/>
  <c r="Z476"/>
  <c r="AA476"/>
  <c r="E459"/>
  <c r="Z459"/>
  <c r="AA459"/>
  <c r="E430"/>
  <c r="AA430"/>
  <c r="Z430"/>
  <c r="E440"/>
  <c r="Y440"/>
  <c r="Z440"/>
  <c r="AA440"/>
  <c r="E461"/>
  <c r="Y461"/>
  <c r="AA461"/>
  <c r="Z461"/>
  <c r="E486"/>
  <c r="Y486"/>
  <c r="AA486"/>
  <c r="Z486"/>
  <c r="E484"/>
  <c r="Y484"/>
  <c r="Z484"/>
  <c r="AA484"/>
  <c r="E514"/>
  <c r="Z514"/>
  <c r="AA514"/>
  <c r="E462"/>
  <c r="Y462"/>
  <c r="Z462"/>
  <c r="AA462"/>
  <c r="E457"/>
  <c r="Z457"/>
  <c r="AA457"/>
  <c r="E358"/>
  <c r="AA358"/>
  <c r="Z358"/>
  <c r="E426"/>
  <c r="Y426"/>
  <c r="Z426"/>
  <c r="AA426"/>
  <c r="E490"/>
  <c r="Y490"/>
  <c r="AA490"/>
  <c r="Z490"/>
  <c r="E398"/>
  <c r="Y398"/>
  <c r="Z398"/>
  <c r="AA398"/>
  <c r="E436"/>
  <c r="Y436"/>
  <c r="AA436"/>
  <c r="Z436"/>
  <c r="E501"/>
  <c r="Y501"/>
  <c r="AA501"/>
  <c r="Z501"/>
  <c r="E452"/>
  <c r="Y452"/>
  <c r="Z452"/>
  <c r="AA452"/>
  <c r="E396"/>
  <c r="Y396"/>
  <c r="Z396"/>
  <c r="AA396"/>
  <c r="E441"/>
  <c r="Y441"/>
  <c r="Z441"/>
  <c r="AA441"/>
  <c r="E448"/>
  <c r="Y448"/>
  <c r="Z448"/>
  <c r="AA448"/>
  <c r="E437"/>
  <c r="Y437"/>
  <c r="Z437"/>
  <c r="AA437"/>
  <c r="E455"/>
  <c r="Y455"/>
  <c r="Z455"/>
  <c r="AA455"/>
  <c r="E512"/>
  <c r="Y512"/>
  <c r="Z512"/>
  <c r="AA512"/>
  <c r="E483"/>
  <c r="Y483"/>
  <c r="Z483"/>
  <c r="AA483"/>
  <c r="E451"/>
  <c r="Y451"/>
  <c r="Z451"/>
  <c r="AA451"/>
  <c r="Y514"/>
  <c r="Y457"/>
  <c r="Y358"/>
  <c r="Y459"/>
  <c r="Y430"/>
  <c r="U459"/>
  <c r="W459"/>
  <c r="U426"/>
  <c r="W426"/>
  <c r="U398"/>
  <c r="W398"/>
  <c r="U484"/>
  <c r="W484"/>
  <c r="U440"/>
  <c r="W440"/>
  <c r="U461"/>
  <c r="W461"/>
  <c r="U476"/>
  <c r="W476"/>
  <c r="U441"/>
  <c r="W441"/>
  <c r="U512"/>
  <c r="W512"/>
  <c r="U436"/>
  <c r="W436"/>
  <c r="U471"/>
  <c r="W471"/>
  <c r="U514"/>
  <c r="W514"/>
  <c r="U490"/>
  <c r="W490"/>
  <c r="U455"/>
  <c r="W455"/>
  <c r="U501"/>
  <c r="W501"/>
  <c r="U430"/>
  <c r="W430"/>
  <c r="U483"/>
  <c r="W483"/>
  <c r="U451"/>
  <c r="W451"/>
  <c r="U448"/>
  <c r="W448"/>
  <c r="U462"/>
  <c r="W462"/>
  <c r="U457"/>
  <c r="W457"/>
  <c r="U486"/>
  <c r="W486"/>
  <c r="U437"/>
  <c r="W437"/>
  <c r="U358"/>
  <c r="W358"/>
  <c r="U452"/>
  <c r="W452"/>
  <c r="U396"/>
  <c r="W396"/>
  <c r="AB501"/>
  <c r="AE501"/>
  <c r="AD501"/>
  <c r="AB436"/>
  <c r="AE436"/>
  <c r="AD436"/>
  <c r="AB398"/>
  <c r="AE398"/>
  <c r="AD398"/>
  <c r="AB490"/>
  <c r="AE490"/>
  <c r="AD490"/>
  <c r="AB426"/>
  <c r="AE426"/>
  <c r="AD426"/>
  <c r="AB437"/>
  <c r="AE437"/>
  <c r="AD437"/>
  <c r="AB448"/>
  <c r="AE448"/>
  <c r="AD448"/>
  <c r="AB441"/>
  <c r="AE441"/>
  <c r="AD441"/>
  <c r="AB396"/>
  <c r="AE396"/>
  <c r="AD396"/>
  <c r="AB452"/>
  <c r="AE452"/>
  <c r="AD452"/>
  <c r="AB440"/>
  <c r="AE440"/>
  <c r="AD440"/>
  <c r="AB462"/>
  <c r="AE462"/>
  <c r="AD462"/>
  <c r="AB451"/>
  <c r="AE451"/>
  <c r="AD451"/>
  <c r="AB483"/>
  <c r="AE483"/>
  <c r="AD483"/>
  <c r="AB512"/>
  <c r="AE512"/>
  <c r="AD512"/>
  <c r="AB455"/>
  <c r="AE455"/>
  <c r="AD455"/>
  <c r="AB358"/>
  <c r="AE358"/>
  <c r="AD358"/>
  <c r="AB457"/>
  <c r="AE457"/>
  <c r="AD457"/>
  <c r="AB430"/>
  <c r="AE430"/>
  <c r="AD430"/>
  <c r="AB459"/>
  <c r="AE459"/>
  <c r="AD459"/>
  <c r="AB514"/>
  <c r="AE514"/>
  <c r="AD514"/>
  <c r="AB484"/>
  <c r="AE484"/>
  <c r="AD484"/>
  <c r="AB486"/>
  <c r="AE486"/>
  <c r="AD486"/>
  <c r="AB461"/>
  <c r="AE461"/>
  <c r="AD461"/>
  <c r="AB476"/>
  <c r="AE476"/>
  <c r="AD476"/>
  <c r="AB471"/>
  <c r="AE471"/>
  <c r="AD471"/>
  <c r="D484"/>
  <c r="D436"/>
  <c r="D461"/>
  <c r="D441"/>
  <c r="D514"/>
  <c r="D451"/>
  <c r="D471"/>
  <c r="D398"/>
  <c r="D358"/>
  <c r="D455"/>
  <c r="D452"/>
  <c r="D430"/>
  <c r="D490"/>
  <c r="D462"/>
  <c r="D448"/>
  <c r="D486"/>
  <c r="D457"/>
  <c r="D440"/>
  <c r="D459"/>
  <c r="D437"/>
  <c r="D483"/>
  <c r="D501"/>
  <c r="D476"/>
  <c r="D426"/>
  <c r="D512"/>
  <c r="D396"/>
  <c r="Q398"/>
  <c r="Q440"/>
  <c r="Q484"/>
  <c r="Q436"/>
  <c r="Q462"/>
  <c r="Q483"/>
  <c r="Q441"/>
  <c r="Q452"/>
  <c r="Q451"/>
  <c r="Q430"/>
  <c r="Q471"/>
  <c r="Q461"/>
  <c r="Q437"/>
  <c r="Q455"/>
  <c r="Q501"/>
  <c r="Q396"/>
  <c r="Q448"/>
  <c r="Q426"/>
  <c r="Q514"/>
  <c r="Q358"/>
  <c r="Q486"/>
  <c r="Q459"/>
  <c r="Q476"/>
  <c r="Q490"/>
  <c r="Q457"/>
  <c r="Q512"/>
  <c r="R436"/>
  <c r="X436"/>
  <c r="R501"/>
  <c r="X501"/>
  <c r="R476"/>
  <c r="X476"/>
  <c r="R471"/>
  <c r="X471"/>
  <c r="R440"/>
  <c r="X440"/>
  <c r="R484"/>
  <c r="X484"/>
  <c r="R398"/>
  <c r="X398"/>
  <c r="R512"/>
  <c r="X512"/>
  <c r="R457"/>
  <c r="X457"/>
  <c r="R486"/>
  <c r="X486"/>
  <c r="R437"/>
  <c r="X437"/>
  <c r="R358"/>
  <c r="X358"/>
  <c r="R441"/>
  <c r="X441"/>
  <c r="R461"/>
  <c r="X461"/>
  <c r="R426"/>
  <c r="X426"/>
  <c r="R459"/>
  <c r="X459"/>
  <c r="R448"/>
  <c r="X448"/>
  <c r="R462"/>
  <c r="X462"/>
  <c r="R396"/>
  <c r="X396"/>
  <c r="R452"/>
  <c r="X452"/>
  <c r="R483"/>
  <c r="X483"/>
  <c r="R451"/>
  <c r="X451"/>
  <c r="R430"/>
  <c r="X430"/>
  <c r="R514"/>
  <c r="X514"/>
  <c r="R455"/>
  <c r="X455"/>
  <c r="R490"/>
  <c r="X490"/>
  <c r="G338"/>
  <c r="I338"/>
  <c r="K338"/>
  <c r="M338"/>
  <c r="O338"/>
  <c r="S338"/>
  <c r="T338"/>
  <c r="D338"/>
  <c r="F338"/>
  <c r="H338"/>
  <c r="J338"/>
  <c r="L338"/>
  <c r="N338"/>
  <c r="P338"/>
  <c r="F517"/>
  <c r="H517"/>
  <c r="J517"/>
  <c r="L517"/>
  <c r="N517"/>
  <c r="P517"/>
  <c r="G517"/>
  <c r="I517"/>
  <c r="K517"/>
  <c r="M517"/>
  <c r="O517"/>
  <c r="S517"/>
  <c r="T517"/>
  <c r="E338"/>
  <c r="Y338"/>
  <c r="Z338"/>
  <c r="AA338"/>
  <c r="E517"/>
  <c r="Y517"/>
  <c r="Z517"/>
  <c r="AA517"/>
  <c r="U338"/>
  <c r="W338"/>
  <c r="U517"/>
  <c r="W517"/>
  <c r="Q338"/>
  <c r="AB338"/>
  <c r="AE338"/>
  <c r="AD338"/>
  <c r="AB517"/>
  <c r="AE517"/>
  <c r="AD517"/>
  <c r="R338"/>
  <c r="X338"/>
  <c r="Q517"/>
  <c r="D517"/>
  <c r="R517"/>
  <c r="X517"/>
  <c r="D318"/>
  <c r="F318"/>
  <c r="H318"/>
  <c r="J318"/>
  <c r="L318"/>
  <c r="N318"/>
  <c r="P318"/>
  <c r="F506"/>
  <c r="H506"/>
  <c r="J506"/>
  <c r="L506"/>
  <c r="N506"/>
  <c r="G318"/>
  <c r="I318"/>
  <c r="K318"/>
  <c r="M318"/>
  <c r="O318"/>
  <c r="S318"/>
  <c r="T318"/>
  <c r="G506"/>
  <c r="I506"/>
  <c r="K506"/>
  <c r="M506"/>
  <c r="O506"/>
  <c r="S506"/>
  <c r="T506"/>
  <c r="P506"/>
  <c r="G519"/>
  <c r="I519"/>
  <c r="K519"/>
  <c r="M519"/>
  <c r="O519"/>
  <c r="S519"/>
  <c r="T519"/>
  <c r="F519"/>
  <c r="H519"/>
  <c r="J519"/>
  <c r="L519"/>
  <c r="N519"/>
  <c r="P519"/>
  <c r="E519"/>
  <c r="Y519"/>
  <c r="AA519"/>
  <c r="Z519"/>
  <c r="E506"/>
  <c r="Y506"/>
  <c r="Z506"/>
  <c r="AA506"/>
  <c r="E318"/>
  <c r="Y318"/>
  <c r="AA318"/>
  <c r="Z318"/>
  <c r="U318"/>
  <c r="W318"/>
  <c r="U519"/>
  <c r="W519"/>
  <c r="U506"/>
  <c r="W506"/>
  <c r="Q318"/>
  <c r="AB318"/>
  <c r="AE318"/>
  <c r="AD318"/>
  <c r="AB506"/>
  <c r="AE506"/>
  <c r="AD506"/>
  <c r="AB519"/>
  <c r="AE519"/>
  <c r="AD519"/>
  <c r="R318"/>
  <c r="X318"/>
  <c r="Q506"/>
  <c r="Q519"/>
  <c r="D506"/>
  <c r="D519"/>
  <c r="R519"/>
  <c r="X519"/>
  <c r="R506"/>
  <c r="X506"/>
  <c r="O357"/>
  <c r="K357"/>
  <c r="G357"/>
  <c r="S357"/>
  <c r="T357"/>
  <c r="M357"/>
  <c r="I357"/>
  <c r="G374"/>
  <c r="I374"/>
  <c r="K374"/>
  <c r="M374"/>
  <c r="O374"/>
  <c r="S374"/>
  <c r="T374"/>
  <c r="D374"/>
  <c r="F374"/>
  <c r="H374"/>
  <c r="J374"/>
  <c r="L374"/>
  <c r="N374"/>
  <c r="P374"/>
  <c r="D343"/>
  <c r="F343"/>
  <c r="H343"/>
  <c r="J343"/>
  <c r="L343"/>
  <c r="N343"/>
  <c r="P343"/>
  <c r="D446"/>
  <c r="F446"/>
  <c r="H446"/>
  <c r="J446"/>
  <c r="L446"/>
  <c r="N446"/>
  <c r="P446"/>
  <c r="G343"/>
  <c r="I343"/>
  <c r="K343"/>
  <c r="M343"/>
  <c r="O343"/>
  <c r="S343"/>
  <c r="T343"/>
  <c r="G446"/>
  <c r="I446"/>
  <c r="K446"/>
  <c r="M446"/>
  <c r="O446"/>
  <c r="S446"/>
  <c r="T446"/>
  <c r="D444"/>
  <c r="F444"/>
  <c r="H444"/>
  <c r="J444"/>
  <c r="L444"/>
  <c r="N444"/>
  <c r="P444"/>
  <c r="D390"/>
  <c r="F390"/>
  <c r="H390"/>
  <c r="J390"/>
  <c r="L390"/>
  <c r="N390"/>
  <c r="P390"/>
  <c r="D376"/>
  <c r="F376"/>
  <c r="H376"/>
  <c r="J376"/>
  <c r="L376"/>
  <c r="N376"/>
  <c r="P376"/>
  <c r="D311"/>
  <c r="F311"/>
  <c r="H311"/>
  <c r="J311"/>
  <c r="L311"/>
  <c r="N311"/>
  <c r="P311"/>
  <c r="D353"/>
  <c r="F353"/>
  <c r="H353"/>
  <c r="J353"/>
  <c r="L353"/>
  <c r="N353"/>
  <c r="P353"/>
  <c r="G444"/>
  <c r="I444"/>
  <c r="K444"/>
  <c r="M444"/>
  <c r="O444"/>
  <c r="S444"/>
  <c r="T444"/>
  <c r="G390"/>
  <c r="I390"/>
  <c r="K390"/>
  <c r="M390"/>
  <c r="O390"/>
  <c r="S390"/>
  <c r="T390"/>
  <c r="G376"/>
  <c r="I376"/>
  <c r="K376"/>
  <c r="M376"/>
  <c r="O376"/>
  <c r="S376"/>
  <c r="T376"/>
  <c r="G311"/>
  <c r="I311"/>
  <c r="K311"/>
  <c r="M311"/>
  <c r="O311"/>
  <c r="S311"/>
  <c r="T311"/>
  <c r="G353"/>
  <c r="I353"/>
  <c r="K353"/>
  <c r="M353"/>
  <c r="O353"/>
  <c r="S353"/>
  <c r="T353"/>
  <c r="P357"/>
  <c r="N357"/>
  <c r="L357"/>
  <c r="J357"/>
  <c r="H357"/>
  <c r="F357"/>
  <c r="D357"/>
  <c r="D431"/>
  <c r="F431"/>
  <c r="H431"/>
  <c r="J431"/>
  <c r="L431"/>
  <c r="N431"/>
  <c r="P431"/>
  <c r="G359"/>
  <c r="I359"/>
  <c r="K359"/>
  <c r="M359"/>
  <c r="O359"/>
  <c r="S359"/>
  <c r="T359"/>
  <c r="G431"/>
  <c r="I431"/>
  <c r="K431"/>
  <c r="M431"/>
  <c r="O431"/>
  <c r="S431"/>
  <c r="T431"/>
  <c r="D359"/>
  <c r="F359"/>
  <c r="H359"/>
  <c r="J359"/>
  <c r="L359"/>
  <c r="N359"/>
  <c r="P359"/>
  <c r="D509"/>
  <c r="F509"/>
  <c r="G509"/>
  <c r="I509"/>
  <c r="K509"/>
  <c r="M509"/>
  <c r="O509"/>
  <c r="S509"/>
  <c r="T509"/>
  <c r="D492"/>
  <c r="F492"/>
  <c r="H492"/>
  <c r="J492"/>
  <c r="L492"/>
  <c r="N492"/>
  <c r="P492"/>
  <c r="G373"/>
  <c r="I373"/>
  <c r="K373"/>
  <c r="M373"/>
  <c r="O373"/>
  <c r="S373"/>
  <c r="T373"/>
  <c r="G423"/>
  <c r="I423"/>
  <c r="K423"/>
  <c r="M423"/>
  <c r="O423"/>
  <c r="S423"/>
  <c r="T423"/>
  <c r="G317"/>
  <c r="I317"/>
  <c r="K317"/>
  <c r="M317"/>
  <c r="O317"/>
  <c r="S317"/>
  <c r="T317"/>
  <c r="H509"/>
  <c r="J509"/>
  <c r="L509"/>
  <c r="N509"/>
  <c r="P509"/>
  <c r="G492"/>
  <c r="I492"/>
  <c r="K492"/>
  <c r="M492"/>
  <c r="O492"/>
  <c r="S492"/>
  <c r="T492"/>
  <c r="D373"/>
  <c r="F373"/>
  <c r="H373"/>
  <c r="J373"/>
  <c r="L373"/>
  <c r="N373"/>
  <c r="P373"/>
  <c r="D423"/>
  <c r="F423"/>
  <c r="H423"/>
  <c r="J423"/>
  <c r="L423"/>
  <c r="N423"/>
  <c r="P423"/>
  <c r="D317"/>
  <c r="H317"/>
  <c r="L317"/>
  <c r="P317"/>
  <c r="D410"/>
  <c r="F410"/>
  <c r="H410"/>
  <c r="J410"/>
  <c r="L410"/>
  <c r="N410"/>
  <c r="P410"/>
  <c r="F317"/>
  <c r="J317"/>
  <c r="N317"/>
  <c r="G410"/>
  <c r="I410"/>
  <c r="K410"/>
  <c r="M410"/>
  <c r="O410"/>
  <c r="S410"/>
  <c r="T410"/>
  <c r="G408"/>
  <c r="I408"/>
  <c r="K408"/>
  <c r="M408"/>
  <c r="O408"/>
  <c r="S408"/>
  <c r="T408"/>
  <c r="D458"/>
  <c r="F458"/>
  <c r="H458"/>
  <c r="J458"/>
  <c r="L458"/>
  <c r="N458"/>
  <c r="P458"/>
  <c r="D408"/>
  <c r="F408"/>
  <c r="H408"/>
  <c r="J408"/>
  <c r="L408"/>
  <c r="N408"/>
  <c r="P408"/>
  <c r="G458"/>
  <c r="I458"/>
  <c r="K458"/>
  <c r="M458"/>
  <c r="O458"/>
  <c r="S458"/>
  <c r="T458"/>
  <c r="Q359"/>
  <c r="Q317"/>
  <c r="Q444"/>
  <c r="Q376"/>
  <c r="Q343"/>
  <c r="Q423"/>
  <c r="Q353"/>
  <c r="E509"/>
  <c r="Y509"/>
  <c r="AA509"/>
  <c r="Z509"/>
  <c r="E446"/>
  <c r="Y446"/>
  <c r="AA446"/>
  <c r="Z446"/>
  <c r="E492"/>
  <c r="Z492"/>
  <c r="AA492"/>
  <c r="E431"/>
  <c r="AA431"/>
  <c r="Z431"/>
  <c r="E444"/>
  <c r="AA444"/>
  <c r="Z444"/>
  <c r="E317"/>
  <c r="AA317"/>
  <c r="Z317"/>
  <c r="E408"/>
  <c r="Z408"/>
  <c r="AA408"/>
  <c r="E376"/>
  <c r="Y376"/>
  <c r="Z376"/>
  <c r="AA376"/>
  <c r="E343"/>
  <c r="Y343"/>
  <c r="Z343"/>
  <c r="AA343"/>
  <c r="E374"/>
  <c r="AA374"/>
  <c r="Z374"/>
  <c r="E359"/>
  <c r="Y359"/>
  <c r="AA359"/>
  <c r="Z359"/>
  <c r="E423"/>
  <c r="Y423"/>
  <c r="Z423"/>
  <c r="AA423"/>
  <c r="E353"/>
  <c r="Y353"/>
  <c r="Z353"/>
  <c r="AA353"/>
  <c r="E357"/>
  <c r="Y357"/>
  <c r="AA357"/>
  <c r="Z357"/>
  <c r="E458"/>
  <c r="Y458"/>
  <c r="AA458"/>
  <c r="Z458"/>
  <c r="E410"/>
  <c r="Y410"/>
  <c r="AA410"/>
  <c r="Z410"/>
  <c r="E390"/>
  <c r="Y390"/>
  <c r="AA390"/>
  <c r="Z390"/>
  <c r="E311"/>
  <c r="Y311"/>
  <c r="AA311"/>
  <c r="Z311"/>
  <c r="E373"/>
  <c r="AA373"/>
  <c r="Z373"/>
  <c r="Y492"/>
  <c r="Y431"/>
  <c r="Y444"/>
  <c r="Y373"/>
  <c r="Y317"/>
  <c r="Y408"/>
  <c r="Y374"/>
  <c r="U458"/>
  <c r="W458"/>
  <c r="U343"/>
  <c r="W343"/>
  <c r="U492"/>
  <c r="W492"/>
  <c r="U408"/>
  <c r="W408"/>
  <c r="U317"/>
  <c r="W317"/>
  <c r="U353"/>
  <c r="W353"/>
  <c r="U357"/>
  <c r="W357"/>
  <c r="U390"/>
  <c r="W390"/>
  <c r="U423"/>
  <c r="W423"/>
  <c r="U374"/>
  <c r="W374"/>
  <c r="U311"/>
  <c r="W311"/>
  <c r="U410"/>
  <c r="W410"/>
  <c r="U509"/>
  <c r="W509"/>
  <c r="U446"/>
  <c r="W446"/>
  <c r="U376"/>
  <c r="W376"/>
  <c r="U444"/>
  <c r="W444"/>
  <c r="U431"/>
  <c r="W431"/>
  <c r="U359"/>
  <c r="W359"/>
  <c r="U373"/>
  <c r="W373"/>
  <c r="Q431"/>
  <c r="Q390"/>
  <c r="Q408"/>
  <c r="Q373"/>
  <c r="Q357"/>
  <c r="Q509"/>
  <c r="Q458"/>
  <c r="Q374"/>
  <c r="Q311"/>
  <c r="Q492"/>
  <c r="Q410"/>
  <c r="Q446"/>
  <c r="AB359"/>
  <c r="AE359"/>
  <c r="AD359"/>
  <c r="AB444"/>
  <c r="AE444"/>
  <c r="AD444"/>
  <c r="AB343"/>
  <c r="AE343"/>
  <c r="AD343"/>
  <c r="AB376"/>
  <c r="AE376"/>
  <c r="AD376"/>
  <c r="AB446"/>
  <c r="AE446"/>
  <c r="AD446"/>
  <c r="AB373"/>
  <c r="AE373"/>
  <c r="AD373"/>
  <c r="AB311"/>
  <c r="AE311"/>
  <c r="AB390"/>
  <c r="AE390"/>
  <c r="AD390"/>
  <c r="AB410"/>
  <c r="AE410"/>
  <c r="AD410"/>
  <c r="AB458"/>
  <c r="AE458"/>
  <c r="AD458"/>
  <c r="AB357"/>
  <c r="AE357"/>
  <c r="AD357"/>
  <c r="AB353"/>
  <c r="AE353"/>
  <c r="AD353"/>
  <c r="AB423"/>
  <c r="AE423"/>
  <c r="AD423"/>
  <c r="AB374"/>
  <c r="AE374"/>
  <c r="AD374"/>
  <c r="AB431"/>
  <c r="AE431"/>
  <c r="AD431"/>
  <c r="AB408"/>
  <c r="AE408"/>
  <c r="AD408"/>
  <c r="AB317"/>
  <c r="AE317"/>
  <c r="AD317"/>
  <c r="AB492"/>
  <c r="AE492"/>
  <c r="AD492"/>
  <c r="AB509"/>
  <c r="AE509"/>
  <c r="AD509"/>
  <c r="R353"/>
  <c r="X353"/>
  <c r="R311"/>
  <c r="X311"/>
  <c r="R317"/>
  <c r="X317"/>
  <c r="R408"/>
  <c r="X408"/>
  <c r="R458"/>
  <c r="X458"/>
  <c r="R374"/>
  <c r="X374"/>
  <c r="R509"/>
  <c r="X509"/>
  <c r="R446"/>
  <c r="X446"/>
  <c r="R376"/>
  <c r="X376"/>
  <c r="R492"/>
  <c r="X492"/>
  <c r="R343"/>
  <c r="X343"/>
  <c r="R390"/>
  <c r="X390"/>
  <c r="R357"/>
  <c r="X357"/>
  <c r="R423"/>
  <c r="X423"/>
  <c r="R444"/>
  <c r="X444"/>
  <c r="R431"/>
  <c r="X431"/>
  <c r="R373"/>
  <c r="X373"/>
  <c r="R359"/>
  <c r="X359"/>
  <c r="R410"/>
  <c r="X410"/>
  <c r="AD311"/>
  <c r="AD289"/>
  <c r="AD1"/>
  <c r="AD3"/>
  <c r="A3" i="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"/>
  <c r="A243" i="6"/>
  <c r="A242"/>
  <c r="A24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"/>
  <c r="BA169" i="1"/>
  <c r="AY169"/>
  <c r="BA138"/>
  <c r="AY138"/>
  <c r="BA139"/>
  <c r="AY139"/>
  <c r="BA164"/>
  <c r="AY164"/>
  <c r="BA131"/>
  <c r="AY131"/>
  <c r="AX5"/>
  <c r="AT5"/>
  <c r="AU5"/>
  <c r="AV5"/>
  <c r="AW5"/>
  <c r="BA5"/>
  <c r="AY5"/>
  <c r="AX6"/>
  <c r="AT6"/>
  <c r="AU6"/>
  <c r="AV6"/>
  <c r="AW6"/>
  <c r="BA6"/>
  <c r="AY6"/>
  <c r="AX7"/>
  <c r="AT7"/>
  <c r="AU7"/>
  <c r="AV7"/>
  <c r="AW7"/>
  <c r="BA7"/>
  <c r="AY7"/>
  <c r="AX8"/>
  <c r="AT8"/>
  <c r="AU8"/>
  <c r="AV8"/>
  <c r="AW8"/>
  <c r="BA8"/>
  <c r="AY8"/>
  <c r="AX9"/>
  <c r="AT9"/>
  <c r="AU9"/>
  <c r="AV9"/>
  <c r="AW9"/>
  <c r="BA9"/>
  <c r="AY9"/>
  <c r="AX10"/>
  <c r="AT10"/>
  <c r="AU10"/>
  <c r="AV10"/>
  <c r="AW10"/>
  <c r="BA10"/>
  <c r="AY10"/>
  <c r="AX11"/>
  <c r="AT11"/>
  <c r="AU11"/>
  <c r="AV11"/>
  <c r="AW11"/>
  <c r="BA11"/>
  <c r="AY11"/>
  <c r="AX12"/>
  <c r="AT12"/>
  <c r="AU12"/>
  <c r="AV12"/>
  <c r="AW12"/>
  <c r="BA12"/>
  <c r="AY12"/>
  <c r="AX13"/>
  <c r="AT13"/>
  <c r="AU13"/>
  <c r="AV13"/>
  <c r="AW13"/>
  <c r="BA13"/>
  <c r="AY13"/>
  <c r="AX14"/>
  <c r="AT14"/>
  <c r="AU14"/>
  <c r="AV14"/>
  <c r="AW14"/>
  <c r="BA14"/>
  <c r="AY14"/>
  <c r="AX29"/>
  <c r="AT29"/>
  <c r="AU29"/>
  <c r="AV29"/>
  <c r="AW29"/>
  <c r="BA29"/>
  <c r="AY29"/>
  <c r="AX30"/>
  <c r="AT30"/>
  <c r="AU30"/>
  <c r="AV30"/>
  <c r="AW30"/>
  <c r="BA30"/>
  <c r="AY30"/>
  <c r="AX23"/>
  <c r="AT23"/>
  <c r="AU23"/>
  <c r="AV23"/>
  <c r="AW23"/>
  <c r="BA23"/>
  <c r="AY23"/>
  <c r="AX15"/>
  <c r="AT15"/>
  <c r="AU15"/>
  <c r="AV15"/>
  <c r="AW15"/>
  <c r="BA15"/>
  <c r="AY15"/>
  <c r="AX18"/>
  <c r="AT18"/>
  <c r="AU18"/>
  <c r="AV18"/>
  <c r="AW18"/>
  <c r="BA18"/>
  <c r="AY18"/>
  <c r="AX19"/>
  <c r="AT19"/>
  <c r="AU19"/>
  <c r="AV19"/>
  <c r="AW19"/>
  <c r="BA19"/>
  <c r="AY19"/>
  <c r="AX26"/>
  <c r="AT26"/>
  <c r="AU26"/>
  <c r="AV26"/>
  <c r="AW26"/>
  <c r="BA26"/>
  <c r="AY26"/>
  <c r="AX32"/>
  <c r="AT32"/>
  <c r="AU32"/>
  <c r="AV32"/>
  <c r="AW32"/>
  <c r="BA32"/>
  <c r="AY32"/>
  <c r="AX35"/>
  <c r="AT35"/>
  <c r="AU35"/>
  <c r="AV35"/>
  <c r="AW35"/>
  <c r="BA35"/>
  <c r="AY35"/>
  <c r="AX17"/>
  <c r="AT17"/>
  <c r="AU17"/>
  <c r="AV17"/>
  <c r="AW17"/>
  <c r="BA17"/>
  <c r="AY17"/>
  <c r="AX22"/>
  <c r="AT22"/>
  <c r="AU22"/>
  <c r="AV22"/>
  <c r="AW22"/>
  <c r="BA22"/>
  <c r="AY22"/>
  <c r="AX24"/>
  <c r="AT24"/>
  <c r="AU24"/>
  <c r="AV24"/>
  <c r="AW24"/>
  <c r="BA24"/>
  <c r="AY24"/>
  <c r="AX38"/>
  <c r="AT38"/>
  <c r="AU38"/>
  <c r="AV38"/>
  <c r="AW38"/>
  <c r="BA38"/>
  <c r="AY38"/>
  <c r="AX16"/>
  <c r="AT16"/>
  <c r="AU16"/>
  <c r="AV16"/>
  <c r="AW16"/>
  <c r="BA16"/>
  <c r="AY16"/>
  <c r="AX20"/>
  <c r="AT20"/>
  <c r="AU20"/>
  <c r="AV20"/>
  <c r="AW20"/>
  <c r="BA20"/>
  <c r="AY20"/>
  <c r="AX21"/>
  <c r="AT21"/>
  <c r="AU21"/>
  <c r="AV21"/>
  <c r="AW21"/>
  <c r="BA21"/>
  <c r="AY21"/>
  <c r="AX33"/>
  <c r="AT33"/>
  <c r="AU33"/>
  <c r="AV33"/>
  <c r="AW33"/>
  <c r="BA33"/>
  <c r="AY33"/>
  <c r="AX34"/>
  <c r="AT34"/>
  <c r="AU34"/>
  <c r="AV34"/>
  <c r="AW34"/>
  <c r="BA34"/>
  <c r="AY34"/>
  <c r="AX40"/>
  <c r="AT40"/>
  <c r="AU40"/>
  <c r="AV40"/>
  <c r="AW40"/>
  <c r="BA40"/>
  <c r="AY40"/>
  <c r="AX55"/>
  <c r="AT55"/>
  <c r="AU55"/>
  <c r="AV55"/>
  <c r="AW55"/>
  <c r="BA55"/>
  <c r="AY55"/>
  <c r="AX46"/>
  <c r="AT46"/>
  <c r="AU46"/>
  <c r="AV46"/>
  <c r="AW46"/>
  <c r="BA46"/>
  <c r="AY46"/>
  <c r="AX59"/>
  <c r="AT59"/>
  <c r="AU59"/>
  <c r="AV59"/>
  <c r="AW59"/>
  <c r="BA59"/>
  <c r="AY59"/>
  <c r="AX44"/>
  <c r="AT44"/>
  <c r="AU44"/>
  <c r="AV44"/>
  <c r="AW44"/>
  <c r="BA44"/>
  <c r="AY44"/>
  <c r="AX39"/>
  <c r="AT39"/>
  <c r="AU39"/>
  <c r="AV39"/>
  <c r="AW39"/>
  <c r="BA39"/>
  <c r="AY39"/>
  <c r="AX41"/>
  <c r="AT41"/>
  <c r="AU41"/>
  <c r="AV41"/>
  <c r="AW41"/>
  <c r="BA41"/>
  <c r="AY41"/>
  <c r="AX25"/>
  <c r="AT25"/>
  <c r="AU25"/>
  <c r="AV25"/>
  <c r="AW25"/>
  <c r="BA25"/>
  <c r="AY25"/>
  <c r="AX31"/>
  <c r="AT31"/>
  <c r="AU31"/>
  <c r="AV31"/>
  <c r="AW31"/>
  <c r="BA31"/>
  <c r="AY31"/>
  <c r="AX27"/>
  <c r="AT27"/>
  <c r="AU27"/>
  <c r="AV27"/>
  <c r="AW27"/>
  <c r="BA27"/>
  <c r="AY27"/>
  <c r="AX58"/>
  <c r="AT58"/>
  <c r="AU58"/>
  <c r="AV58"/>
  <c r="AW58"/>
  <c r="BA58"/>
  <c r="AY58"/>
  <c r="AX36"/>
  <c r="AT36"/>
  <c r="AU36"/>
  <c r="AV36"/>
  <c r="AW36"/>
  <c r="BA36"/>
  <c r="AY36"/>
  <c r="AX28"/>
  <c r="AT28"/>
  <c r="AU28"/>
  <c r="AV28"/>
  <c r="AW28"/>
  <c r="BA28"/>
  <c r="AY28"/>
  <c r="AX63"/>
  <c r="AT63"/>
  <c r="AU63"/>
  <c r="AV63"/>
  <c r="AW63"/>
  <c r="BA63"/>
  <c r="AY63"/>
  <c r="AX70"/>
  <c r="AT70"/>
  <c r="AU70"/>
  <c r="AV70"/>
  <c r="AW70"/>
  <c r="BA70"/>
  <c r="AY70"/>
  <c r="AX53"/>
  <c r="AT53"/>
  <c r="AU53"/>
  <c r="AV53"/>
  <c r="AW53"/>
  <c r="BA53"/>
  <c r="AY53"/>
  <c r="AX170"/>
  <c r="AT170"/>
  <c r="AU170"/>
  <c r="AV170"/>
  <c r="AW170"/>
  <c r="BA170"/>
  <c r="AY170"/>
  <c r="AX133"/>
  <c r="AT133"/>
  <c r="AU133"/>
  <c r="AV133"/>
  <c r="AW133"/>
  <c r="BA133"/>
  <c r="AY133"/>
  <c r="AX82"/>
  <c r="AT82"/>
  <c r="AU82"/>
  <c r="AV82"/>
  <c r="AW82"/>
  <c r="BA82"/>
  <c r="AY82"/>
  <c r="AX86"/>
  <c r="AT86"/>
  <c r="AU86"/>
  <c r="AV86"/>
  <c r="AW86"/>
  <c r="BA86"/>
  <c r="AY86"/>
  <c r="AX77"/>
  <c r="AT77"/>
  <c r="AU77"/>
  <c r="AV77"/>
  <c r="AW77"/>
  <c r="BA77"/>
  <c r="AY77"/>
  <c r="AX156"/>
  <c r="AT156"/>
  <c r="AU156"/>
  <c r="AV156"/>
  <c r="AW156"/>
  <c r="BA156"/>
  <c r="AY156"/>
  <c r="AX62"/>
  <c r="AT62"/>
  <c r="AU62"/>
  <c r="AV62"/>
  <c r="AW62"/>
  <c r="BA62"/>
  <c r="AY62"/>
  <c r="AX72"/>
  <c r="AT72"/>
  <c r="AU72"/>
  <c r="AV72"/>
  <c r="AW72"/>
  <c r="BA72"/>
  <c r="AY72"/>
  <c r="AX89"/>
  <c r="AT89"/>
  <c r="AU89"/>
  <c r="AV89"/>
  <c r="AW89"/>
  <c r="BA89"/>
  <c r="AY89"/>
  <c r="AX67"/>
  <c r="AT67"/>
  <c r="AU67"/>
  <c r="AV67"/>
  <c r="AW67"/>
  <c r="BA67"/>
  <c r="AY67"/>
  <c r="AX56"/>
  <c r="AT56"/>
  <c r="AU56"/>
  <c r="AV56"/>
  <c r="AW56"/>
  <c r="BA56"/>
  <c r="AY56"/>
  <c r="AX168"/>
  <c r="AT168"/>
  <c r="AU168"/>
  <c r="AV168"/>
  <c r="AW168"/>
  <c r="BA168"/>
  <c r="AY168"/>
  <c r="AX96"/>
  <c r="AT96"/>
  <c r="AU96"/>
  <c r="AV96"/>
  <c r="AW96"/>
  <c r="BA96"/>
  <c r="AY96"/>
  <c r="AX126"/>
  <c r="AT126"/>
  <c r="AU126"/>
  <c r="AV126"/>
  <c r="AW126"/>
  <c r="BA126"/>
  <c r="AY126"/>
  <c r="AX99"/>
  <c r="AT99"/>
  <c r="AU99"/>
  <c r="AV99"/>
  <c r="AW99"/>
  <c r="BA99"/>
  <c r="AY99"/>
  <c r="AX85"/>
  <c r="AT85"/>
  <c r="AU85"/>
  <c r="AV85"/>
  <c r="AW85"/>
  <c r="BA85"/>
  <c r="AY85"/>
  <c r="AX105"/>
  <c r="AT105"/>
  <c r="AU105"/>
  <c r="AV105"/>
  <c r="AW105"/>
  <c r="BA105"/>
  <c r="AY105"/>
  <c r="AX137"/>
  <c r="AT137"/>
  <c r="AU137"/>
  <c r="AV137"/>
  <c r="AW137"/>
  <c r="BA137"/>
  <c r="AY137"/>
  <c r="AX98"/>
  <c r="AT98"/>
  <c r="AU98"/>
  <c r="AV98"/>
  <c r="AW98"/>
  <c r="BA98"/>
  <c r="AY98"/>
  <c r="AX47"/>
  <c r="AT47"/>
  <c r="AU47"/>
  <c r="AV47"/>
  <c r="AW47"/>
  <c r="BA47"/>
  <c r="AY47"/>
  <c r="AX68"/>
  <c r="AT68"/>
  <c r="AU68"/>
  <c r="AV68"/>
  <c r="AW68"/>
  <c r="BA68"/>
  <c r="AY68"/>
  <c r="AX83"/>
  <c r="AT83"/>
  <c r="AU83"/>
  <c r="AV83"/>
  <c r="AW83"/>
  <c r="BA83"/>
  <c r="AY83"/>
  <c r="AX61"/>
  <c r="AT61"/>
  <c r="AU61"/>
  <c r="AV61"/>
  <c r="AW61"/>
  <c r="BA61"/>
  <c r="AY61"/>
  <c r="AX115"/>
  <c r="AT115"/>
  <c r="AU115"/>
  <c r="AV115"/>
  <c r="AW115"/>
  <c r="BA115"/>
  <c r="AY115"/>
  <c r="AX111"/>
  <c r="AT111"/>
  <c r="AU111"/>
  <c r="AV111"/>
  <c r="AW111"/>
  <c r="BA111"/>
  <c r="AY111"/>
  <c r="AX116"/>
  <c r="AT116"/>
  <c r="AU116"/>
  <c r="AV116"/>
  <c r="AW116"/>
  <c r="BA116"/>
  <c r="AY116"/>
  <c r="AX110"/>
  <c r="AT110"/>
  <c r="AU110"/>
  <c r="AV110"/>
  <c r="AW110"/>
  <c r="BA110"/>
  <c r="AY110"/>
  <c r="AX94"/>
  <c r="AT94"/>
  <c r="AU94"/>
  <c r="AV94"/>
  <c r="AW94"/>
  <c r="BA94"/>
  <c r="AY94"/>
  <c r="AX143"/>
  <c r="AT143"/>
  <c r="AU143"/>
  <c r="AV143"/>
  <c r="AW143"/>
  <c r="BA143"/>
  <c r="AY143"/>
  <c r="AX152"/>
  <c r="AT152"/>
  <c r="AU152"/>
  <c r="AV152"/>
  <c r="AW152"/>
  <c r="BA152"/>
  <c r="AY152"/>
  <c r="AX75"/>
  <c r="AT75"/>
  <c r="AU75"/>
  <c r="AV75"/>
  <c r="AW75"/>
  <c r="BA75"/>
  <c r="AY75"/>
  <c r="AX114"/>
  <c r="AT114"/>
  <c r="AU114"/>
  <c r="AV114"/>
  <c r="AW114"/>
  <c r="BA114"/>
  <c r="AY114"/>
  <c r="AX74"/>
  <c r="AT74"/>
  <c r="AU74"/>
  <c r="AV74"/>
  <c r="AW74"/>
  <c r="BA74"/>
  <c r="AY74"/>
  <c r="AX57"/>
  <c r="AT57"/>
  <c r="AU57"/>
  <c r="AV57"/>
  <c r="AW57"/>
  <c r="BA57"/>
  <c r="AY57"/>
  <c r="AX108"/>
  <c r="AT108"/>
  <c r="AU108"/>
  <c r="AV108"/>
  <c r="AW108"/>
  <c r="BA108"/>
  <c r="AY108"/>
  <c r="AX146"/>
  <c r="AT146"/>
  <c r="AU146"/>
  <c r="AV146"/>
  <c r="AW146"/>
  <c r="BA146"/>
  <c r="AY146"/>
  <c r="AX135"/>
  <c r="AT135"/>
  <c r="AU135"/>
  <c r="AV135"/>
  <c r="AW135"/>
  <c r="BA135"/>
  <c r="AY135"/>
  <c r="AX69"/>
  <c r="AT69"/>
  <c r="AU69"/>
  <c r="AV69"/>
  <c r="AW69"/>
  <c r="BA69"/>
  <c r="AY69"/>
  <c r="AX52"/>
  <c r="AT52"/>
  <c r="AU52"/>
  <c r="AV52"/>
  <c r="AW52"/>
  <c r="BA52"/>
  <c r="AY52"/>
  <c r="AX37"/>
  <c r="AT37"/>
  <c r="AU37"/>
  <c r="AV37"/>
  <c r="AW37"/>
  <c r="BA37"/>
  <c r="AY37"/>
  <c r="AX79"/>
  <c r="AT79"/>
  <c r="AU79"/>
  <c r="AV79"/>
  <c r="AW79"/>
  <c r="BA79"/>
  <c r="AY79"/>
  <c r="AX80"/>
  <c r="AT80"/>
  <c r="AU80"/>
  <c r="AV80"/>
  <c r="AW80"/>
  <c r="BA80"/>
  <c r="AY80"/>
  <c r="AX50"/>
  <c r="AT50"/>
  <c r="AU50"/>
  <c r="AV50"/>
  <c r="AW50"/>
  <c r="BA50"/>
  <c r="AY50"/>
  <c r="AX45"/>
  <c r="AT45"/>
  <c r="AU45"/>
  <c r="AV45"/>
  <c r="AW45"/>
  <c r="BA45"/>
  <c r="AY45"/>
  <c r="AX123"/>
  <c r="AT123"/>
  <c r="AU123"/>
  <c r="AV123"/>
  <c r="AW123"/>
  <c r="BA123"/>
  <c r="AY123"/>
  <c r="AX129"/>
  <c r="AT129"/>
  <c r="AU129"/>
  <c r="AV129"/>
  <c r="AW129"/>
  <c r="BA129"/>
  <c r="AY129"/>
  <c r="AX60"/>
  <c r="AT60"/>
  <c r="AU60"/>
  <c r="AV60"/>
  <c r="AW60"/>
  <c r="BA60"/>
  <c r="AY60"/>
  <c r="AX64"/>
  <c r="AT64"/>
  <c r="AU64"/>
  <c r="AV64"/>
  <c r="AW64"/>
  <c r="BA64"/>
  <c r="AY64"/>
  <c r="AX51"/>
  <c r="AT51"/>
  <c r="AU51"/>
  <c r="AV51"/>
  <c r="AW51"/>
  <c r="BA51"/>
  <c r="AY51"/>
  <c r="AX81"/>
  <c r="AT81"/>
  <c r="AU81"/>
  <c r="AV81"/>
  <c r="AW81"/>
  <c r="BA81"/>
  <c r="AY81"/>
  <c r="AX93"/>
  <c r="AT93"/>
  <c r="AU93"/>
  <c r="AV93"/>
  <c r="AW93"/>
  <c r="BA93"/>
  <c r="AY93"/>
  <c r="AX76"/>
  <c r="AT76"/>
  <c r="AU76"/>
  <c r="AV76"/>
  <c r="AW76"/>
  <c r="BA76"/>
  <c r="AY76"/>
  <c r="AX95"/>
  <c r="AT95"/>
  <c r="AU95"/>
  <c r="AV95"/>
  <c r="AW95"/>
  <c r="BA95"/>
  <c r="AY95"/>
  <c r="AX92"/>
  <c r="AT92"/>
  <c r="AU92"/>
  <c r="AV92"/>
  <c r="AW92"/>
  <c r="BA92"/>
  <c r="AY92"/>
  <c r="AX101"/>
  <c r="AT101"/>
  <c r="AU101"/>
  <c r="AV101"/>
  <c r="AW101"/>
  <c r="BA101"/>
  <c r="AY101"/>
  <c r="AX66"/>
  <c r="AT66"/>
  <c r="AU66"/>
  <c r="AV66"/>
  <c r="AW66"/>
  <c r="BA66"/>
  <c r="AY66"/>
  <c r="AX107"/>
  <c r="AT107"/>
  <c r="AU107"/>
  <c r="AV107"/>
  <c r="AW107"/>
  <c r="BA107"/>
  <c r="AY107"/>
  <c r="AX43"/>
  <c r="AT43"/>
  <c r="AU43"/>
  <c r="AV43"/>
  <c r="AW43"/>
  <c r="BA43"/>
  <c r="AY43"/>
  <c r="AX87"/>
  <c r="AT87"/>
  <c r="AU87"/>
  <c r="AV87"/>
  <c r="AW87"/>
  <c r="BA87"/>
  <c r="AY87"/>
  <c r="AX97"/>
  <c r="AT97"/>
  <c r="AU97"/>
  <c r="AV97"/>
  <c r="AW97"/>
  <c r="BA97"/>
  <c r="AY97"/>
  <c r="AX103"/>
  <c r="AT103"/>
  <c r="AU103"/>
  <c r="AV103"/>
  <c r="AW103"/>
  <c r="BA103"/>
  <c r="AY103"/>
  <c r="AX73"/>
  <c r="AT73"/>
  <c r="AU73"/>
  <c r="AV73"/>
  <c r="AW73"/>
  <c r="BA73"/>
  <c r="AY73"/>
  <c r="AX54"/>
  <c r="AT54"/>
  <c r="AU54"/>
  <c r="AV54"/>
  <c r="AW54"/>
  <c r="BA54"/>
  <c r="AY54"/>
  <c r="AX49"/>
  <c r="AT49"/>
  <c r="AU49"/>
  <c r="AV49"/>
  <c r="AW49"/>
  <c r="BA49"/>
  <c r="AY49"/>
  <c r="AX78"/>
  <c r="AT78"/>
  <c r="AU78"/>
  <c r="AV78"/>
  <c r="AW78"/>
  <c r="BA78"/>
  <c r="AY78"/>
  <c r="AX90"/>
  <c r="AT90"/>
  <c r="AU90"/>
  <c r="AV90"/>
  <c r="AW90"/>
  <c r="BA90"/>
  <c r="AY90"/>
  <c r="AX91"/>
  <c r="AT91"/>
  <c r="AU91"/>
  <c r="AV91"/>
  <c r="AW91"/>
  <c r="BA91"/>
  <c r="AY91"/>
  <c r="AX100"/>
  <c r="AT100"/>
  <c r="AU100"/>
  <c r="AV100"/>
  <c r="AW100"/>
  <c r="BA100"/>
  <c r="AY100"/>
  <c r="AX65"/>
  <c r="AT65"/>
  <c r="AU65"/>
  <c r="AV65"/>
  <c r="AW65"/>
  <c r="BA65"/>
  <c r="AY65"/>
  <c r="AX42"/>
  <c r="AT42"/>
  <c r="AU42"/>
  <c r="AV42"/>
  <c r="AW42"/>
  <c r="BA42"/>
  <c r="AY42"/>
  <c r="AX48"/>
  <c r="AT48"/>
  <c r="AU48"/>
  <c r="AV48"/>
  <c r="AW48"/>
  <c r="BA48"/>
  <c r="AY48"/>
  <c r="AX112"/>
  <c r="AT112"/>
  <c r="AU112"/>
  <c r="AV112"/>
  <c r="AW112"/>
  <c r="BA112"/>
  <c r="AY112"/>
  <c r="AX147"/>
  <c r="AT147"/>
  <c r="AU147"/>
  <c r="AV147"/>
  <c r="AW147"/>
  <c r="BA147"/>
  <c r="AY147"/>
  <c r="AX208"/>
  <c r="AT208"/>
  <c r="AU208"/>
  <c r="AV208"/>
  <c r="AW208"/>
  <c r="BA208"/>
  <c r="AY208"/>
  <c r="AX201"/>
  <c r="AT201"/>
  <c r="AU201"/>
  <c r="AV201"/>
  <c r="AW201"/>
  <c r="BA201"/>
  <c r="AY201"/>
  <c r="AX109"/>
  <c r="AT109"/>
  <c r="AU109"/>
  <c r="AV109"/>
  <c r="AW109"/>
  <c r="BA109"/>
  <c r="AY109"/>
  <c r="AX238"/>
  <c r="AT238"/>
  <c r="AU238"/>
  <c r="AV238"/>
  <c r="AW238"/>
  <c r="BA238"/>
  <c r="AY238"/>
  <c r="AX207"/>
  <c r="AT207"/>
  <c r="AU207"/>
  <c r="AV207"/>
  <c r="AW207"/>
  <c r="BA207"/>
  <c r="AY207"/>
  <c r="AX209"/>
  <c r="AT209"/>
  <c r="AU209"/>
  <c r="AV209"/>
  <c r="AW209"/>
  <c r="BA209"/>
  <c r="AY209"/>
  <c r="AX198"/>
  <c r="AT198"/>
  <c r="AU198"/>
  <c r="AV198"/>
  <c r="AW198"/>
  <c r="BA198"/>
  <c r="AY198"/>
  <c r="AX202"/>
  <c r="AT202"/>
  <c r="AU202"/>
  <c r="AV202"/>
  <c r="AW202"/>
  <c r="BA202"/>
  <c r="AY202"/>
  <c r="AX141"/>
  <c r="AT141"/>
  <c r="AU141"/>
  <c r="AV141"/>
  <c r="AW141"/>
  <c r="BA141"/>
  <c r="AY141"/>
  <c r="AX127"/>
  <c r="AT127"/>
  <c r="AU127"/>
  <c r="AV127"/>
  <c r="AW127"/>
  <c r="BA127"/>
  <c r="AY127"/>
  <c r="AX158"/>
  <c r="AT158"/>
  <c r="AU158"/>
  <c r="AV158"/>
  <c r="AW158"/>
  <c r="BA158"/>
  <c r="AY158"/>
  <c r="AX88"/>
  <c r="AT88"/>
  <c r="AU88"/>
  <c r="AV88"/>
  <c r="AW88"/>
  <c r="BA88"/>
  <c r="AY88"/>
  <c r="AX185"/>
  <c r="AT185"/>
  <c r="AU185"/>
  <c r="AV185"/>
  <c r="AW185"/>
  <c r="BA185"/>
  <c r="AY185"/>
  <c r="AX130"/>
  <c r="AT130"/>
  <c r="AU130"/>
  <c r="AV130"/>
  <c r="AW130"/>
  <c r="BA130"/>
  <c r="AY130"/>
  <c r="AX163"/>
  <c r="AT163"/>
  <c r="AU163"/>
  <c r="AV163"/>
  <c r="AW163"/>
  <c r="BA163"/>
  <c r="AY163"/>
  <c r="AX125"/>
  <c r="AT125"/>
  <c r="AU125"/>
  <c r="AV125"/>
  <c r="AW125"/>
  <c r="BA125"/>
  <c r="AY125"/>
  <c r="AX153"/>
  <c r="AT153"/>
  <c r="AU153"/>
  <c r="AV153"/>
  <c r="AW153"/>
  <c r="BA153"/>
  <c r="AY153"/>
  <c r="AX245"/>
  <c r="AT245"/>
  <c r="AU245"/>
  <c r="AV245"/>
  <c r="AW245"/>
  <c r="BA245"/>
  <c r="AY245"/>
  <c r="AX217"/>
  <c r="AT217"/>
  <c r="AU217"/>
  <c r="AV217"/>
  <c r="AW217"/>
  <c r="BA217"/>
  <c r="AY217"/>
  <c r="AX241"/>
  <c r="AT241"/>
  <c r="AU241"/>
  <c r="AV241"/>
  <c r="AW241"/>
  <c r="BA241"/>
  <c r="AY241"/>
  <c r="AX235"/>
  <c r="AT235"/>
  <c r="AU235"/>
  <c r="AV235"/>
  <c r="AW235"/>
  <c r="BA235"/>
  <c r="AY235"/>
  <c r="AX145"/>
  <c r="AT145"/>
  <c r="AU145"/>
  <c r="AV145"/>
  <c r="AW145"/>
  <c r="BA145"/>
  <c r="AY145"/>
  <c r="AX157"/>
  <c r="AT157"/>
  <c r="AU157"/>
  <c r="AV157"/>
  <c r="AW157"/>
  <c r="BA157"/>
  <c r="AY157"/>
  <c r="AX122"/>
  <c r="AT122"/>
  <c r="AU122"/>
  <c r="AV122"/>
  <c r="AW122"/>
  <c r="BA122"/>
  <c r="AY122"/>
  <c r="AX231"/>
  <c r="AT231"/>
  <c r="AU231"/>
  <c r="AV231"/>
  <c r="AW231"/>
  <c r="BA231"/>
  <c r="AY231"/>
  <c r="AX140"/>
  <c r="AT140"/>
  <c r="AU140"/>
  <c r="AV140"/>
  <c r="AW140"/>
  <c r="BA140"/>
  <c r="AY140"/>
  <c r="AX171"/>
  <c r="AT171"/>
  <c r="AU171"/>
  <c r="AV171"/>
  <c r="AW171"/>
  <c r="BA171"/>
  <c r="AY171"/>
  <c r="AX121"/>
  <c r="AT121"/>
  <c r="AU121"/>
  <c r="AV121"/>
  <c r="AW121"/>
  <c r="BA121"/>
  <c r="AY121"/>
  <c r="AX227"/>
  <c r="AT227"/>
  <c r="AU227"/>
  <c r="AV227"/>
  <c r="AW227"/>
  <c r="BA227"/>
  <c r="AY227"/>
  <c r="AX232"/>
  <c r="AT232"/>
  <c r="AU232"/>
  <c r="AV232"/>
  <c r="AW232"/>
  <c r="BA232"/>
  <c r="AY232"/>
  <c r="AX215"/>
  <c r="AT215"/>
  <c r="AU215"/>
  <c r="AV215"/>
  <c r="AW215"/>
  <c r="BA215"/>
  <c r="AY215"/>
  <c r="AX149"/>
  <c r="AT149"/>
  <c r="AU149"/>
  <c r="AV149"/>
  <c r="AW149"/>
  <c r="BA149"/>
  <c r="AY149"/>
  <c r="AX234"/>
  <c r="AT234"/>
  <c r="AU234"/>
  <c r="AV234"/>
  <c r="AW234"/>
  <c r="BA234"/>
  <c r="AY234"/>
  <c r="AX222"/>
  <c r="AT222"/>
  <c r="AU222"/>
  <c r="AV222"/>
  <c r="AW222"/>
  <c r="BA222"/>
  <c r="AY222"/>
  <c r="AX236"/>
  <c r="AT236"/>
  <c r="AU236"/>
  <c r="AV236"/>
  <c r="AW236"/>
  <c r="BA236"/>
  <c r="AY236"/>
  <c r="AX106"/>
  <c r="AT106"/>
  <c r="AU106"/>
  <c r="AV106"/>
  <c r="AW106"/>
  <c r="BA106"/>
  <c r="AY106"/>
  <c r="AX155"/>
  <c r="AT155"/>
  <c r="AU155"/>
  <c r="AV155"/>
  <c r="AW155"/>
  <c r="BA155"/>
  <c r="AY155"/>
  <c r="AX194"/>
  <c r="AT194"/>
  <c r="AU194"/>
  <c r="AV194"/>
  <c r="AW194"/>
  <c r="BA194"/>
  <c r="AY194"/>
  <c r="AX172"/>
  <c r="AT172"/>
  <c r="AU172"/>
  <c r="AV172"/>
  <c r="AW172"/>
  <c r="BA172"/>
  <c r="AY172"/>
  <c r="AX240"/>
  <c r="AT240"/>
  <c r="AU240"/>
  <c r="AV240"/>
  <c r="AW240"/>
  <c r="BA240"/>
  <c r="AY240"/>
  <c r="AX237"/>
  <c r="AT237"/>
  <c r="AU237"/>
  <c r="AV237"/>
  <c r="AW237"/>
  <c r="BA237"/>
  <c r="AY237"/>
  <c r="AX144"/>
  <c r="AT144"/>
  <c r="AU144"/>
  <c r="AV144"/>
  <c r="AW144"/>
  <c r="BA144"/>
  <c r="AY144"/>
  <c r="AX210"/>
  <c r="AT210"/>
  <c r="AU210"/>
  <c r="AV210"/>
  <c r="AW210"/>
  <c r="BA210"/>
  <c r="AY210"/>
  <c r="AX196"/>
  <c r="AT196"/>
  <c r="AU196"/>
  <c r="AV196"/>
  <c r="AW196"/>
  <c r="BA196"/>
  <c r="AY196"/>
  <c r="AX187"/>
  <c r="AT187"/>
  <c r="AU187"/>
  <c r="AV187"/>
  <c r="AW187"/>
  <c r="BA187"/>
  <c r="AY187"/>
  <c r="AX132"/>
  <c r="AT132"/>
  <c r="AU132"/>
  <c r="AV132"/>
  <c r="AW132"/>
  <c r="BA132"/>
  <c r="AY132"/>
  <c r="AX223"/>
  <c r="AT223"/>
  <c r="AU223"/>
  <c r="AV223"/>
  <c r="AW223"/>
  <c r="BA223"/>
  <c r="AY223"/>
  <c r="AX216"/>
  <c r="AT216"/>
  <c r="AU216"/>
  <c r="AV216"/>
  <c r="AW216"/>
  <c r="BA216"/>
  <c r="AY216"/>
  <c r="AX142"/>
  <c r="AT142"/>
  <c r="AU142"/>
  <c r="AV142"/>
  <c r="AW142"/>
  <c r="BA142"/>
  <c r="AY142"/>
  <c r="AX228"/>
  <c r="AT228"/>
  <c r="AU228"/>
  <c r="AV228"/>
  <c r="AW228"/>
  <c r="BA228"/>
  <c r="AY228"/>
  <c r="AX183"/>
  <c r="AT183"/>
  <c r="AU183"/>
  <c r="AV183"/>
  <c r="AW183"/>
  <c r="BA183"/>
  <c r="AY183"/>
  <c r="AX159"/>
  <c r="AT159"/>
  <c r="AU159"/>
  <c r="AV159"/>
  <c r="AW159"/>
  <c r="BA159"/>
  <c r="AY159"/>
  <c r="AX151"/>
  <c r="AT151"/>
  <c r="AU151"/>
  <c r="AV151"/>
  <c r="AW151"/>
  <c r="BA151"/>
  <c r="AY151"/>
  <c r="AX150"/>
  <c r="AT150"/>
  <c r="AU150"/>
  <c r="AV150"/>
  <c r="AW150"/>
  <c r="BA150"/>
  <c r="AY150"/>
  <c r="AX161"/>
  <c r="AT161"/>
  <c r="AU161"/>
  <c r="AV161"/>
  <c r="AW161"/>
  <c r="BA161"/>
  <c r="AY161"/>
  <c r="AX230"/>
  <c r="AT230"/>
  <c r="AU230"/>
  <c r="AV230"/>
  <c r="AW230"/>
  <c r="BA230"/>
  <c r="AY230"/>
  <c r="AX124"/>
  <c r="AT124"/>
  <c r="AU124"/>
  <c r="AV124"/>
  <c r="AW124"/>
  <c r="BA124"/>
  <c r="AY124"/>
  <c r="AX205"/>
  <c r="AT205"/>
  <c r="AU205"/>
  <c r="AV205"/>
  <c r="AW205"/>
  <c r="BA205"/>
  <c r="AY205"/>
  <c r="AX190"/>
  <c r="AT190"/>
  <c r="AU190"/>
  <c r="AV190"/>
  <c r="AW190"/>
  <c r="BA190"/>
  <c r="AY190"/>
  <c r="AX219"/>
  <c r="AT219"/>
  <c r="AU219"/>
  <c r="AV219"/>
  <c r="AW219"/>
  <c r="BA219"/>
  <c r="AY219"/>
  <c r="AX165"/>
  <c r="AT165"/>
  <c r="AU165"/>
  <c r="AV165"/>
  <c r="AW165"/>
  <c r="BA165"/>
  <c r="AY165"/>
  <c r="AX188"/>
  <c r="AT188"/>
  <c r="AU188"/>
  <c r="AV188"/>
  <c r="AW188"/>
  <c r="BA188"/>
  <c r="AY188"/>
  <c r="AX239"/>
  <c r="AT239"/>
  <c r="AU239"/>
  <c r="AV239"/>
  <c r="AW239"/>
  <c r="BA239"/>
  <c r="AY239"/>
  <c r="AX102"/>
  <c r="AT102"/>
  <c r="AU102"/>
  <c r="AV102"/>
  <c r="AW102"/>
  <c r="BA102"/>
  <c r="AY102"/>
  <c r="AX148"/>
  <c r="AT148"/>
  <c r="AU148"/>
  <c r="AV148"/>
  <c r="AW148"/>
  <c r="BA148"/>
  <c r="AY148"/>
  <c r="AX203"/>
  <c r="AT203"/>
  <c r="AU203"/>
  <c r="AV203"/>
  <c r="AW203"/>
  <c r="BA203"/>
  <c r="AY203"/>
  <c r="AX243"/>
  <c r="AT243"/>
  <c r="AU243"/>
  <c r="AV243"/>
  <c r="AW243"/>
  <c r="BA243"/>
  <c r="AY243"/>
  <c r="AX192"/>
  <c r="AT192"/>
  <c r="AU192"/>
  <c r="AV192"/>
  <c r="AW192"/>
  <c r="BA192"/>
  <c r="AY192"/>
  <c r="AX191"/>
  <c r="AT191"/>
  <c r="AU191"/>
  <c r="AV191"/>
  <c r="AW191"/>
  <c r="BA191"/>
  <c r="AY191"/>
  <c r="AX200"/>
  <c r="AT200"/>
  <c r="AU200"/>
  <c r="AV200"/>
  <c r="AW200"/>
  <c r="BA200"/>
  <c r="AY200"/>
  <c r="AX229"/>
  <c r="AT229"/>
  <c r="AU229"/>
  <c r="AV229"/>
  <c r="AW229"/>
  <c r="BA229"/>
  <c r="AY229"/>
  <c r="AX104"/>
  <c r="AT104"/>
  <c r="AU104"/>
  <c r="AV104"/>
  <c r="AW104"/>
  <c r="BA104"/>
  <c r="AY104"/>
  <c r="AX221"/>
  <c r="AT221"/>
  <c r="AU221"/>
  <c r="AV221"/>
  <c r="AW221"/>
  <c r="BA221"/>
  <c r="AY221"/>
  <c r="AX197"/>
  <c r="AT197"/>
  <c r="AU197"/>
  <c r="AV197"/>
  <c r="AW197"/>
  <c r="BA197"/>
  <c r="AY197"/>
  <c r="AX113"/>
  <c r="AT113"/>
  <c r="AU113"/>
  <c r="AV113"/>
  <c r="AW113"/>
  <c r="BA113"/>
  <c r="AY113"/>
  <c r="AX225"/>
  <c r="AT225"/>
  <c r="AU225"/>
  <c r="AV225"/>
  <c r="AW225"/>
  <c r="BA225"/>
  <c r="AY225"/>
  <c r="AX118"/>
  <c r="AT118"/>
  <c r="AU118"/>
  <c r="AV118"/>
  <c r="AW118"/>
  <c r="BA118"/>
  <c r="AY118"/>
  <c r="AX173"/>
  <c r="AT173"/>
  <c r="AU173"/>
  <c r="AV173"/>
  <c r="AW173"/>
  <c r="BA173"/>
  <c r="AY173"/>
  <c r="AX181"/>
  <c r="AT181"/>
  <c r="AU181"/>
  <c r="AV181"/>
  <c r="AW181"/>
  <c r="BA181"/>
  <c r="AY181"/>
  <c r="AX214"/>
  <c r="AT214"/>
  <c r="AU214"/>
  <c r="AV214"/>
  <c r="AW214"/>
  <c r="BA214"/>
  <c r="AY214"/>
  <c r="AX120"/>
  <c r="AT120"/>
  <c r="AU120"/>
  <c r="AV120"/>
  <c r="AW120"/>
  <c r="BA120"/>
  <c r="AY120"/>
  <c r="AX233"/>
  <c r="AT233"/>
  <c r="AU233"/>
  <c r="AV233"/>
  <c r="AW233"/>
  <c r="BA233"/>
  <c r="AY233"/>
  <c r="AX174"/>
  <c r="AT174"/>
  <c r="AU174"/>
  <c r="AV174"/>
  <c r="AW174"/>
  <c r="BA174"/>
  <c r="AY174"/>
  <c r="AX206"/>
  <c r="AT206"/>
  <c r="AU206"/>
  <c r="AV206"/>
  <c r="AW206"/>
  <c r="BA206"/>
  <c r="AY206"/>
  <c r="AX128"/>
  <c r="AT128"/>
  <c r="AU128"/>
  <c r="AV128"/>
  <c r="AW128"/>
  <c r="BA128"/>
  <c r="AY128"/>
  <c r="AX134"/>
  <c r="AT134"/>
  <c r="AU134"/>
  <c r="AV134"/>
  <c r="AW134"/>
  <c r="BA134"/>
  <c r="AY134"/>
  <c r="AX224"/>
  <c r="AT224"/>
  <c r="AU224"/>
  <c r="AV224"/>
  <c r="AW224"/>
  <c r="BA224"/>
  <c r="AY224"/>
  <c r="AX175"/>
  <c r="AT175"/>
  <c r="AU175"/>
  <c r="AV175"/>
  <c r="AW175"/>
  <c r="BA175"/>
  <c r="AY175"/>
  <c r="AX246"/>
  <c r="AT246"/>
  <c r="AU246"/>
  <c r="AV246"/>
  <c r="AW246"/>
  <c r="BA246"/>
  <c r="AY246"/>
  <c r="AX136"/>
  <c r="AT136"/>
  <c r="AU136"/>
  <c r="AV136"/>
  <c r="AW136"/>
  <c r="BA136"/>
  <c r="AY136"/>
  <c r="AX226"/>
  <c r="AT226"/>
  <c r="AU226"/>
  <c r="AV226"/>
  <c r="AW226"/>
  <c r="BA226"/>
  <c r="AY226"/>
  <c r="AX177"/>
  <c r="AT177"/>
  <c r="AU177"/>
  <c r="AV177"/>
  <c r="AW177"/>
  <c r="BA177"/>
  <c r="AY177"/>
  <c r="AX189"/>
  <c r="AT189"/>
  <c r="AU189"/>
  <c r="AV189"/>
  <c r="AW189"/>
  <c r="BA189"/>
  <c r="AY189"/>
  <c r="AX213"/>
  <c r="AT213"/>
  <c r="AU213"/>
  <c r="AV213"/>
  <c r="AW213"/>
  <c r="BA213"/>
  <c r="AY213"/>
  <c r="AX162"/>
  <c r="AT162"/>
  <c r="AU162"/>
  <c r="AV162"/>
  <c r="AW162"/>
  <c r="BA162"/>
  <c r="AY162"/>
  <c r="AX84"/>
  <c r="AT84"/>
  <c r="AU84"/>
  <c r="AV84"/>
  <c r="AW84"/>
  <c r="BA84"/>
  <c r="AY84"/>
  <c r="AX212"/>
  <c r="AT212"/>
  <c r="AU212"/>
  <c r="AV212"/>
  <c r="AW212"/>
  <c r="BA212"/>
  <c r="AY212"/>
  <c r="AX154"/>
  <c r="AT154"/>
  <c r="AU154"/>
  <c r="AV154"/>
  <c r="AW154"/>
  <c r="BA154"/>
  <c r="AY154"/>
  <c r="AX195"/>
  <c r="AT195"/>
  <c r="AU195"/>
  <c r="AV195"/>
  <c r="AW195"/>
  <c r="BA195"/>
  <c r="AY195"/>
  <c r="AX178"/>
  <c r="AT178"/>
  <c r="AU178"/>
  <c r="AV178"/>
  <c r="AW178"/>
  <c r="BA178"/>
  <c r="AY178"/>
  <c r="AX193"/>
  <c r="AT193"/>
  <c r="AU193"/>
  <c r="AV193"/>
  <c r="AW193"/>
  <c r="BA193"/>
  <c r="AY193"/>
  <c r="AX180"/>
  <c r="AT180"/>
  <c r="AU180"/>
  <c r="AV180"/>
  <c r="AW180"/>
  <c r="BA180"/>
  <c r="AY180"/>
  <c r="AX166"/>
  <c r="AT166"/>
  <c r="AU166"/>
  <c r="AV166"/>
  <c r="AW166"/>
  <c r="BA166"/>
  <c r="AY166"/>
  <c r="AX186"/>
  <c r="AT186"/>
  <c r="AU186"/>
  <c r="AV186"/>
  <c r="AW186"/>
  <c r="BA186"/>
  <c r="AY186"/>
  <c r="AX182"/>
  <c r="AT182"/>
  <c r="AU182"/>
  <c r="AV182"/>
  <c r="AW182"/>
  <c r="BA182"/>
  <c r="AY182"/>
  <c r="AX184"/>
  <c r="AT184"/>
  <c r="AU184"/>
  <c r="AV184"/>
  <c r="AW184"/>
  <c r="BA184"/>
  <c r="AY184"/>
  <c r="AX220"/>
  <c r="AT220"/>
  <c r="AU220"/>
  <c r="AV220"/>
  <c r="AW220"/>
  <c r="BA220"/>
  <c r="AY220"/>
  <c r="AX176"/>
  <c r="AT176"/>
  <c r="AU176"/>
  <c r="AV176"/>
  <c r="AW176"/>
  <c r="BA176"/>
  <c r="AY176"/>
  <c r="AX117"/>
  <c r="AT117"/>
  <c r="AU117"/>
  <c r="AV117"/>
  <c r="AW117"/>
  <c r="BA117"/>
  <c r="AY117"/>
  <c r="AX179"/>
  <c r="AT179"/>
  <c r="AU179"/>
  <c r="AV179"/>
  <c r="AW179"/>
  <c r="BA179"/>
  <c r="AY179"/>
  <c r="AX160"/>
  <c r="AT160"/>
  <c r="AU160"/>
  <c r="AV160"/>
  <c r="AW160"/>
  <c r="BA160"/>
  <c r="AY160"/>
  <c r="AX199"/>
  <c r="AT199"/>
  <c r="AU199"/>
  <c r="AV199"/>
  <c r="AW199"/>
  <c r="BA199"/>
  <c r="AY199"/>
  <c r="AX204"/>
  <c r="AT204"/>
  <c r="AU204"/>
  <c r="AV204"/>
  <c r="AW204"/>
  <c r="BA204"/>
  <c r="AY204"/>
  <c r="AX211"/>
  <c r="AT211"/>
  <c r="AU211"/>
  <c r="AV211"/>
  <c r="AW211"/>
  <c r="BA211"/>
  <c r="AY211"/>
  <c r="AX167"/>
  <c r="AT167"/>
  <c r="AU167"/>
  <c r="AV167"/>
  <c r="AW167"/>
  <c r="BA167"/>
  <c r="AY167"/>
  <c r="AX242"/>
  <c r="AT242"/>
  <c r="AU242"/>
  <c r="AV242"/>
  <c r="AW242"/>
  <c r="BA242"/>
  <c r="AY242"/>
  <c r="AX244"/>
  <c r="AT244"/>
  <c r="AU244"/>
  <c r="AV244"/>
  <c r="AW244"/>
  <c r="BA244"/>
  <c r="AY244"/>
  <c r="AX218"/>
  <c r="AT218"/>
  <c r="AU218"/>
  <c r="AV218"/>
  <c r="AW218"/>
  <c r="BA218"/>
  <c r="AY218"/>
  <c r="AX119"/>
  <c r="AT119"/>
  <c r="AU119"/>
  <c r="AV119"/>
  <c r="AW119"/>
  <c r="BA119"/>
  <c r="AY119"/>
  <c r="AX71"/>
  <c r="AT71"/>
  <c r="AU71"/>
  <c r="AV71"/>
  <c r="AW71"/>
  <c r="BA71"/>
  <c r="AY71"/>
  <c r="AZ169"/>
  <c r="A169"/>
  <c r="BC169"/>
  <c r="BE169"/>
  <c r="B169"/>
  <c r="BJ169"/>
  <c r="AZ138"/>
  <c r="A138"/>
  <c r="BC138"/>
  <c r="BE138"/>
  <c r="B138"/>
  <c r="BJ138"/>
  <c r="AZ139"/>
  <c r="A139"/>
  <c r="BC139"/>
  <c r="BE139"/>
  <c r="B139"/>
  <c r="BJ139"/>
  <c r="AZ164"/>
  <c r="A164"/>
  <c r="BC164"/>
  <c r="BE164"/>
  <c r="B164"/>
  <c r="BJ164"/>
  <c r="AZ131"/>
  <c r="A131"/>
  <c r="BC131"/>
  <c r="BE131"/>
  <c r="B131"/>
  <c r="BJ131"/>
  <c r="BE176"/>
  <c r="BJ176"/>
  <c r="BE71"/>
  <c r="A71"/>
  <c r="BJ71"/>
  <c r="BE44"/>
  <c r="BJ9"/>
  <c r="BJ6"/>
  <c r="BJ15"/>
  <c r="BJ29"/>
  <c r="BJ5"/>
  <c r="BJ46"/>
  <c r="BJ23"/>
  <c r="BJ11"/>
  <c r="BJ8"/>
  <c r="BJ38"/>
  <c r="BJ16"/>
  <c r="BJ32"/>
  <c r="BJ13"/>
  <c r="BJ19"/>
  <c r="BJ18"/>
  <c r="BJ26"/>
  <c r="BJ21"/>
  <c r="BJ34"/>
  <c r="BJ12"/>
  <c r="BJ10"/>
  <c r="BJ17"/>
  <c r="BJ39"/>
  <c r="BJ7"/>
  <c r="BJ14"/>
  <c r="BJ33"/>
  <c r="BJ40"/>
  <c r="BJ31"/>
  <c r="BJ28"/>
  <c r="BJ133"/>
  <c r="BJ41"/>
  <c r="BJ25"/>
  <c r="BJ27"/>
  <c r="BJ35"/>
  <c r="BJ20"/>
  <c r="BJ24"/>
  <c r="BJ56"/>
  <c r="BJ55"/>
  <c r="BJ22"/>
  <c r="BJ83"/>
  <c r="BJ98"/>
  <c r="BJ170"/>
  <c r="BJ234"/>
  <c r="BJ157"/>
  <c r="BJ152"/>
  <c r="BJ52"/>
  <c r="BJ115"/>
  <c r="BJ241"/>
  <c r="BJ141"/>
  <c r="BJ168"/>
  <c r="BJ143"/>
  <c r="BJ61"/>
  <c r="BJ67"/>
  <c r="BJ215"/>
  <c r="BJ93"/>
  <c r="BJ65"/>
  <c r="BJ107"/>
  <c r="BJ110"/>
  <c r="BJ102"/>
  <c r="BJ129"/>
  <c r="BJ235"/>
  <c r="BJ96"/>
  <c r="BJ95"/>
  <c r="BJ63"/>
  <c r="BJ126"/>
  <c r="BJ111"/>
  <c r="BJ105"/>
  <c r="BJ97"/>
  <c r="BJ92"/>
  <c r="BJ66"/>
  <c r="BJ43"/>
  <c r="BJ64"/>
  <c r="BJ198"/>
  <c r="BJ172"/>
  <c r="BJ114"/>
  <c r="BJ100"/>
  <c r="BJ57"/>
  <c r="BJ89"/>
  <c r="BJ54"/>
  <c r="BJ208"/>
  <c r="BJ130"/>
  <c r="BJ99"/>
  <c r="BJ86"/>
  <c r="BJ59"/>
  <c r="BJ108"/>
  <c r="BJ37"/>
  <c r="BJ62"/>
  <c r="BJ87"/>
  <c r="BJ77"/>
  <c r="BJ112"/>
  <c r="BJ207"/>
  <c r="BJ75"/>
  <c r="BJ137"/>
  <c r="BJ82"/>
  <c r="BJ135"/>
  <c r="BJ91"/>
  <c r="BJ74"/>
  <c r="BJ81"/>
  <c r="BJ79"/>
  <c r="BJ101"/>
  <c r="BJ47"/>
  <c r="BJ73"/>
  <c r="BJ70"/>
  <c r="BJ69"/>
  <c r="BJ45"/>
  <c r="BJ76"/>
  <c r="BJ116"/>
  <c r="BJ72"/>
  <c r="BJ156"/>
  <c r="BJ94"/>
  <c r="BJ80"/>
  <c r="BJ123"/>
  <c r="BJ60"/>
  <c r="BJ68"/>
  <c r="BJ58"/>
  <c r="BJ53"/>
  <c r="BJ49"/>
  <c r="BJ245"/>
  <c r="BJ224"/>
  <c r="BJ90"/>
  <c r="BJ204"/>
  <c r="BJ205"/>
  <c r="BJ197"/>
  <c r="BJ229"/>
  <c r="BJ192"/>
  <c r="BJ158"/>
  <c r="BJ42"/>
  <c r="BJ106"/>
  <c r="BJ50"/>
  <c r="BJ151"/>
  <c r="BJ127"/>
  <c r="BJ144"/>
  <c r="BJ153"/>
  <c r="BJ149"/>
  <c r="BJ218"/>
  <c r="BJ213"/>
  <c r="BJ199"/>
  <c r="BJ179"/>
  <c r="BJ121"/>
  <c r="BJ209"/>
  <c r="BJ182"/>
  <c r="BJ185"/>
  <c r="BJ216"/>
  <c r="BJ238"/>
  <c r="BJ212"/>
  <c r="BJ136"/>
  <c r="BJ120"/>
  <c r="BJ236"/>
  <c r="BJ154"/>
  <c r="BJ233"/>
  <c r="BJ160"/>
  <c r="BJ103"/>
  <c r="BJ125"/>
  <c r="BJ223"/>
  <c r="BJ167"/>
  <c r="BJ117"/>
  <c r="BJ231"/>
  <c r="BJ226"/>
  <c r="BJ118"/>
  <c r="BJ124"/>
  <c r="BJ163"/>
  <c r="BJ193"/>
  <c r="BJ189"/>
  <c r="BJ88"/>
  <c r="BJ174"/>
  <c r="BJ183"/>
  <c r="BJ155"/>
  <c r="BJ145"/>
  <c r="BJ171"/>
  <c r="BJ194"/>
  <c r="BJ180"/>
  <c r="BJ202"/>
  <c r="BJ191"/>
  <c r="BJ200"/>
  <c r="BJ178"/>
  <c r="BJ210"/>
  <c r="BJ243"/>
  <c r="BJ184"/>
  <c r="BJ51"/>
  <c r="BJ227"/>
  <c r="BJ206"/>
  <c r="BJ244"/>
  <c r="BJ225"/>
  <c r="BJ104"/>
  <c r="BJ113"/>
  <c r="BJ220"/>
  <c r="BJ162"/>
  <c r="BJ219"/>
  <c r="BJ78"/>
  <c r="BJ246"/>
  <c r="BJ109"/>
  <c r="BJ142"/>
  <c r="BJ221"/>
  <c r="BJ214"/>
  <c r="BJ48"/>
  <c r="BJ186"/>
  <c r="BJ228"/>
  <c r="BJ173"/>
  <c r="BJ217"/>
  <c r="BJ122"/>
  <c r="BJ195"/>
  <c r="BJ132"/>
  <c r="BJ140"/>
  <c r="BJ84"/>
  <c r="BJ150"/>
  <c r="BJ188"/>
  <c r="BJ175"/>
  <c r="BJ237"/>
  <c r="BJ146"/>
  <c r="BJ134"/>
  <c r="BJ240"/>
  <c r="BJ203"/>
  <c r="BJ190"/>
  <c r="BJ181"/>
  <c r="BJ159"/>
  <c r="BJ232"/>
  <c r="BJ165"/>
  <c r="BJ148"/>
  <c r="BJ222"/>
  <c r="BJ166"/>
  <c r="BJ230"/>
  <c r="BJ201"/>
  <c r="BJ161"/>
  <c r="BJ196"/>
  <c r="BJ239"/>
  <c r="BJ128"/>
  <c r="BJ187"/>
  <c r="BJ242"/>
  <c r="BJ211"/>
  <c r="BJ177"/>
  <c r="BJ147"/>
  <c r="BJ119"/>
  <c r="BJ30"/>
  <c r="A176"/>
  <c r="BC176"/>
  <c r="BC71"/>
  <c r="A44"/>
  <c r="BC44"/>
  <c r="A114"/>
  <c r="BC114"/>
  <c r="BE114"/>
  <c r="A141"/>
  <c r="A196"/>
  <c r="A150"/>
  <c r="A89"/>
  <c r="A119"/>
  <c r="A47"/>
  <c r="A207"/>
  <c r="A184"/>
  <c r="A211"/>
  <c r="A242"/>
  <c r="A185"/>
  <c r="A103"/>
  <c r="A161"/>
  <c r="A163"/>
  <c r="A118"/>
  <c r="A53"/>
  <c r="A182"/>
  <c r="A159"/>
  <c r="A210"/>
  <c r="A51"/>
  <c r="A145"/>
  <c r="A148"/>
  <c r="A216"/>
  <c r="A173"/>
  <c r="A186"/>
  <c r="A189"/>
  <c r="A80"/>
  <c r="A191"/>
  <c r="A82"/>
  <c r="A149"/>
  <c r="A194"/>
  <c r="A171"/>
  <c r="A167"/>
  <c r="A200"/>
  <c r="A37"/>
  <c r="A85"/>
  <c r="A58"/>
  <c r="A246"/>
  <c r="A206"/>
  <c r="A146"/>
  <c r="A144"/>
  <c r="A177"/>
  <c r="A79"/>
  <c r="A153"/>
  <c r="A127"/>
  <c r="A245"/>
  <c r="A232"/>
  <c r="A172"/>
  <c r="BC172"/>
  <c r="A183"/>
  <c r="A165"/>
  <c r="A188"/>
  <c r="A132"/>
  <c r="A140"/>
  <c r="A217"/>
  <c r="A193"/>
  <c r="A88"/>
  <c r="A64"/>
  <c r="A175"/>
  <c r="A142"/>
  <c r="A179"/>
  <c r="A122"/>
  <c r="A109"/>
  <c r="A156"/>
  <c r="A214"/>
  <c r="A72"/>
  <c r="A208"/>
  <c r="A231"/>
  <c r="A116"/>
  <c r="A190"/>
  <c r="A48"/>
  <c r="A113"/>
  <c r="A220"/>
  <c r="A212"/>
  <c r="A243"/>
  <c r="A230"/>
  <c r="A244"/>
  <c r="A104"/>
  <c r="A222"/>
  <c r="A239"/>
  <c r="A218"/>
  <c r="A73"/>
  <c r="A43"/>
  <c r="A181"/>
  <c r="A125"/>
  <c r="A128"/>
  <c r="A42"/>
  <c r="A195"/>
  <c r="A201"/>
  <c r="A136"/>
  <c r="A224"/>
  <c r="A120"/>
  <c r="A70"/>
  <c r="A134"/>
  <c r="A81"/>
  <c r="A84"/>
  <c r="A147"/>
  <c r="A166"/>
  <c r="A236"/>
  <c r="A36"/>
  <c r="BC36"/>
  <c r="A178"/>
  <c r="A204"/>
  <c r="A229"/>
  <c r="A227"/>
  <c r="A233"/>
  <c r="A61"/>
  <c r="A90"/>
  <c r="A54"/>
  <c r="A94"/>
  <c r="A219"/>
  <c r="A221"/>
  <c r="A162"/>
  <c r="A203"/>
  <c r="A187"/>
  <c r="A130"/>
  <c r="A226"/>
  <c r="A174"/>
  <c r="A154"/>
  <c r="A106"/>
  <c r="A63"/>
  <c r="A241"/>
  <c r="A143"/>
  <c r="A237"/>
  <c r="A91"/>
  <c r="A213"/>
  <c r="A92"/>
  <c r="A13"/>
  <c r="A67"/>
  <c r="A74"/>
  <c r="A60"/>
  <c r="A160"/>
  <c r="A20"/>
  <c r="A10"/>
  <c r="A135"/>
  <c r="A98"/>
  <c r="A192"/>
  <c r="A75"/>
  <c r="A55"/>
  <c r="A123"/>
  <c r="A68"/>
  <c r="A17"/>
  <c r="A129"/>
  <c r="A198"/>
  <c r="A50"/>
  <c r="A112"/>
  <c r="A27"/>
  <c r="A199"/>
  <c r="A41"/>
  <c r="A215"/>
  <c r="A168"/>
  <c r="A59"/>
  <c r="A133"/>
  <c r="A102"/>
  <c r="A96"/>
  <c r="A228"/>
  <c r="A202"/>
  <c r="A238"/>
  <c r="A52"/>
  <c r="A35"/>
  <c r="A57"/>
  <c r="A137"/>
  <c r="A205"/>
  <c r="A180"/>
  <c r="A77"/>
  <c r="A101"/>
  <c r="A45"/>
  <c r="A69"/>
  <c r="A151"/>
  <c r="A157"/>
  <c r="A76"/>
  <c r="A86"/>
  <c r="A234"/>
  <c r="A49"/>
  <c r="A155"/>
  <c r="A108"/>
  <c r="A124"/>
  <c r="A158"/>
  <c r="A209"/>
  <c r="A78"/>
  <c r="A197"/>
  <c r="A225"/>
  <c r="A152"/>
  <c r="A22"/>
  <c r="A97"/>
  <c r="A66"/>
  <c r="A105"/>
  <c r="A87"/>
  <c r="A117"/>
  <c r="A121"/>
  <c r="A62"/>
  <c r="A223"/>
  <c r="A240"/>
  <c r="A95"/>
  <c r="A115"/>
  <c r="A110"/>
  <c r="A8"/>
  <c r="A14"/>
  <c r="A93"/>
  <c r="A16"/>
  <c r="A31"/>
  <c r="A56"/>
  <c r="A107"/>
  <c r="A28"/>
  <c r="A99"/>
  <c r="A126"/>
  <c r="A83"/>
  <c r="A111"/>
  <c r="A235"/>
  <c r="A100"/>
  <c r="A19"/>
  <c r="A32"/>
  <c r="A46"/>
  <c r="A170"/>
  <c r="A24"/>
  <c r="A5"/>
  <c r="A34"/>
  <c r="A18"/>
  <c r="A25"/>
  <c r="BC25"/>
  <c r="A11"/>
  <c r="A33"/>
  <c r="A23"/>
  <c r="A7"/>
  <c r="A40"/>
  <c r="A39"/>
  <c r="A6"/>
  <c r="A29"/>
  <c r="A12"/>
  <c r="A26"/>
  <c r="A65"/>
  <c r="A9"/>
  <c r="BC9"/>
  <c r="A38"/>
  <c r="A21"/>
  <c r="A15"/>
  <c r="A30"/>
  <c r="BE38"/>
  <c r="BE34"/>
  <c r="BE117"/>
  <c r="BE99"/>
  <c r="BE69"/>
  <c r="BE12"/>
  <c r="BE100"/>
  <c r="BE83"/>
  <c r="BE30"/>
  <c r="BE121"/>
  <c r="BE9"/>
  <c r="BE6"/>
  <c r="BE11"/>
  <c r="BE107"/>
  <c r="BE65"/>
  <c r="BE15"/>
  <c r="BE7"/>
  <c r="BE110"/>
  <c r="BE25"/>
  <c r="BE21"/>
  <c r="BE46"/>
  <c r="BE19"/>
  <c r="BE33"/>
  <c r="BE26"/>
  <c r="BE66"/>
  <c r="BE209"/>
  <c r="BE205"/>
  <c r="BE202"/>
  <c r="BE234"/>
  <c r="BE14"/>
  <c r="BE23"/>
  <c r="BE235"/>
  <c r="BE225"/>
  <c r="BE219"/>
  <c r="BE105"/>
  <c r="BE24"/>
  <c r="BE31"/>
  <c r="BE5"/>
  <c r="BE16"/>
  <c r="BE160"/>
  <c r="BE32"/>
  <c r="BE215"/>
  <c r="BE29"/>
  <c r="BE93"/>
  <c r="BE237"/>
  <c r="BE154"/>
  <c r="BE95"/>
  <c r="BE10"/>
  <c r="BE151"/>
  <c r="BE18"/>
  <c r="BE68"/>
  <c r="BE27"/>
  <c r="BE201"/>
  <c r="BE78"/>
  <c r="BE226"/>
  <c r="BE45"/>
  <c r="BE108"/>
  <c r="BE62"/>
  <c r="BE101"/>
  <c r="BE28"/>
  <c r="BE228"/>
  <c r="BE20"/>
  <c r="BE170"/>
  <c r="BE168"/>
  <c r="BE197"/>
  <c r="BE77"/>
  <c r="BE92"/>
  <c r="BE104"/>
  <c r="BE96"/>
  <c r="BE40"/>
  <c r="BE223"/>
  <c r="BE8"/>
  <c r="BE245"/>
  <c r="BE145"/>
  <c r="BE87"/>
  <c r="BE240"/>
  <c r="BE49"/>
  <c r="BE17"/>
  <c r="BE155"/>
  <c r="BE112"/>
  <c r="BE213"/>
  <c r="BE243"/>
  <c r="BE224"/>
  <c r="BE56"/>
  <c r="BE98"/>
  <c r="BE129"/>
  <c r="BE136"/>
  <c r="BE111"/>
  <c r="BE135"/>
  <c r="BE76"/>
  <c r="BE188"/>
  <c r="BE165"/>
  <c r="BE59"/>
  <c r="BE115"/>
  <c r="BE52"/>
  <c r="BE102"/>
  <c r="BE212"/>
  <c r="BE137"/>
  <c r="BE86"/>
  <c r="BE53"/>
  <c r="BE217"/>
  <c r="BE58"/>
  <c r="BE42"/>
  <c r="BE142"/>
  <c r="BE120"/>
  <c r="BE241"/>
  <c r="BE206"/>
  <c r="BE124"/>
  <c r="BE73"/>
  <c r="BE63"/>
  <c r="BE22"/>
  <c r="BE116"/>
  <c r="BE198"/>
  <c r="BE85"/>
  <c r="BE57"/>
  <c r="BE239"/>
  <c r="BE48"/>
  <c r="BE156"/>
  <c r="BE180"/>
  <c r="BE43"/>
  <c r="BE74"/>
  <c r="BE158"/>
  <c r="BE88"/>
  <c r="BE173"/>
  <c r="BE227"/>
  <c r="BE143"/>
  <c r="BE191"/>
  <c r="BE231"/>
  <c r="BE123"/>
  <c r="BE133"/>
  <c r="BE75"/>
  <c r="BE236"/>
  <c r="BE171"/>
  <c r="BE141"/>
  <c r="BE67"/>
  <c r="BE162"/>
  <c r="BE128"/>
  <c r="BE60"/>
  <c r="BE195"/>
  <c r="BE140"/>
  <c r="BE147"/>
  <c r="BE159"/>
  <c r="BE204"/>
  <c r="BE106"/>
  <c r="BE144"/>
  <c r="BE214"/>
  <c r="BE97"/>
  <c r="BE13"/>
  <c r="BE41"/>
  <c r="BE172"/>
  <c r="BE90"/>
  <c r="BE94"/>
  <c r="BE216"/>
  <c r="BE157"/>
  <c r="BE82"/>
  <c r="BE36"/>
  <c r="BE218"/>
  <c r="BE232"/>
  <c r="BE119"/>
  <c r="BE47"/>
  <c r="BE61"/>
  <c r="BE182"/>
  <c r="BE187"/>
  <c r="BE167"/>
  <c r="BE233"/>
  <c r="BE113"/>
  <c r="BE181"/>
  <c r="BE109"/>
  <c r="BE89"/>
  <c r="BE208"/>
  <c r="BE177"/>
  <c r="BE91"/>
  <c r="BE238"/>
  <c r="BE185"/>
  <c r="BE184"/>
  <c r="BE125"/>
  <c r="BE35"/>
  <c r="BE50"/>
  <c r="BE103"/>
  <c r="BE122"/>
  <c r="BE146"/>
  <c r="BE178"/>
  <c r="BE64"/>
  <c r="BE193"/>
  <c r="BE163"/>
  <c r="BE51"/>
  <c r="BE79"/>
  <c r="BE242"/>
  <c r="BE84"/>
  <c r="BE80"/>
  <c r="BE161"/>
  <c r="BE166"/>
  <c r="BE194"/>
  <c r="BE37"/>
  <c r="BE220"/>
  <c r="BE72"/>
  <c r="BE221"/>
  <c r="BE189"/>
  <c r="BE192"/>
  <c r="BE183"/>
  <c r="BE118"/>
  <c r="BE210"/>
  <c r="BE190"/>
  <c r="BE132"/>
  <c r="BE229"/>
  <c r="BE150"/>
  <c r="BE230"/>
  <c r="BE81"/>
  <c r="BE54"/>
  <c r="BE130"/>
  <c r="BE203"/>
  <c r="BE179"/>
  <c r="BE134"/>
  <c r="BE222"/>
  <c r="BE148"/>
  <c r="BE207"/>
  <c r="BE244"/>
  <c r="BE211"/>
  <c r="BE186"/>
  <c r="BE127"/>
  <c r="BE174"/>
  <c r="BE196"/>
  <c r="BE149"/>
  <c r="BE70"/>
  <c r="BE200"/>
  <c r="BE152"/>
  <c r="BE199"/>
  <c r="BE175"/>
  <c r="BE246"/>
  <c r="BE126"/>
  <c r="BE153"/>
  <c r="BE55"/>
  <c r="BE39"/>
  <c r="M3"/>
  <c r="L3"/>
  <c r="B30"/>
  <c r="BC30"/>
  <c r="B21"/>
  <c r="BC21"/>
  <c r="B26"/>
  <c r="BC26"/>
  <c r="B39"/>
  <c r="BC39"/>
  <c r="B7"/>
  <c r="BC7"/>
  <c r="B33"/>
  <c r="BC33"/>
  <c r="B34"/>
  <c r="BC34"/>
  <c r="B24"/>
  <c r="BC24"/>
  <c r="B46"/>
  <c r="BC46"/>
  <c r="B19"/>
  <c r="BC19"/>
  <c r="B235"/>
  <c r="BC235"/>
  <c r="B83"/>
  <c r="BC83"/>
  <c r="B99"/>
  <c r="BC99"/>
  <c r="B107"/>
  <c r="BC107"/>
  <c r="B31"/>
  <c r="BC31"/>
  <c r="B16"/>
  <c r="BC16"/>
  <c r="B14"/>
  <c r="BC14"/>
  <c r="B110"/>
  <c r="BC110"/>
  <c r="B95"/>
  <c r="BC95"/>
  <c r="B223"/>
  <c r="BC223"/>
  <c r="B62"/>
  <c r="BC62"/>
  <c r="B117"/>
  <c r="BC117"/>
  <c r="B105"/>
  <c r="BC105"/>
  <c r="B97"/>
  <c r="BC97"/>
  <c r="B152"/>
  <c r="BC152"/>
  <c r="B197"/>
  <c r="BC197"/>
  <c r="B209"/>
  <c r="BC209"/>
  <c r="B124"/>
  <c r="BC124"/>
  <c r="B155"/>
  <c r="BC155"/>
  <c r="B234"/>
  <c r="BC234"/>
  <c r="B76"/>
  <c r="BC76"/>
  <c r="B151"/>
  <c r="BC151"/>
  <c r="B45"/>
  <c r="BC45"/>
  <c r="B77"/>
  <c r="BC77"/>
  <c r="B205"/>
  <c r="BC205"/>
  <c r="B57"/>
  <c r="BC57"/>
  <c r="B52"/>
  <c r="BC52"/>
  <c r="B202"/>
  <c r="BC202"/>
  <c r="B96"/>
  <c r="BC96"/>
  <c r="B133"/>
  <c r="BC133"/>
  <c r="B168"/>
  <c r="BC168"/>
  <c r="B41"/>
  <c r="BC41"/>
  <c r="B27"/>
  <c r="BC27"/>
  <c r="B50"/>
  <c r="BC50"/>
  <c r="B129"/>
  <c r="BC129"/>
  <c r="B68"/>
  <c r="BC68"/>
  <c r="B55"/>
  <c r="BC55"/>
  <c r="B192"/>
  <c r="BC192"/>
  <c r="B135"/>
  <c r="BC135"/>
  <c r="B20"/>
  <c r="BC20"/>
  <c r="B60"/>
  <c r="BC60"/>
  <c r="B67"/>
  <c r="BC67"/>
  <c r="B92"/>
  <c r="BC92"/>
  <c r="B91"/>
  <c r="BC91"/>
  <c r="B143"/>
  <c r="BC143"/>
  <c r="B63"/>
  <c r="BC63"/>
  <c r="B154"/>
  <c r="BC154"/>
  <c r="B226"/>
  <c r="BC226"/>
  <c r="B187"/>
  <c r="BC187"/>
  <c r="B162"/>
  <c r="BC162"/>
  <c r="B219"/>
  <c r="BC219"/>
  <c r="B54"/>
  <c r="BC54"/>
  <c r="B61"/>
  <c r="BC61"/>
  <c r="B227"/>
  <c r="BC227"/>
  <c r="B204"/>
  <c r="BC204"/>
  <c r="B166"/>
  <c r="BC166"/>
  <c r="B84"/>
  <c r="BC84"/>
  <c r="B134"/>
  <c r="BC134"/>
  <c r="B120"/>
  <c r="BC120"/>
  <c r="B136"/>
  <c r="BC136"/>
  <c r="B195"/>
  <c r="BC195"/>
  <c r="B128"/>
  <c r="BC128"/>
  <c r="B181"/>
  <c r="BC181"/>
  <c r="B73"/>
  <c r="BC73"/>
  <c r="B239"/>
  <c r="BC239"/>
  <c r="B104"/>
  <c r="BC104"/>
  <c r="B230"/>
  <c r="BC230"/>
  <c r="B212"/>
  <c r="BC212"/>
  <c r="B113"/>
  <c r="BC113"/>
  <c r="B48"/>
  <c r="BC48"/>
  <c r="B116"/>
  <c r="BC116"/>
  <c r="B208"/>
  <c r="BC208"/>
  <c r="B214"/>
  <c r="BC214"/>
  <c r="B109"/>
  <c r="BC109"/>
  <c r="B179"/>
  <c r="BC179"/>
  <c r="B175"/>
  <c r="BC175"/>
  <c r="B88"/>
  <c r="BC88"/>
  <c r="B217"/>
  <c r="BC217"/>
  <c r="B132"/>
  <c r="BC132"/>
  <c r="B165"/>
  <c r="BC165"/>
  <c r="B232"/>
  <c r="BC232"/>
  <c r="B127"/>
  <c r="BC127"/>
  <c r="B177"/>
  <c r="BC177"/>
  <c r="B146"/>
  <c r="BC146"/>
  <c r="B246"/>
  <c r="BC246"/>
  <c r="BJ85"/>
  <c r="BC85"/>
  <c r="B200"/>
  <c r="BC200"/>
  <c r="B171"/>
  <c r="BC171"/>
  <c r="B149"/>
  <c r="BC149"/>
  <c r="B191"/>
  <c r="BC191"/>
  <c r="B189"/>
  <c r="BC189"/>
  <c r="B173"/>
  <c r="BC173"/>
  <c r="B148"/>
  <c r="BC148"/>
  <c r="B51"/>
  <c r="BC51"/>
  <c r="B159"/>
  <c r="BC159"/>
  <c r="B53"/>
  <c r="BC53"/>
  <c r="B163"/>
  <c r="BC163"/>
  <c r="B103"/>
  <c r="BC103"/>
  <c r="B242"/>
  <c r="BC242"/>
  <c r="B184"/>
  <c r="BC184"/>
  <c r="B47"/>
  <c r="BC47"/>
  <c r="B89"/>
  <c r="BC89"/>
  <c r="B196"/>
  <c r="BC196"/>
  <c r="B15"/>
  <c r="BC15"/>
  <c r="B38"/>
  <c r="BC38"/>
  <c r="B65"/>
  <c r="BC65"/>
  <c r="B12"/>
  <c r="BC12"/>
  <c r="B6"/>
  <c r="BC6"/>
  <c r="B40"/>
  <c r="BC40"/>
  <c r="B23"/>
  <c r="BC23"/>
  <c r="B11"/>
  <c r="BC11"/>
  <c r="B18"/>
  <c r="BC18"/>
  <c r="B5"/>
  <c r="BC5"/>
  <c r="B170"/>
  <c r="BC170"/>
  <c r="B32"/>
  <c r="BC32"/>
  <c r="B100"/>
  <c r="BC100"/>
  <c r="B111"/>
  <c r="BC111"/>
  <c r="B126"/>
  <c r="BC126"/>
  <c r="B28"/>
  <c r="BC28"/>
  <c r="B56"/>
  <c r="BC56"/>
  <c r="B93"/>
  <c r="BC93"/>
  <c r="B8"/>
  <c r="BC8"/>
  <c r="B115"/>
  <c r="BC115"/>
  <c r="B240"/>
  <c r="BC240"/>
  <c r="B121"/>
  <c r="BC121"/>
  <c r="B87"/>
  <c r="BC87"/>
  <c r="B66"/>
  <c r="BC66"/>
  <c r="B22"/>
  <c r="BC22"/>
  <c r="B225"/>
  <c r="BC225"/>
  <c r="B78"/>
  <c r="BC78"/>
  <c r="B158"/>
  <c r="BC158"/>
  <c r="B108"/>
  <c r="BC108"/>
  <c r="B49"/>
  <c r="BC49"/>
  <c r="B86"/>
  <c r="BC86"/>
  <c r="B157"/>
  <c r="BC157"/>
  <c r="B69"/>
  <c r="BC69"/>
  <c r="B101"/>
  <c r="BC101"/>
  <c r="B180"/>
  <c r="BC180"/>
  <c r="B137"/>
  <c r="BC137"/>
  <c r="B35"/>
  <c r="BC35"/>
  <c r="B238"/>
  <c r="BC238"/>
  <c r="B228"/>
  <c r="BC228"/>
  <c r="B102"/>
  <c r="BC102"/>
  <c r="B59"/>
  <c r="BC59"/>
  <c r="B215"/>
  <c r="BC215"/>
  <c r="B199"/>
  <c r="BC199"/>
  <c r="B112"/>
  <c r="BC112"/>
  <c r="B198"/>
  <c r="BC198"/>
  <c r="B17"/>
  <c r="BC17"/>
  <c r="B123"/>
  <c r="BC123"/>
  <c r="B75"/>
  <c r="BC75"/>
  <c r="B98"/>
  <c r="BC98"/>
  <c r="B10"/>
  <c r="BC10"/>
  <c r="B160"/>
  <c r="BC160"/>
  <c r="B74"/>
  <c r="BC74"/>
  <c r="B213"/>
  <c r="BC213"/>
  <c r="B237"/>
  <c r="BC237"/>
  <c r="B241"/>
  <c r="BC241"/>
  <c r="B106"/>
  <c r="BC106"/>
  <c r="B174"/>
  <c r="BC174"/>
  <c r="B130"/>
  <c r="BC130"/>
  <c r="B203"/>
  <c r="BC203"/>
  <c r="B221"/>
  <c r="BC221"/>
  <c r="B94"/>
  <c r="BC94"/>
  <c r="B90"/>
  <c r="BC90"/>
  <c r="B233"/>
  <c r="BC233"/>
  <c r="B229"/>
  <c r="BC229"/>
  <c r="B178"/>
  <c r="BC178"/>
  <c r="B236"/>
  <c r="BC236"/>
  <c r="B147"/>
  <c r="BC147"/>
  <c r="B81"/>
  <c r="BC81"/>
  <c r="B70"/>
  <c r="BC70"/>
  <c r="B224"/>
  <c r="BC224"/>
  <c r="B201"/>
  <c r="BC201"/>
  <c r="B42"/>
  <c r="BC42"/>
  <c r="B125"/>
  <c r="BC125"/>
  <c r="B43"/>
  <c r="BC43"/>
  <c r="B218"/>
  <c r="BC218"/>
  <c r="B222"/>
  <c r="BC222"/>
  <c r="B244"/>
  <c r="BC244"/>
  <c r="B243"/>
  <c r="BC243"/>
  <c r="B220"/>
  <c r="BC220"/>
  <c r="B190"/>
  <c r="BC190"/>
  <c r="B231"/>
  <c r="BC231"/>
  <c r="B72"/>
  <c r="BC72"/>
  <c r="B156"/>
  <c r="BC156"/>
  <c r="B122"/>
  <c r="BC122"/>
  <c r="B142"/>
  <c r="BC142"/>
  <c r="B64"/>
  <c r="BC64"/>
  <c r="B193"/>
  <c r="BC193"/>
  <c r="B140"/>
  <c r="BC140"/>
  <c r="B188"/>
  <c r="BC188"/>
  <c r="B183"/>
  <c r="BC183"/>
  <c r="B245"/>
  <c r="BC245"/>
  <c r="B153"/>
  <c r="BC153"/>
  <c r="B79"/>
  <c r="BC79"/>
  <c r="B144"/>
  <c r="BC144"/>
  <c r="B206"/>
  <c r="BC206"/>
  <c r="B58"/>
  <c r="BC58"/>
  <c r="B37"/>
  <c r="BC37"/>
  <c r="B167"/>
  <c r="BC167"/>
  <c r="B194"/>
  <c r="BC194"/>
  <c r="B82"/>
  <c r="BC82"/>
  <c r="B80"/>
  <c r="BC80"/>
  <c r="B186"/>
  <c r="BC186"/>
  <c r="B216"/>
  <c r="BC216"/>
  <c r="B145"/>
  <c r="BC145"/>
  <c r="B210"/>
  <c r="BC210"/>
  <c r="B182"/>
  <c r="BC182"/>
  <c r="B118"/>
  <c r="BC118"/>
  <c r="B161"/>
  <c r="BC161"/>
  <c r="B185"/>
  <c r="BC185"/>
  <c r="B211"/>
  <c r="BC211"/>
  <c r="B207"/>
  <c r="BC207"/>
  <c r="B119"/>
  <c r="BC119"/>
  <c r="B150"/>
  <c r="BC150"/>
  <c r="B141"/>
  <c r="BC141"/>
  <c r="B29"/>
  <c r="BC29"/>
  <c r="B13"/>
  <c r="BC13"/>
  <c r="B9"/>
  <c r="B36"/>
  <c r="B85"/>
  <c r="B114"/>
  <c r="B44"/>
  <c r="B176"/>
  <c r="B71"/>
  <c r="B25"/>
  <c r="B172"/>
  <c r="BJ44"/>
  <c r="BJ36"/>
  <c r="AZ149"/>
  <c r="AZ207"/>
  <c r="AZ179"/>
  <c r="AZ54"/>
  <c r="AZ132"/>
  <c r="AZ183"/>
  <c r="AZ194"/>
  <c r="AZ51"/>
  <c r="AZ163"/>
  <c r="AZ146"/>
  <c r="AZ35"/>
  <c r="AZ185"/>
  <c r="AZ208"/>
  <c r="AZ113"/>
  <c r="AZ61"/>
  <c r="AZ36"/>
  <c r="AZ172"/>
  <c r="AZ214"/>
  <c r="AZ159"/>
  <c r="AZ162"/>
  <c r="AZ236"/>
  <c r="AZ231"/>
  <c r="AZ227"/>
  <c r="AZ74"/>
  <c r="AZ48"/>
  <c r="AZ85"/>
  <c r="AZ116"/>
  <c r="AZ63"/>
  <c r="AZ206"/>
  <c r="AZ120"/>
  <c r="AZ42"/>
  <c r="AZ53"/>
  <c r="AZ137"/>
  <c r="AZ102"/>
  <c r="AZ115"/>
  <c r="AZ165"/>
  <c r="AZ76"/>
  <c r="AZ111"/>
  <c r="AZ129"/>
  <c r="AZ56"/>
  <c r="AZ224"/>
  <c r="AZ213"/>
  <c r="AZ155"/>
  <c r="AZ49"/>
  <c r="AZ87"/>
  <c r="AZ245"/>
  <c r="AZ223"/>
  <c r="AZ96"/>
  <c r="AZ92"/>
  <c r="AZ197"/>
  <c r="AZ170"/>
  <c r="AZ228"/>
  <c r="AZ101"/>
  <c r="AZ108"/>
  <c r="AZ226"/>
  <c r="AZ201"/>
  <c r="AZ18"/>
  <c r="AZ10"/>
  <c r="AZ154"/>
  <c r="AZ93"/>
  <c r="AZ215"/>
  <c r="AZ16"/>
  <c r="AZ31"/>
  <c r="AZ219"/>
  <c r="AZ235"/>
  <c r="AZ14"/>
  <c r="AZ202"/>
  <c r="AZ209"/>
  <c r="AZ26"/>
  <c r="AZ19"/>
  <c r="AZ21"/>
  <c r="AZ110"/>
  <c r="AZ7"/>
  <c r="AZ65"/>
  <c r="AZ11"/>
  <c r="AZ9"/>
  <c r="AZ30"/>
  <c r="AZ100"/>
  <c r="AZ69"/>
  <c r="AZ70"/>
  <c r="AZ127"/>
  <c r="AZ244"/>
  <c r="AZ134"/>
  <c r="AZ130"/>
  <c r="AZ229"/>
  <c r="AZ118"/>
  <c r="AZ221"/>
  <c r="AZ37"/>
  <c r="AZ80"/>
  <c r="AZ79"/>
  <c r="AZ178"/>
  <c r="AZ50"/>
  <c r="AZ177"/>
  <c r="AZ181"/>
  <c r="AZ182"/>
  <c r="AZ232"/>
  <c r="AZ90"/>
  <c r="AZ97"/>
  <c r="AZ204"/>
  <c r="AZ140"/>
  <c r="AZ128"/>
  <c r="AZ171"/>
  <c r="AZ123"/>
  <c r="AZ158"/>
  <c r="AZ156"/>
  <c r="AZ117"/>
  <c r="AZ22"/>
  <c r="AZ73"/>
  <c r="AZ124"/>
  <c r="AZ241"/>
  <c r="AZ142"/>
  <c r="AZ58"/>
  <c r="AZ217"/>
  <c r="AZ86"/>
  <c r="AZ212"/>
  <c r="AZ52"/>
  <c r="AZ59"/>
  <c r="AZ188"/>
  <c r="AZ135"/>
  <c r="AZ136"/>
  <c r="AZ98"/>
  <c r="AZ243"/>
  <c r="AZ112"/>
  <c r="AZ17"/>
  <c r="AZ240"/>
  <c r="AZ145"/>
  <c r="AZ8"/>
  <c r="AZ40"/>
  <c r="AZ104"/>
  <c r="AZ77"/>
  <c r="AZ168"/>
  <c r="AZ20"/>
  <c r="AZ28"/>
  <c r="AZ62"/>
  <c r="AZ45"/>
  <c r="AZ78"/>
  <c r="AZ27"/>
  <c r="AZ68"/>
  <c r="AZ151"/>
  <c r="AZ95"/>
  <c r="AZ237"/>
  <c r="AZ29"/>
  <c r="AZ32"/>
  <c r="AZ160"/>
  <c r="AZ5"/>
  <c r="AZ24"/>
  <c r="AZ105"/>
  <c r="AZ225"/>
  <c r="AZ23"/>
  <c r="AZ234"/>
  <c r="AZ205"/>
  <c r="AZ66"/>
  <c r="AZ33"/>
  <c r="AZ46"/>
  <c r="AZ25"/>
  <c r="AZ15"/>
  <c r="AZ107"/>
  <c r="AZ6"/>
  <c r="AZ121"/>
  <c r="AZ83"/>
  <c r="AZ12"/>
  <c r="AZ99"/>
  <c r="AZ199"/>
  <c r="AZ198"/>
  <c r="AZ246"/>
  <c r="AZ239"/>
  <c r="AZ43"/>
  <c r="AZ173"/>
  <c r="AZ191"/>
  <c r="AZ75"/>
  <c r="AZ67"/>
  <c r="AZ195"/>
  <c r="AZ144"/>
  <c r="AZ41"/>
  <c r="AZ216"/>
  <c r="AZ82"/>
  <c r="AZ218"/>
  <c r="AZ47"/>
  <c r="AZ233"/>
  <c r="AZ89"/>
  <c r="AZ238"/>
  <c r="AZ125"/>
  <c r="AZ122"/>
  <c r="AZ193"/>
  <c r="AZ84"/>
  <c r="AZ166"/>
  <c r="AZ72"/>
  <c r="AZ192"/>
  <c r="AZ190"/>
  <c r="AZ230"/>
  <c r="AZ148"/>
  <c r="AZ186"/>
  <c r="AZ196"/>
  <c r="AZ152"/>
  <c r="AZ39"/>
  <c r="AZ126"/>
  <c r="AZ55"/>
  <c r="AZ57"/>
  <c r="AZ180"/>
  <c r="AZ88"/>
  <c r="AZ143"/>
  <c r="AZ133"/>
  <c r="AZ141"/>
  <c r="AZ60"/>
  <c r="AZ147"/>
  <c r="AZ106"/>
  <c r="AZ13"/>
  <c r="AZ94"/>
  <c r="AZ157"/>
  <c r="AZ119"/>
  <c r="AZ187"/>
  <c r="AZ167"/>
  <c r="AZ109"/>
  <c r="AZ91"/>
  <c r="AZ184"/>
  <c r="AZ103"/>
  <c r="AZ64"/>
  <c r="AZ242"/>
  <c r="AZ161"/>
  <c r="AZ220"/>
  <c r="AZ189"/>
  <c r="AZ210"/>
  <c r="AZ150"/>
  <c r="AZ81"/>
  <c r="AZ203"/>
  <c r="AZ222"/>
  <c r="AZ211"/>
  <c r="AZ174"/>
  <c r="AZ200"/>
  <c r="AZ175"/>
  <c r="AZ153"/>
  <c r="AZ34"/>
  <c r="AZ38"/>
  <c r="AZ44"/>
  <c r="AZ71"/>
  <c r="AZ176"/>
  <c r="AZ114"/>
  <c r="BI60"/>
  <c r="BH98"/>
  <c r="BH236"/>
  <c r="BH95"/>
  <c r="BI93"/>
  <c r="BG149"/>
  <c r="BI149"/>
  <c r="BH135"/>
  <c r="BG174"/>
  <c r="BH174"/>
  <c r="BI174"/>
  <c r="BH150"/>
  <c r="BI171"/>
  <c r="BH93"/>
  <c r="BI81"/>
  <c r="BG60"/>
  <c r="BG150"/>
  <c r="BG95"/>
  <c r="BI236"/>
  <c r="BH60"/>
  <c r="BG135"/>
  <c r="BI98"/>
  <c r="BI79"/>
  <c r="BH79"/>
  <c r="BG98"/>
  <c r="BH171"/>
  <c r="BI150"/>
  <c r="BG79"/>
  <c r="BH149"/>
  <c r="BI217"/>
  <c r="BG93"/>
  <c r="BG81"/>
  <c r="BG236"/>
  <c r="BH142"/>
  <c r="BI42"/>
  <c r="BH42"/>
  <c r="BH81"/>
  <c r="BG217"/>
  <c r="BG171"/>
  <c r="BI135"/>
  <c r="BH217"/>
  <c r="BI96"/>
  <c r="BI142"/>
  <c r="BH96"/>
  <c r="BG96"/>
  <c r="BG42"/>
  <c r="BG142"/>
  <c r="BG65"/>
  <c r="BI65"/>
  <c r="BH65"/>
  <c r="BI95"/>
  <c r="BI26"/>
  <c r="BI32"/>
  <c r="BH37"/>
  <c r="BG28"/>
  <c r="BG33"/>
  <c r="BG30"/>
  <c r="BI24"/>
  <c r="BH18"/>
  <c r="BI7"/>
  <c r="BI35"/>
  <c r="BH35"/>
  <c r="BH19"/>
  <c r="BI19"/>
  <c r="BH10"/>
  <c r="BH8"/>
  <c r="BH34"/>
  <c r="BG10"/>
  <c r="BH26"/>
  <c r="BG32"/>
  <c r="BG11"/>
  <c r="BH11"/>
  <c r="BI27"/>
  <c r="BH32"/>
  <c r="BH24"/>
  <c r="BH12"/>
  <c r="BH33"/>
  <c r="BH28"/>
  <c r="BI37"/>
  <c r="BG26"/>
  <c r="BG37"/>
  <c r="BI28"/>
  <c r="BH25"/>
  <c r="BG27"/>
  <c r="BG18"/>
  <c r="BH29"/>
  <c r="BG29"/>
  <c r="BI12"/>
  <c r="BH36"/>
  <c r="BI10"/>
  <c r="BG19"/>
  <c r="BG35"/>
  <c r="BG23"/>
  <c r="BG34"/>
  <c r="BG25"/>
  <c r="BI8"/>
  <c r="BH23"/>
  <c r="BH7"/>
  <c r="BH27"/>
  <c r="BG24"/>
  <c r="BG8"/>
  <c r="BG7"/>
  <c r="BI30"/>
  <c r="BH30"/>
  <c r="BI36"/>
  <c r="BG36"/>
  <c r="BG12"/>
  <c r="BI29"/>
  <c r="BI23"/>
  <c r="BI11"/>
  <c r="BI18"/>
  <c r="BI33"/>
  <c r="BI25"/>
  <c r="BI34"/>
  <c r="BG31"/>
  <c r="BH31"/>
  <c r="BI31"/>
  <c r="BG189"/>
  <c r="BH189"/>
  <c r="BI189"/>
  <c r="BG131"/>
  <c r="BH131"/>
  <c r="BI131"/>
  <c r="BG138"/>
  <c r="BH138"/>
  <c r="BI138"/>
  <c r="BH71"/>
  <c r="BG71"/>
  <c r="BI71"/>
  <c r="BG169"/>
  <c r="BH169"/>
  <c r="BI169"/>
  <c r="BG139"/>
  <c r="BH139"/>
  <c r="BI139"/>
  <c r="BG164"/>
  <c r="BH164"/>
  <c r="BI164"/>
  <c r="BH120"/>
  <c r="BH185"/>
  <c r="BG228"/>
  <c r="BH94"/>
  <c r="BI94"/>
  <c r="BI194"/>
  <c r="BH179"/>
  <c r="BI179"/>
  <c r="BI167"/>
  <c r="BI154"/>
  <c r="BH173"/>
  <c r="BI148"/>
  <c r="BI175"/>
  <c r="BI41"/>
  <c r="BH243"/>
  <c r="BH192"/>
  <c r="BG110"/>
  <c r="BH14"/>
  <c r="BH140"/>
  <c r="BI59"/>
  <c r="BG116"/>
  <c r="BG48"/>
  <c r="BI109"/>
  <c r="BH198"/>
  <c r="BI198"/>
  <c r="BI63"/>
  <c r="BI210"/>
  <c r="BI212"/>
  <c r="BH146"/>
  <c r="BH209"/>
  <c r="BG5"/>
  <c r="BG233"/>
  <c r="BG204"/>
  <c r="BH170"/>
  <c r="BG49"/>
  <c r="BH177"/>
  <c r="BG43"/>
  <c r="BG50"/>
  <c r="BG223"/>
  <c r="BH223"/>
  <c r="BH101"/>
  <c r="BG106"/>
  <c r="BG99"/>
  <c r="BG240"/>
  <c r="BH73"/>
  <c r="BG112"/>
  <c r="BH89"/>
  <c r="BH166"/>
  <c r="BH72"/>
  <c r="BH224"/>
  <c r="BI168"/>
  <c r="BH156"/>
  <c r="BI137"/>
  <c r="BH107"/>
  <c r="BH157"/>
  <c r="BI16"/>
  <c r="BI153"/>
  <c r="BI88"/>
  <c r="BG147"/>
  <c r="BH147"/>
  <c r="BI147"/>
  <c r="BH68"/>
  <c r="BG162"/>
  <c r="BI162"/>
  <c r="BH162"/>
  <c r="BH133"/>
  <c r="BH227"/>
  <c r="BH187"/>
  <c r="BI187"/>
  <c r="BI221"/>
  <c r="BI178"/>
  <c r="BH115"/>
  <c r="BI115"/>
  <c r="BI125"/>
  <c r="BH125"/>
  <c r="BI86"/>
  <c r="BG97"/>
  <c r="BH97"/>
  <c r="BI97"/>
  <c r="BG244"/>
  <c r="BH244"/>
  <c r="BI244"/>
  <c r="BG124"/>
  <c r="BH124"/>
  <c r="BI124"/>
  <c r="BI151"/>
  <c r="BG197"/>
  <c r="BI197"/>
  <c r="BH197"/>
  <c r="BG159"/>
  <c r="BH159"/>
  <c r="BI159"/>
  <c r="BG172"/>
  <c r="BG126"/>
  <c r="BI126"/>
  <c r="BH126"/>
  <c r="BG92"/>
  <c r="BI92"/>
  <c r="BH92"/>
  <c r="BH237"/>
  <c r="BH232"/>
  <c r="BH117"/>
  <c r="BI117"/>
  <c r="BG167"/>
  <c r="BI100"/>
  <c r="BG220"/>
  <c r="BI220"/>
  <c r="BG190"/>
  <c r="BH190"/>
  <c r="BI190"/>
  <c r="BH211"/>
  <c r="BG113"/>
  <c r="BI113"/>
  <c r="BH119"/>
  <c r="BI119"/>
  <c r="BG67"/>
  <c r="BH67"/>
  <c r="BI82"/>
  <c r="BI182"/>
  <c r="BH136"/>
  <c r="BH128"/>
  <c r="BH80"/>
  <c r="BH74"/>
  <c r="BI74"/>
  <c r="BI152"/>
  <c r="BH54"/>
  <c r="BI54"/>
  <c r="BI132"/>
  <c r="BH104"/>
  <c r="BH155"/>
  <c r="BH160"/>
  <c r="BH180"/>
  <c r="BI180"/>
  <c r="BI163"/>
  <c r="BH75"/>
  <c r="BI75"/>
  <c r="BI133"/>
  <c r="BH52"/>
  <c r="BH205"/>
  <c r="BH45"/>
  <c r="BH234"/>
  <c r="BI234"/>
  <c r="BI145"/>
  <c r="BI108"/>
  <c r="BI158"/>
  <c r="BH66"/>
  <c r="BI87"/>
  <c r="BH121"/>
  <c r="BH127"/>
  <c r="BI127"/>
  <c r="BI240"/>
  <c r="BH161"/>
  <c r="BH69"/>
  <c r="BH62"/>
  <c r="BI6"/>
  <c r="BH39"/>
  <c r="BG20"/>
  <c r="BG243"/>
  <c r="BG59"/>
  <c r="BG205"/>
  <c r="BG109"/>
  <c r="BG198"/>
  <c r="BG63"/>
  <c r="BG212"/>
  <c r="BG231"/>
  <c r="BG200"/>
  <c r="BG209"/>
  <c r="BG69"/>
  <c r="BG22"/>
  <c r="BG168"/>
  <c r="BG57"/>
  <c r="BG137"/>
  <c r="BG136"/>
  <c r="BG157"/>
  <c r="BG178"/>
  <c r="BG125"/>
  <c r="BG72"/>
  <c r="BH55"/>
  <c r="BI206"/>
  <c r="BG193"/>
  <c r="BH214"/>
  <c r="BI136"/>
  <c r="BG134"/>
  <c r="BG166"/>
  <c r="BG66"/>
  <c r="BI235"/>
  <c r="BG191"/>
  <c r="BI207"/>
  <c r="BG218"/>
  <c r="BG70"/>
  <c r="BG90"/>
  <c r="BG226"/>
  <c r="BH63"/>
  <c r="BH20"/>
  <c r="BG123"/>
  <c r="BH59"/>
  <c r="BH228"/>
  <c r="BH105"/>
  <c r="BG14"/>
  <c r="BH16"/>
  <c r="BH111"/>
  <c r="BG170"/>
  <c r="BG196"/>
  <c r="BI47"/>
  <c r="BG207"/>
  <c r="BG185"/>
  <c r="BI51"/>
  <c r="BG148"/>
  <c r="BI85"/>
  <c r="BI183"/>
  <c r="BI122"/>
  <c r="BI181"/>
  <c r="BI226"/>
  <c r="BH123"/>
  <c r="BH226"/>
  <c r="BG203"/>
  <c r="BG201"/>
  <c r="BH239"/>
  <c r="BH99"/>
  <c r="BI102"/>
  <c r="BH184"/>
  <c r="BH216"/>
  <c r="BG173"/>
  <c r="BI200"/>
  <c r="BI246"/>
  <c r="BG245"/>
  <c r="BH88"/>
  <c r="BG122"/>
  <c r="BH231"/>
  <c r="BI239"/>
  <c r="BI195"/>
  <c r="BH5"/>
  <c r="BI83"/>
  <c r="BI107"/>
  <c r="BI223"/>
  <c r="BH137"/>
  <c r="BH102"/>
  <c r="BH215"/>
  <c r="BH112"/>
  <c r="BI50"/>
  <c r="BI192"/>
  <c r="BH143"/>
  <c r="BH154"/>
  <c r="BG229"/>
  <c r="BI201"/>
  <c r="BI218"/>
  <c r="BH212"/>
  <c r="BH48"/>
  <c r="BH83"/>
  <c r="BH110"/>
  <c r="BI22"/>
  <c r="BG101"/>
  <c r="BH77"/>
  <c r="BH57"/>
  <c r="BG215"/>
  <c r="BH106"/>
  <c r="BH221"/>
  <c r="BI73"/>
  <c r="BH222"/>
  <c r="BI156"/>
  <c r="BH64"/>
  <c r="BH245"/>
  <c r="BH85"/>
  <c r="BH191"/>
  <c r="BH51"/>
  <c r="BH103"/>
  <c r="BH47"/>
  <c r="BH196"/>
  <c r="BH241"/>
  <c r="BH213"/>
  <c r="BI67"/>
  <c r="BI20"/>
  <c r="BG17"/>
  <c r="BI219"/>
  <c r="BH43"/>
  <c r="BI48"/>
  <c r="BH208"/>
  <c r="BI72"/>
  <c r="BG179"/>
  <c r="BH193"/>
  <c r="BI165"/>
  <c r="BH172"/>
  <c r="BI232"/>
  <c r="BI146"/>
  <c r="BI58"/>
  <c r="BG194"/>
  <c r="BI186"/>
  <c r="BH148"/>
  <c r="BG118"/>
  <c r="BH207"/>
  <c r="BI143"/>
  <c r="BH13"/>
  <c r="BI17"/>
  <c r="BG39"/>
  <c r="BH6"/>
  <c r="BH87"/>
  <c r="BH158"/>
  <c r="BG52"/>
  <c r="BG192"/>
  <c r="BI160"/>
  <c r="BH134"/>
  <c r="BI120"/>
  <c r="BH181"/>
  <c r="BI214"/>
  <c r="BI77"/>
  <c r="BI215"/>
  <c r="BI55"/>
  <c r="BI89"/>
  <c r="BH246"/>
  <c r="BI112"/>
  <c r="BI123"/>
  <c r="BI99"/>
  <c r="BI106"/>
  <c r="BI101"/>
  <c r="BH201"/>
  <c r="BI43"/>
  <c r="BI199"/>
  <c r="BH199"/>
  <c r="BI49"/>
  <c r="BH49"/>
  <c r="BI229"/>
  <c r="BH229"/>
  <c r="BI170"/>
  <c r="BI84"/>
  <c r="BH204"/>
  <c r="BH17"/>
  <c r="BI233"/>
  <c r="BI5"/>
  <c r="BH200"/>
  <c r="BH206"/>
  <c r="BH210"/>
  <c r="BI141"/>
  <c r="BH141"/>
  <c r="BI238"/>
  <c r="BH238"/>
  <c r="BI111"/>
  <c r="BI213"/>
  <c r="BI245"/>
  <c r="BI52"/>
  <c r="BI110"/>
  <c r="BH118"/>
  <c r="BI70"/>
  <c r="BH203"/>
  <c r="BH175"/>
  <c r="BH90"/>
  <c r="BH219"/>
  <c r="BG154"/>
  <c r="BH167"/>
  <c r="BH194"/>
  <c r="BG94"/>
  <c r="BI228"/>
  <c r="BH186"/>
  <c r="BG102"/>
  <c r="BI144"/>
  <c r="BI15"/>
  <c r="BH15"/>
  <c r="BH21"/>
  <c r="BG55"/>
  <c r="BG232"/>
  <c r="BI177"/>
  <c r="BH242"/>
  <c r="BI172"/>
  <c r="BH122"/>
  <c r="BH116"/>
  <c r="BG181"/>
  <c r="BG120"/>
  <c r="BG84"/>
  <c r="BI166"/>
  <c r="BG54"/>
  <c r="BI203"/>
  <c r="BI13"/>
  <c r="BH41"/>
  <c r="BH151"/>
  <c r="BG158"/>
  <c r="BG87"/>
  <c r="BG85"/>
  <c r="BI191"/>
  <c r="BI173"/>
  <c r="BI103"/>
  <c r="BG89"/>
  <c r="BH165"/>
  <c r="BH109"/>
  <c r="BI231"/>
  <c r="BI243"/>
  <c r="BI222"/>
  <c r="BH218"/>
  <c r="BI224"/>
  <c r="BH70"/>
  <c r="BH233"/>
  <c r="BI90"/>
  <c r="BG219"/>
  <c r="BI91"/>
  <c r="BH100"/>
  <c r="BG15"/>
  <c r="BG62"/>
  <c r="BG103"/>
  <c r="BG86"/>
  <c r="BG184"/>
  <c r="BG88"/>
  <c r="BG16"/>
  <c r="BG58"/>
  <c r="BG107"/>
  <c r="BG51"/>
  <c r="BG222"/>
  <c r="BG186"/>
  <c r="BG239"/>
  <c r="BG156"/>
  <c r="BG21"/>
  <c r="BG224"/>
  <c r="BG216"/>
  <c r="BG47"/>
  <c r="BG206"/>
  <c r="BG141"/>
  <c r="BG238"/>
  <c r="BG111"/>
  <c r="BG105"/>
  <c r="BG213"/>
  <c r="BG165"/>
  <c r="BG143"/>
  <c r="BH40"/>
  <c r="BG40"/>
  <c r="BG6"/>
  <c r="BI69"/>
  <c r="BG161"/>
  <c r="BH76"/>
  <c r="BG127"/>
  <c r="BG91"/>
  <c r="BG78"/>
  <c r="BH130"/>
  <c r="BG130"/>
  <c r="BG108"/>
  <c r="BH188"/>
  <c r="BG188"/>
  <c r="BG77"/>
  <c r="BG133"/>
  <c r="BG75"/>
  <c r="BH163"/>
  <c r="BG163"/>
  <c r="BG180"/>
  <c r="BG160"/>
  <c r="BG144"/>
  <c r="BG155"/>
  <c r="BG104"/>
  <c r="BG221"/>
  <c r="BG132"/>
  <c r="BH152"/>
  <c r="BG152"/>
  <c r="BI134"/>
  <c r="BG61"/>
  <c r="BG182"/>
  <c r="BH82"/>
  <c r="BG119"/>
  <c r="BH113"/>
  <c r="BG211"/>
  <c r="BH220"/>
  <c r="BG100"/>
  <c r="BG117"/>
  <c r="BH86"/>
  <c r="BH178"/>
  <c r="BG187"/>
  <c r="BG227"/>
  <c r="BH153"/>
  <c r="BI76"/>
  <c r="BI188"/>
  <c r="BI53"/>
  <c r="BI130"/>
  <c r="BI128"/>
  <c r="BI66"/>
  <c r="BI57"/>
  <c r="BI64"/>
  <c r="BI21"/>
  <c r="BG237"/>
  <c r="BH132"/>
  <c r="BH144"/>
  <c r="BH145"/>
  <c r="BH235"/>
  <c r="BH240"/>
  <c r="BH22"/>
  <c r="BH195"/>
  <c r="BG73"/>
  <c r="BG64"/>
  <c r="BH91"/>
  <c r="BH108"/>
  <c r="BG115"/>
  <c r="BG146"/>
  <c r="BG235"/>
  <c r="BG83"/>
  <c r="BI161"/>
  <c r="BG234"/>
  <c r="BG195"/>
  <c r="BG214"/>
  <c r="BG242"/>
  <c r="BI78"/>
  <c r="BH78"/>
  <c r="BH168"/>
  <c r="BH50"/>
  <c r="BI237"/>
  <c r="BG74"/>
  <c r="BH53"/>
  <c r="BG53"/>
  <c r="BH56"/>
  <c r="BI46"/>
  <c r="BI56"/>
  <c r="BG225"/>
  <c r="BG202"/>
  <c r="BI104"/>
  <c r="BH182"/>
  <c r="BH46"/>
  <c r="BG46"/>
  <c r="BH225"/>
  <c r="BI202"/>
  <c r="BH202"/>
  <c r="BI61"/>
  <c r="BG129"/>
  <c r="BG68"/>
  <c r="BH38"/>
  <c r="BG38"/>
  <c r="BI129"/>
  <c r="BH129"/>
  <c r="BI68"/>
  <c r="BH61"/>
  <c r="BH84"/>
  <c r="BH230"/>
  <c r="BG230"/>
  <c r="BG210"/>
  <c r="BI38"/>
  <c r="BH44"/>
  <c r="BG44"/>
  <c r="BI44"/>
  <c r="BI230"/>
  <c r="BI193"/>
  <c r="BG176"/>
  <c r="BH176"/>
  <c r="BI176"/>
  <c r="BI205"/>
  <c r="BI227"/>
  <c r="BG183"/>
  <c r="BH183"/>
  <c r="BI114"/>
  <c r="BG145"/>
  <c r="BG177"/>
  <c r="BG114"/>
  <c r="BH114"/>
  <c r="BG82"/>
  <c r="BG13"/>
  <c r="BI241"/>
  <c r="BI208"/>
  <c r="BG140"/>
  <c r="BG9"/>
  <c r="BG241"/>
  <c r="BI204"/>
  <c r="BG208"/>
  <c r="BI140"/>
  <c r="BI80"/>
  <c r="BH58"/>
  <c r="BI9"/>
  <c r="BH9"/>
  <c r="BG56"/>
  <c r="BI121"/>
  <c r="BI225"/>
  <c r="BG76"/>
  <c r="BG151"/>
  <c r="BI45"/>
  <c r="BG128"/>
  <c r="BI116"/>
  <c r="BG80"/>
  <c r="BG121"/>
  <c r="BG45"/>
  <c r="BG41"/>
  <c r="BI216"/>
  <c r="BI40"/>
  <c r="BG246"/>
  <c r="BI39"/>
  <c r="BG175"/>
  <c r="BG199"/>
  <c r="BG153"/>
  <c r="BI211"/>
  <c r="BI185"/>
  <c r="BI196"/>
  <c r="BI184"/>
  <c r="BI242"/>
  <c r="BI118"/>
  <c r="BI157"/>
  <c r="BI155"/>
  <c r="BI209"/>
  <c r="BI105"/>
  <c r="BI62"/>
  <c r="BI14"/>
  <c r="A2" i="7"/>
  <c r="A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"/>
  <c r="H18" i="10"/>
  <c r="H10"/>
  <c r="H23"/>
  <c r="H11"/>
  <c r="H17"/>
  <c r="H6"/>
  <c r="H16"/>
  <c r="H12"/>
  <c r="H21"/>
  <c r="H15"/>
  <c r="H20"/>
  <c r="H9"/>
  <c r="H5"/>
  <c r="H14"/>
  <c r="H22"/>
  <c r="H13"/>
  <c r="H24"/>
  <c r="H25"/>
  <c r="H8"/>
  <c r="H19"/>
  <c r="H26"/>
  <c r="H4"/>
  <c r="H7"/>
  <c r="H3"/>
  <c r="H27"/>
  <c r="I1"/>
  <c r="G27"/>
  <c r="C4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3"/>
  <c r="D3"/>
  <c r="E3"/>
  <c r="E27"/>
  <c r="G16"/>
  <c r="F16"/>
  <c r="F3"/>
  <c r="F4"/>
  <c r="F5"/>
  <c r="F6"/>
  <c r="F7"/>
  <c r="F8"/>
  <c r="F9"/>
  <c r="F10"/>
  <c r="F11"/>
  <c r="F12"/>
  <c r="F13"/>
  <c r="F14"/>
  <c r="F15"/>
  <c r="F17"/>
  <c r="F18"/>
  <c r="F19"/>
  <c r="F20"/>
  <c r="F21"/>
  <c r="F22"/>
  <c r="F23"/>
  <c r="F24"/>
  <c r="F25"/>
  <c r="F26"/>
  <c r="I16"/>
  <c r="G20"/>
  <c r="I20"/>
  <c r="G8"/>
  <c r="I8"/>
  <c r="G13"/>
  <c r="I13"/>
  <c r="G11"/>
  <c r="I11"/>
  <c r="G9"/>
  <c r="I9"/>
  <c r="G6"/>
  <c r="I6"/>
  <c r="G14"/>
  <c r="I14"/>
  <c r="G22"/>
  <c r="I22"/>
  <c r="G7"/>
  <c r="I7"/>
  <c r="G3"/>
  <c r="I3"/>
  <c r="G12"/>
  <c r="I12"/>
  <c r="G25"/>
  <c r="I25"/>
  <c r="G21"/>
  <c r="I21"/>
  <c r="G24"/>
  <c r="I24"/>
  <c r="G18"/>
  <c r="I18"/>
  <c r="G10"/>
  <c r="I10"/>
  <c r="G15"/>
  <c r="I15"/>
  <c r="G4"/>
  <c r="I4"/>
  <c r="D27"/>
  <c r="G5"/>
  <c r="I5"/>
  <c r="G23"/>
  <c r="I23"/>
  <c r="G26"/>
  <c r="I26"/>
  <c r="G19"/>
  <c r="I19"/>
  <c r="F27"/>
  <c r="C27"/>
  <c r="G17"/>
  <c r="I1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3"/>
  <c r="B27"/>
</calcChain>
</file>

<file path=xl/sharedStrings.xml><?xml version="1.0" encoding="utf-8"?>
<sst xmlns="http://schemas.openxmlformats.org/spreadsheetml/2006/main" count="16673" uniqueCount="2138">
  <si>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</si>
  <si>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</si>
  <si>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</si>
  <si>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</si>
  <si>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</si>
  <si>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</si>
  <si>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</si>
  <si>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</si>
  <si>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</si>
  <si>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</si>
  <si>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</si>
  <si>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</si>
  <si>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</si>
  <si>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</si>
  <si>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</si>
  <si>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Normal</t>
    <phoneticPr fontId="11" type="noConversion"/>
  </si>
  <si>
    <t>Extremely Hard</t>
    <phoneticPr fontId="11" type="noConversion"/>
  </si>
  <si>
    <t>Hard</t>
    <phoneticPr fontId="11" type="noConversion"/>
  </si>
  <si>
    <t>Extremely Hard</t>
    <phoneticPr fontId="11" type="noConversion"/>
  </si>
  <si>
    <t>Hard</t>
    <phoneticPr fontId="11" type="noConversion"/>
  </si>
  <si>
    <t>Extremely Hard</t>
    <phoneticPr fontId="11" type="noConversion"/>
  </si>
  <si>
    <t>Easy</t>
    <phoneticPr fontId="11" type="noConversion"/>
  </si>
  <si>
    <t>Extremely Hard</t>
    <phoneticPr fontId="11" type="noConversion"/>
  </si>
  <si>
    <t>Extremely Hard</t>
    <phoneticPr fontId="11" type="noConversion"/>
  </si>
  <si>
    <t>Easy</t>
    <phoneticPr fontId="11" type="noConversion"/>
  </si>
  <si>
    <t>Hard</t>
    <phoneticPr fontId="11" type="noConversion"/>
  </si>
  <si>
    <t>Extremely Hard</t>
    <phoneticPr fontId="11" type="noConversion"/>
  </si>
  <si>
    <t>Easy</t>
    <phoneticPr fontId="11" type="noConversion"/>
  </si>
  <si>
    <t>Extremely Hard</t>
    <phoneticPr fontId="11" type="noConversion"/>
  </si>
  <si>
    <t>Normal</t>
    <phoneticPr fontId="11" type="noConversion"/>
  </si>
  <si>
    <t>Hard</t>
    <phoneticPr fontId="11" type="noConversion"/>
  </si>
  <si>
    <t>Hard</t>
    <phoneticPr fontId="11" type="noConversion"/>
  </si>
  <si>
    <t>Normal</t>
    <phoneticPr fontId="11" type="noConversion"/>
  </si>
  <si>
    <t>Easy</t>
    <phoneticPr fontId="11" type="noConversion"/>
  </si>
  <si>
    <t>Extremely Hard</t>
    <phoneticPr fontId="11" type="noConversion"/>
  </si>
  <si>
    <t/>
  </si>
  <si>
    <t>Easy</t>
    <phoneticPr fontId="11" type="noConversion"/>
  </si>
  <si>
    <t>Easy</t>
    <phoneticPr fontId="11" type="noConversion"/>
  </si>
  <si>
    <t>Normal</t>
    <phoneticPr fontId="11" type="noConversion"/>
  </si>
  <si>
    <t>Normal</t>
    <phoneticPr fontId="11" type="noConversion"/>
  </si>
  <si>
    <t>Extremely Hard</t>
    <phoneticPr fontId="11" type="noConversion"/>
  </si>
  <si>
    <t>Extremely Hard</t>
    <phoneticPr fontId="11" type="noConversion"/>
  </si>
  <si>
    <t>Hard</t>
    <phoneticPr fontId="11" type="noConversion"/>
  </si>
  <si>
    <t>Extremely Hard</t>
    <phoneticPr fontId="11" type="noConversion"/>
  </si>
  <si>
    <t>Very Easy</t>
    <phoneticPr fontId="11" type="noConversion"/>
  </si>
  <si>
    <t>Normal</t>
    <phoneticPr fontId="11" type="noConversion"/>
  </si>
  <si>
    <t>Extremely Hard</t>
    <phoneticPr fontId="11" type="noConversion"/>
  </si>
  <si>
    <t>Easy</t>
    <phoneticPr fontId="11" type="noConversion"/>
  </si>
  <si>
    <t>Extremely Hard</t>
    <phoneticPr fontId="11" type="noConversion"/>
  </si>
  <si>
    <t>Easy</t>
    <phoneticPr fontId="11" type="noConversion"/>
  </si>
  <si>
    <t>Normal</t>
    <phoneticPr fontId="11" type="noConversion"/>
  </si>
  <si>
    <t>Normal</t>
    <phoneticPr fontId="11" type="noConversion"/>
  </si>
  <si>
    <t>Normal</t>
    <phoneticPr fontId="11" type="noConversion"/>
  </si>
  <si>
    <t>Normal</t>
    <phoneticPr fontId="11" type="noConversion"/>
  </si>
  <si>
    <t>Hard</t>
    <phoneticPr fontId="11" type="noConversion"/>
  </si>
  <si>
    <t>Normal</t>
    <phoneticPr fontId="11" type="noConversion"/>
  </si>
  <si>
    <t>Normal</t>
    <phoneticPr fontId="11" type="noConversion"/>
  </si>
  <si>
    <t>Easy</t>
    <phoneticPr fontId="11" type="noConversion"/>
  </si>
  <si>
    <t>Very Easy</t>
    <phoneticPr fontId="11" type="noConversion"/>
  </si>
  <si>
    <t>Very Easy</t>
    <phoneticPr fontId="11" type="noConversion"/>
  </si>
  <si>
    <t>Normal</t>
    <phoneticPr fontId="11" type="noConversion"/>
  </si>
  <si>
    <t>Hard</t>
    <phoneticPr fontId="11" type="noConversion"/>
  </si>
  <si>
    <t>Easy</t>
    <phoneticPr fontId="11" type="noConversion"/>
  </si>
  <si>
    <t>Normal</t>
    <phoneticPr fontId="11" type="noConversion"/>
  </si>
  <si>
    <t>Hard</t>
    <phoneticPr fontId="11" type="noConversion"/>
  </si>
  <si>
    <t>Normal</t>
    <phoneticPr fontId="11" type="noConversion"/>
  </si>
  <si>
    <t>Normal</t>
    <phoneticPr fontId="11" type="noConversion"/>
  </si>
  <si>
    <t>Very Easy</t>
    <phoneticPr fontId="11" type="noConversion"/>
  </si>
  <si>
    <t>Extremely Hard</t>
    <phoneticPr fontId="11" type="noConversion"/>
  </si>
  <si>
    <t>Hard</t>
    <phoneticPr fontId="11" type="noConversion"/>
  </si>
  <si>
    <t>Hard</t>
    <phoneticPr fontId="11" type="noConversion"/>
  </si>
  <si>
    <t>Normal</t>
    <phoneticPr fontId="11" type="noConversion"/>
  </si>
  <si>
    <t>CFBailey Jackson21</t>
  </si>
  <si>
    <t>RFRiver Mitchell18</t>
  </si>
  <si>
    <t>3BDouglas Moon18</t>
  </si>
  <si>
    <t>3BManolito Padilla21</t>
  </si>
  <si>
    <t>3BHoward Tucker18</t>
  </si>
  <si>
    <t>SSRon Tucker21</t>
  </si>
  <si>
    <t>3BRoberto Villegas18</t>
  </si>
  <si>
    <t>3BBrian Zahn21</t>
  </si>
  <si>
    <t>MRDave Kirkpatrick18</t>
  </si>
  <si>
    <t>MRRoy Benson21</t>
  </si>
  <si>
    <t>MRCarlos Castro21</t>
  </si>
  <si>
    <t>MRDavid Eaton18</t>
  </si>
  <si>
    <t>SPKeith Mays21</t>
  </si>
  <si>
    <t>CLDave Pharr18</t>
  </si>
  <si>
    <t>SPJosé Rodríguez21</t>
  </si>
  <si>
    <t>SPFelipe Soriano18</t>
  </si>
  <si>
    <t>MRRobbie Ward21</t>
  </si>
  <si>
    <t>CLRobert Williams18</t>
  </si>
  <si>
    <t>MRKurt Archibald18</t>
  </si>
  <si>
    <t>SPPedro Croduitán18</t>
  </si>
  <si>
    <t>MRGreg Hathaway21</t>
  </si>
  <si>
    <t>SPRobbie Lowe18</t>
  </si>
  <si>
    <t>SPWillis Warren18</t>
  </si>
  <si>
    <t>MRKeith Yeo18</t>
  </si>
  <si>
    <t>zScoreBat</t>
  </si>
  <si>
    <t>All Should Remain as Batters Except:</t>
  </si>
  <si>
    <t>MRGregg Williams18</t>
  </si>
  <si>
    <t>MRSean Greene21</t>
  </si>
  <si>
    <t>SPNelson Baker21</t>
  </si>
  <si>
    <t>posRnk</t>
  </si>
  <si>
    <t>cmbRnk</t>
  </si>
  <si>
    <t>Min Ranked:</t>
  </si>
  <si>
    <t>PEBA Std:</t>
  </si>
  <si>
    <t>PEBA Avg:</t>
  </si>
  <si>
    <t>SP</t>
    <phoneticPr fontId="11" type="noConversion"/>
  </si>
  <si>
    <t>MR</t>
    <phoneticPr fontId="11" type="noConversion"/>
  </si>
  <si>
    <t>CL</t>
    <phoneticPr fontId="11" type="noConversion"/>
  </si>
  <si>
    <t>MR</t>
    <phoneticPr fontId="11" type="noConversion"/>
  </si>
  <si>
    <t>RubÈn</t>
  </si>
  <si>
    <t>JimÈnez</t>
  </si>
  <si>
    <t>Jes˙s</t>
  </si>
  <si>
    <t>LÛpez</t>
  </si>
  <si>
    <t>S·nchez</t>
  </si>
  <si>
    <t>MartÌnez</t>
  </si>
  <si>
    <t>JosÈ</t>
  </si>
  <si>
    <t>RodrÌguez</t>
  </si>
  <si>
    <t>GarcÌa</t>
  </si>
  <si>
    <t>FÈlix</t>
  </si>
  <si>
    <t>VÌctor</t>
  </si>
  <si>
    <t>Germ·n</t>
  </si>
  <si>
    <t>Hern·ndez</t>
  </si>
  <si>
    <t>FranÁois</t>
  </si>
  <si>
    <t>LÈveillÈe</t>
  </si>
  <si>
    <t>PÈrez</t>
  </si>
  <si>
    <t>AndrÈs</t>
  </si>
  <si>
    <t>Tom·s</t>
  </si>
  <si>
    <t>GÛmez</t>
  </si>
  <si>
    <t>HÈctor</t>
  </si>
  <si>
    <t>Gonz·lez</t>
  </si>
  <si>
    <t>CortÈz</t>
  </si>
  <si>
    <t>LeÛn</t>
  </si>
  <si>
    <t>Gonz·les</t>
  </si>
  <si>
    <t>OrtÌz</t>
  </si>
  <si>
    <t>M·ximo</t>
  </si>
  <si>
    <t>RamÌrez</t>
  </si>
  <si>
    <t>JoaquÌn</t>
  </si>
  <si>
    <t>RÌos</t>
  </si>
  <si>
    <t>Sym„o</t>
  </si>
  <si>
    <t>ValdÈs</t>
  </si>
  <si>
    <t>MuÒÛz</t>
  </si>
  <si>
    <t>Ra˙l</t>
  </si>
  <si>
    <t>DÌaz</t>
  </si>
  <si>
    <t>Rom·n</t>
  </si>
  <si>
    <t>Ju·rez</t>
  </si>
  <si>
    <t>MacÌas</t>
  </si>
  <si>
    <t>Vel·squez</t>
  </si>
  <si>
    <t>Ch·vez</t>
  </si>
  <si>
    <t>Iv·n</t>
  </si>
  <si>
    <t>RamÛn</t>
  </si>
  <si>
    <t>Louis-…mile</t>
  </si>
  <si>
    <t>QuiÒones</t>
  </si>
  <si>
    <t>SolÌs</t>
  </si>
  <si>
    <t>Normal</t>
    <phoneticPr fontId="11" type="noConversion"/>
  </si>
  <si>
    <t>Extremely Hard</t>
    <phoneticPr fontId="11" type="noConversion"/>
  </si>
  <si>
    <t>Easy</t>
    <phoneticPr fontId="11" type="noConversion"/>
  </si>
  <si>
    <t>Hard</t>
    <phoneticPr fontId="11" type="noConversion"/>
  </si>
  <si>
    <t>Very Easy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</si>
  <si>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</si>
  <si>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</si>
  <si>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</si>
  <si>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Extremely Hard</t>
    <phoneticPr fontId="11" type="noConversion"/>
  </si>
  <si>
    <t>Markus</t>
  </si>
  <si>
    <t>Dostie</t>
  </si>
  <si>
    <t>Zamora</t>
  </si>
  <si>
    <t>Croduitán</t>
  </si>
  <si>
    <t>Brennan</t>
  </si>
  <si>
    <t>Woodward</t>
  </si>
  <si>
    <t>Deleón</t>
  </si>
  <si>
    <t>Kokaji</t>
  </si>
  <si>
    <t>Muriithi</t>
  </si>
  <si>
    <t>Burris</t>
  </si>
  <si>
    <t>Teh-huai</t>
  </si>
  <si>
    <t>Rao</t>
  </si>
  <si>
    <t>Soriano</t>
  </si>
  <si>
    <t>Kenneth</t>
  </si>
  <si>
    <t>Montero</t>
  </si>
  <si>
    <t>Castro</t>
  </si>
  <si>
    <t>Magee</t>
  </si>
  <si>
    <t>Vinson</t>
  </si>
  <si>
    <t>Lutz</t>
  </si>
  <si>
    <t>Franklin</t>
  </si>
  <si>
    <t>Longworth</t>
  </si>
  <si>
    <t>Buckner</t>
  </si>
  <si>
    <t>Cary</t>
  </si>
  <si>
    <t>Bass</t>
  </si>
  <si>
    <t>Barnes</t>
  </si>
  <si>
    <t>Lauton</t>
  </si>
  <si>
    <t>Parra</t>
  </si>
  <si>
    <t>Jowett</t>
  </si>
  <si>
    <t>Duane</t>
  </si>
  <si>
    <t>Kidd</t>
  </si>
  <si>
    <t>Dycus</t>
  </si>
  <si>
    <t>Wade</t>
  </si>
  <si>
    <t>Richmond</t>
  </si>
  <si>
    <t>Filip</t>
  </si>
  <si>
    <t>de Gast</t>
  </si>
  <si>
    <t>Pancho</t>
  </si>
  <si>
    <t>Ramiro</t>
  </si>
  <si>
    <t>Gonales</t>
  </si>
  <si>
    <t>Yates</t>
  </si>
  <si>
    <t>Gilberto</t>
  </si>
  <si>
    <t>Sheehan</t>
  </si>
  <si>
    <t>Quillen</t>
  </si>
  <si>
    <t>Judd</t>
  </si>
  <si>
    <t>Edmond</t>
  </si>
  <si>
    <t>Pals</t>
  </si>
  <si>
    <t>Mullen</t>
  </si>
  <si>
    <t>Willis</t>
  </si>
  <si>
    <t>Darwin</t>
  </si>
  <si>
    <t>Sutherland</t>
  </si>
  <si>
    <t>Brooks</t>
  </si>
  <si>
    <t>Bates</t>
  </si>
  <si>
    <t>Robun</t>
  </si>
  <si>
    <t>Mori</t>
  </si>
  <si>
    <t>McClain</t>
  </si>
  <si>
    <t>Bautista</t>
  </si>
  <si>
    <t>Quintana</t>
  </si>
  <si>
    <t>Keys</t>
  </si>
  <si>
    <t>Christopher</t>
  </si>
  <si>
    <t>Gunter</t>
  </si>
  <si>
    <t>Corey</t>
  </si>
  <si>
    <t>Saunders</t>
  </si>
  <si>
    <t>Roald</t>
  </si>
  <si>
    <t>Hogervorst</t>
  </si>
  <si>
    <t>Rudy</t>
  </si>
  <si>
    <t>Barber</t>
  </si>
  <si>
    <t>Hampshire</t>
  </si>
  <si>
    <t>Berry</t>
  </si>
  <si>
    <t>Wilbert</t>
  </si>
  <si>
    <t>Dudley</t>
  </si>
  <si>
    <t>Spears</t>
  </si>
  <si>
    <t>Stokes</t>
  </si>
  <si>
    <t>Yeo</t>
  </si>
  <si>
    <t>Diego</t>
  </si>
  <si>
    <t>Muller</t>
  </si>
  <si>
    <t>Landry</t>
  </si>
  <si>
    <t>Carlton</t>
  </si>
  <si>
    <t>Morris</t>
  </si>
  <si>
    <t>Randolph</t>
  </si>
  <si>
    <t>Eiichi</t>
  </si>
  <si>
    <t>Yamamoto</t>
  </si>
  <si>
    <t>McAuley</t>
  </si>
  <si>
    <t>Delp</t>
  </si>
  <si>
    <t>Alvin</t>
  </si>
  <si>
    <t>Tinker</t>
  </si>
  <si>
    <t>Canó</t>
  </si>
  <si>
    <t>Cantrell</t>
  </si>
  <si>
    <t>1BGabriel McIntyre21</t>
  </si>
  <si>
    <t>LFStu Greer18</t>
  </si>
  <si>
    <t>2BAl Fuller21</t>
  </si>
  <si>
    <t>RFLuis Antonio Sánchez21</t>
  </si>
  <si>
    <t>C-Dale Schroeder21</t>
  </si>
  <si>
    <t>CFJacob Gaines18</t>
  </si>
  <si>
    <t>CFJuan Garza20</t>
  </si>
  <si>
    <t>RFSean Greene21</t>
  </si>
  <si>
    <t>SSTravis Johnstone21</t>
  </si>
  <si>
    <t>LFJorge Torres21</t>
  </si>
  <si>
    <t>C-Alan Bradshaw18</t>
  </si>
  <si>
    <t>SSManuel Villarreal21</t>
  </si>
  <si>
    <t>3BArthur Miller18</t>
  </si>
  <si>
    <t>RFCarlos Macías21</t>
  </si>
  <si>
    <t>LFStephen Jordan21</t>
  </si>
  <si>
    <t>SPFred Washington18</t>
  </si>
  <si>
    <t>MRDavid García18</t>
  </si>
  <si>
    <t>SPCarl Long21</t>
  </si>
  <si>
    <t>SPMáximo Padilla21</t>
  </si>
  <si>
    <t>MRJoseph Jones21</t>
  </si>
  <si>
    <t>SPKeith Gordon21</t>
  </si>
  <si>
    <t>MRCharlie McJannett21</t>
  </si>
  <si>
    <t>MRRoy Robinson18</t>
  </si>
  <si>
    <t>SPJúlio Rúbio18</t>
  </si>
  <si>
    <t>SPDaniel Quillen18</t>
  </si>
  <si>
    <t>MRMarcos Quintana20</t>
  </si>
  <si>
    <t>MRPaul Fisher18</t>
  </si>
  <si>
    <t>MRDuane Kidd21</t>
  </si>
  <si>
    <t>CLLuis Flores18</t>
  </si>
  <si>
    <t>MRCary Johnson18</t>
  </si>
  <si>
    <t>MRSteven Franklin21</t>
  </si>
  <si>
    <t>RFBruce McGuire21</t>
  </si>
  <si>
    <t>2BJack Washington21</t>
  </si>
  <si>
    <t>2BLou Bell22</t>
  </si>
  <si>
    <t>SSManny Cortéz21</t>
  </si>
  <si>
    <t>3BRamón Díaz18</t>
  </si>
  <si>
    <t>C-Juan Gómez21</t>
  </si>
  <si>
    <t>Nicholas</t>
  </si>
  <si>
    <t>Gavin</t>
  </si>
  <si>
    <t>Manolito</t>
  </si>
  <si>
    <t>Woods</t>
  </si>
  <si>
    <t>Noritoshi</t>
  </si>
  <si>
    <t>Rin</t>
  </si>
  <si>
    <t>Reese</t>
  </si>
  <si>
    <t>Knight</t>
  </si>
  <si>
    <t>Henderson</t>
  </si>
  <si>
    <t>Raymond</t>
  </si>
  <si>
    <t>Powys</t>
  </si>
  <si>
    <t>Douglas</t>
  </si>
  <si>
    <t>Moon</t>
  </si>
  <si>
    <t>Cornell</t>
  </si>
  <si>
    <t>Fitter</t>
  </si>
  <si>
    <t>Flannery</t>
  </si>
  <si>
    <t>Tyler</t>
  </si>
  <si>
    <t>McDonald</t>
  </si>
  <si>
    <t>Parkinson</t>
  </si>
  <si>
    <t>Lindquist</t>
  </si>
  <si>
    <t>Cardenas</t>
  </si>
  <si>
    <t>Wallace</t>
  </si>
  <si>
    <t>Jacob</t>
  </si>
  <si>
    <t>Gaines</t>
  </si>
  <si>
    <t>O'Neill</t>
  </si>
  <si>
    <t>Alho</t>
  </si>
  <si>
    <t>Strong</t>
  </si>
  <si>
    <t>Armstrong</t>
  </si>
  <si>
    <t>Reynaldo</t>
  </si>
  <si>
    <t>Sterling</t>
  </si>
  <si>
    <t>Catron</t>
  </si>
  <si>
    <t>Gregg</t>
  </si>
  <si>
    <t>Murray</t>
  </si>
  <si>
    <t>Gustavo</t>
  </si>
  <si>
    <t>Gaulton</t>
  </si>
  <si>
    <t>Dexter</t>
  </si>
  <si>
    <t>Phillip</t>
  </si>
  <si>
    <t>Stu</t>
  </si>
  <si>
    <t>Greer</t>
  </si>
  <si>
    <t>Connor</t>
  </si>
  <si>
    <t>Kelvin</t>
  </si>
  <si>
    <t>Lynas</t>
  </si>
  <si>
    <t>Vincente</t>
  </si>
  <si>
    <t>Sims</t>
  </si>
  <si>
    <t>Colton</t>
  </si>
  <si>
    <t>Mills</t>
  </si>
  <si>
    <t>Adam</t>
  </si>
  <si>
    <t>Hutchinson</t>
  </si>
  <si>
    <t>Alan</t>
  </si>
  <si>
    <t>Bradshaw</t>
  </si>
  <si>
    <t>Morgan</t>
  </si>
  <si>
    <t>Rosa</t>
  </si>
  <si>
    <t>von Buhl</t>
  </si>
  <si>
    <t>Rick</t>
  </si>
  <si>
    <t>Troy</t>
  </si>
  <si>
    <t>Luis Antonio</t>
  </si>
  <si>
    <t>Preston</t>
  </si>
  <si>
    <t>Greene</t>
  </si>
  <si>
    <t>Luis Manuel</t>
  </si>
  <si>
    <t>Jared</t>
  </si>
  <si>
    <t>Aubrey</t>
  </si>
  <si>
    <t>Fleury</t>
  </si>
  <si>
    <t>Justice</t>
  </si>
  <si>
    <t>Clarence</t>
  </si>
  <si>
    <t>Duncan</t>
  </si>
  <si>
    <t>Gates</t>
  </si>
  <si>
    <t>Hiroshige</t>
  </si>
  <si>
    <t>Maruyama</t>
  </si>
  <si>
    <t>Kenney</t>
  </si>
  <si>
    <t>Clay</t>
  </si>
  <si>
    <t>Errol</t>
  </si>
  <si>
    <t>Crittenden</t>
  </si>
  <si>
    <t>Rens</t>
  </si>
  <si>
    <t>Ricksen</t>
  </si>
  <si>
    <t>Wicklund</t>
  </si>
  <si>
    <t>Jonathan</t>
  </si>
  <si>
    <t>McCall</t>
  </si>
  <si>
    <t>Nate</t>
  </si>
  <si>
    <t>Boyce</t>
  </si>
  <si>
    <t>Martineau</t>
  </si>
  <si>
    <t>Leonardo</t>
  </si>
  <si>
    <t>Juan Carlos</t>
  </si>
  <si>
    <t>Robles</t>
  </si>
  <si>
    <t>River</t>
  </si>
  <si>
    <t>Walter</t>
  </si>
  <si>
    <t>Alden</t>
  </si>
  <si>
    <t>Brockington</t>
  </si>
  <si>
    <t>Roland</t>
  </si>
  <si>
    <t>Allison</t>
  </si>
  <si>
    <t>Joshua</t>
  </si>
  <si>
    <t>Jin-hyun</t>
  </si>
  <si>
    <t>Chon</t>
  </si>
  <si>
    <t>Boorman</t>
  </si>
  <si>
    <t>Otto</t>
  </si>
  <si>
    <t>Miguel Angel</t>
  </si>
  <si>
    <t>Benson</t>
  </si>
  <si>
    <t>Castle</t>
  </si>
  <si>
    <t>Monsalve</t>
  </si>
  <si>
    <t>McNeal</t>
  </si>
  <si>
    <t>Rich</t>
  </si>
  <si>
    <t>Drake</t>
  </si>
  <si>
    <t>Sackett</t>
  </si>
  <si>
    <t>Mays</t>
  </si>
  <si>
    <t>Lilly</t>
  </si>
  <si>
    <t>Kirkpatrick</t>
  </si>
  <si>
    <t>Salazar</t>
  </si>
  <si>
    <t>Arlen</t>
  </si>
  <si>
    <t>Roberts</t>
  </si>
  <si>
    <t>Clemente</t>
  </si>
  <si>
    <t>Sam</t>
  </si>
  <si>
    <t>Gardner</t>
  </si>
  <si>
    <t>Kitchen</t>
  </si>
  <si>
    <t>Shu-yen</t>
  </si>
  <si>
    <t>Jing</t>
  </si>
  <si>
    <t>Hickey</t>
  </si>
  <si>
    <t>Lehman</t>
  </si>
  <si>
    <t>Kurt</t>
  </si>
  <si>
    <t>Archibald</t>
  </si>
  <si>
    <t>Whitehead</t>
  </si>
  <si>
    <t>Vaughn</t>
  </si>
  <si>
    <t>Denny</t>
  </si>
  <si>
    <t>Ammons</t>
  </si>
  <si>
    <t>Alexander</t>
  </si>
  <si>
    <t>Harrell</t>
  </si>
  <si>
    <t>Long</t>
  </si>
  <si>
    <t>Miranda</t>
  </si>
  <si>
    <t>Pharr</t>
  </si>
  <si>
    <t>Sheffield</t>
  </si>
  <si>
    <t>Sepkiechler</t>
  </si>
  <si>
    <t>Norbert</t>
  </si>
  <si>
    <t>Fraser</t>
  </si>
  <si>
    <t>Younger</t>
  </si>
  <si>
    <t>Lowe</t>
  </si>
  <si>
    <t>Larsen</t>
  </si>
  <si>
    <t>Aguirre</t>
  </si>
  <si>
    <t>Crawford</t>
  </si>
  <si>
    <t>Gerard</t>
  </si>
  <si>
    <t>Ladner</t>
  </si>
  <si>
    <t>McJannett</t>
  </si>
  <si>
    <t>Eaton</t>
  </si>
  <si>
    <t>Eddie</t>
  </si>
  <si>
    <t>Deringer</t>
  </si>
  <si>
    <t>Damon</t>
  </si>
  <si>
    <t>Campos</t>
  </si>
  <si>
    <t>C-Michael Banks21</t>
  </si>
  <si>
    <t>C-Adam Hutchinson21</t>
  </si>
  <si>
    <t>C-Carlos Flores18</t>
  </si>
  <si>
    <t>C-Wu-han Khoo21</t>
  </si>
  <si>
    <t>C-Graviel Lomba18</t>
  </si>
  <si>
    <t>C-Colton Lawrence21</t>
  </si>
  <si>
    <t>C-Steve Wallace18</t>
  </si>
  <si>
    <t>C-Luis Ortega21</t>
  </si>
  <si>
    <t>C-José González21</t>
  </si>
  <si>
    <t>C-Joaquín Pérez20</t>
  </si>
  <si>
    <t>C-Jim Reese21</t>
  </si>
  <si>
    <t>C-Dexter Armstrong21</t>
  </si>
  <si>
    <t>C-George Gaulton18</t>
  </si>
  <si>
    <t>C-Tim Morgan18</t>
  </si>
  <si>
    <t>C-Troy Wilson18</t>
  </si>
  <si>
    <t>C-Lawrence Weston21</t>
  </si>
  <si>
    <t>C-Félix Serrano18</t>
  </si>
  <si>
    <t>C-Thomas Howard21</t>
  </si>
  <si>
    <t>C-Michael Carter18</t>
  </si>
  <si>
    <t>C-Louis-Émile Martineau18</t>
  </si>
  <si>
    <t>C-Cristo Hernández21</t>
  </si>
  <si>
    <t>C-Ken Wright21</t>
  </si>
  <si>
    <t>Anastagio</t>
  </si>
  <si>
    <t>Baio</t>
  </si>
  <si>
    <t>Lonnie</t>
  </si>
  <si>
    <t>Dominic</t>
  </si>
  <si>
    <t>Maye</t>
  </si>
  <si>
    <t>Manley</t>
  </si>
  <si>
    <t>Murillo</t>
  </si>
  <si>
    <t>Machado</t>
  </si>
  <si>
    <t>Butler</t>
  </si>
  <si>
    <t>Alfredo</t>
  </si>
  <si>
    <t>Chávez</t>
  </si>
  <si>
    <t>Zaragoza</t>
  </si>
  <si>
    <t>Norberto</t>
  </si>
  <si>
    <t>Peralta</t>
  </si>
  <si>
    <t>McIntyre</t>
  </si>
  <si>
    <t>McGuire</t>
  </si>
  <si>
    <t>Royce</t>
  </si>
  <si>
    <t>Raines</t>
  </si>
  <si>
    <t>Villa</t>
  </si>
  <si>
    <t>Roberto</t>
  </si>
  <si>
    <t>Villegas</t>
  </si>
  <si>
    <t>Hartwig</t>
  </si>
  <si>
    <t>Bryan</t>
  </si>
  <si>
    <t>Buckley</t>
  </si>
  <si>
    <t>Jody</t>
  </si>
  <si>
    <t>Hull</t>
  </si>
  <si>
    <t>O'Brien</t>
  </si>
  <si>
    <t>Sherwood</t>
  </si>
  <si>
    <t>Alldritt</t>
  </si>
  <si>
    <t>Normand</t>
  </si>
  <si>
    <t>Zdenek</t>
  </si>
  <si>
    <t>Bucek</t>
  </si>
  <si>
    <t>Battle</t>
  </si>
  <si>
    <t>Stumberg</t>
  </si>
  <si>
    <t>Winston</t>
  </si>
  <si>
    <t>MacLyan</t>
  </si>
  <si>
    <t>Roy</t>
  </si>
  <si>
    <t>McClendon</t>
  </si>
  <si>
    <t>Gilmore</t>
  </si>
  <si>
    <t>Steele</t>
  </si>
  <si>
    <t>Pitts</t>
  </si>
  <si>
    <t>Hicks</t>
  </si>
  <si>
    <t>Dundee</t>
  </si>
  <si>
    <t>Ted</t>
  </si>
  <si>
    <t>Boes</t>
  </si>
  <si>
    <t>Marcos</t>
  </si>
  <si>
    <t>Reggie</t>
  </si>
  <si>
    <t>Myers</t>
  </si>
  <si>
    <t>Klinger</t>
  </si>
  <si>
    <t>Vialla</t>
  </si>
  <si>
    <t>Cowan</t>
  </si>
  <si>
    <t>Jessie</t>
  </si>
  <si>
    <t>Kimball</t>
  </si>
  <si>
    <t>Marvin</t>
  </si>
  <si>
    <t>Tomás</t>
  </si>
  <si>
    <t>Graviel</t>
  </si>
  <si>
    <t>Lomba</t>
  </si>
  <si>
    <t>Fuller</t>
  </si>
  <si>
    <t>Al</t>
  </si>
  <si>
    <t>Moss</t>
  </si>
  <si>
    <t>Tucker</t>
  </si>
  <si>
    <t>Archie</t>
  </si>
  <si>
    <t>Campoy</t>
  </si>
  <si>
    <t>Zavala</t>
  </si>
  <si>
    <t>Lott</t>
  </si>
  <si>
    <t>Máximo</t>
  </si>
  <si>
    <t>Medina</t>
  </si>
  <si>
    <t>Edmonds</t>
  </si>
  <si>
    <t>Hooper</t>
  </si>
  <si>
    <t>Hand</t>
  </si>
  <si>
    <t>Wu-han</t>
  </si>
  <si>
    <t>Khoo</t>
  </si>
  <si>
    <t>Robert</t>
  </si>
  <si>
    <t>Oliver</t>
  </si>
  <si>
    <t>McBride</t>
  </si>
  <si>
    <t>Zahn</t>
  </si>
  <si>
    <t>Blencowe</t>
  </si>
  <si>
    <t>Baraja</t>
  </si>
  <si>
    <t>Snider</t>
  </si>
  <si>
    <t>Lane</t>
  </si>
  <si>
    <t>Aranda</t>
  </si>
  <si>
    <t>Vance</t>
  </si>
  <si>
    <t>Coleman</t>
  </si>
  <si>
    <t>Travis</t>
  </si>
  <si>
    <t>Johnstone</t>
  </si>
  <si>
    <t>Mack</t>
  </si>
  <si>
    <t>Villarreal</t>
  </si>
  <si>
    <t>Ilana</t>
  </si>
  <si>
    <t>Evan</t>
  </si>
  <si>
    <t>Molina</t>
  </si>
  <si>
    <t>Schulz</t>
  </si>
  <si>
    <t>Humphrey</t>
  </si>
  <si>
    <t>Will</t>
  </si>
  <si>
    <t>Ellis</t>
  </si>
  <si>
    <t>Pyeong-chu</t>
  </si>
  <si>
    <t>Peret</t>
  </si>
  <si>
    <t>Dale</t>
  </si>
  <si>
    <t>Fierro</t>
  </si>
  <si>
    <t>Philip</t>
  </si>
  <si>
    <t>Edgardo</t>
  </si>
  <si>
    <t>Acarcon</t>
  </si>
  <si>
    <t>Weston</t>
  </si>
  <si>
    <t>Schroeder</t>
  </si>
  <si>
    <t>McIntosh</t>
  </si>
  <si>
    <t>Drew</t>
  </si>
  <si>
    <t>Gabe</t>
  </si>
  <si>
    <t>MRRamón Aguirre18</t>
  </si>
  <si>
    <t>MRRobun Mori21</t>
  </si>
  <si>
    <t>SPAurelio Salazar21</t>
  </si>
  <si>
    <t>MRSteve Sheffield18</t>
  </si>
  <si>
    <t>MRAlfred Thomas21</t>
  </si>
  <si>
    <t>MRSergio Sandoval18</t>
  </si>
  <si>
    <t>MRDavid Herrera21</t>
  </si>
  <si>
    <t>CLRick Saunders21</t>
  </si>
  <si>
    <t>CLJorge Romero18</t>
  </si>
  <si>
    <t>MRJared Younger18</t>
  </si>
  <si>
    <t>MRSixto Canó18</t>
  </si>
  <si>
    <t>MRJorge Rodríguez21</t>
  </si>
  <si>
    <t>SPFred Thomas23</t>
  </si>
  <si>
    <t>SPBrian Buckner18</t>
  </si>
  <si>
    <t>MRRamiro González21</t>
  </si>
  <si>
    <t>MRRoberto Hernández18</t>
  </si>
  <si>
    <t>MRCris Hernández18</t>
  </si>
  <si>
    <t>MRDave Bass21</t>
  </si>
  <si>
    <t>SPRoald Hogervorst21</t>
  </si>
  <si>
    <t>SPJason Thomas18</t>
  </si>
  <si>
    <t>SPTeh-huai Rao21</t>
  </si>
  <si>
    <t>SPNick Keys21</t>
  </si>
  <si>
    <t>MRJosé López22</t>
  </si>
  <si>
    <t>MREd Randolph21</t>
  </si>
  <si>
    <t>SPNorbert Jackson21</t>
  </si>
  <si>
    <t>MRDoug Spears18</t>
  </si>
  <si>
    <t>SPJosé Bautista18</t>
  </si>
  <si>
    <t>MRAntónio Ramos18</t>
  </si>
  <si>
    <t>MRChris Stokes18</t>
  </si>
  <si>
    <t>SPBob Larsen18</t>
  </si>
  <si>
    <t>MRDan Lutz21</t>
  </si>
  <si>
    <t>MRJuan Medina18</t>
  </si>
  <si>
    <t>MRRob Lee21</t>
  </si>
  <si>
    <t>MRBrooks Bates21</t>
  </si>
  <si>
    <t>MRMatt Dudley21</t>
  </si>
  <si>
    <t>MRMike Landry21</t>
  </si>
  <si>
    <t>MRJonathan Hampshire21</t>
  </si>
  <si>
    <t>MRRaymond Larson21</t>
  </si>
  <si>
    <t>MRDarwin Miller18</t>
  </si>
  <si>
    <t>CLRob Magee18</t>
  </si>
  <si>
    <t>MRCarlton Morris18</t>
  </si>
  <si>
    <t>MREric Christopher18</t>
  </si>
  <si>
    <t>MRÁlex Ramos18</t>
  </si>
  <si>
    <t>MRKeith McAuley21</t>
  </si>
  <si>
    <t>MREd Logan21</t>
  </si>
  <si>
    <t>MRJúlio Cortéz21</t>
  </si>
  <si>
    <t>CLNathan Wade18</t>
  </si>
  <si>
    <t>MRAlvin Tinker21</t>
  </si>
  <si>
    <t>MRJack Miller21</t>
  </si>
  <si>
    <t>MRKen Charles18</t>
  </si>
  <si>
    <t>MRVincent Huff22</t>
  </si>
  <si>
    <t>MRFrank Baker18</t>
  </si>
  <si>
    <t>MRMiguel Hernández18</t>
  </si>
  <si>
    <t>MRBob Muller21</t>
  </si>
  <si>
    <t>MRRick Wilson18</t>
  </si>
  <si>
    <t>MRCorey Green18</t>
  </si>
  <si>
    <t>MRPat Dostie18</t>
  </si>
  <si>
    <t>MRMatt Barnes21</t>
  </si>
  <si>
    <t>MRWilbert Taylor18</t>
  </si>
  <si>
    <t>MRPancho González21</t>
  </si>
  <si>
    <t>MREiichi Yamamoto21</t>
  </si>
  <si>
    <t>SPRalph Edwards18</t>
  </si>
  <si>
    <t>MRGilberto Ortíz18</t>
  </si>
  <si>
    <t>MRRudy Barber21</t>
  </si>
  <si>
    <t>MRDiego Chávez18</t>
  </si>
  <si>
    <t>MRRichard Peterson18</t>
  </si>
  <si>
    <t>MRDennis Wright18</t>
  </si>
  <si>
    <t>MRHarris Robinson18</t>
  </si>
  <si>
    <t>MRSteve Delp18</t>
  </si>
  <si>
    <t>MRFrank Cantrell18</t>
  </si>
  <si>
    <t>C-Germán Hernández21</t>
  </si>
  <si>
    <t>C-John Klinger21</t>
  </si>
  <si>
    <t>C-Jessie Kimball18</t>
  </si>
  <si>
    <t>C-Michael Tucker21</t>
  </si>
  <si>
    <t>C-Ted Maxwell21</t>
  </si>
  <si>
    <t>C-Raymond Powys21</t>
  </si>
  <si>
    <t>C-Frank Pitts21</t>
  </si>
  <si>
    <t>C-Miguel Garza21</t>
  </si>
  <si>
    <t>C-Ed Jensen21</t>
  </si>
  <si>
    <t>C-Ken Phillips21</t>
  </si>
  <si>
    <t>C-Jesús López22</t>
  </si>
  <si>
    <t>C-Rob Murphy21</t>
  </si>
  <si>
    <t>C-Gavin Schroeder21</t>
  </si>
  <si>
    <t>C-Lewis Jones21</t>
  </si>
  <si>
    <t>C-León Ortega18</t>
  </si>
  <si>
    <t>C-Martin Spencer21</t>
  </si>
  <si>
    <t>C-Anthony Leonard21</t>
  </si>
  <si>
    <t>SPBill Martin21</t>
  </si>
  <si>
    <t>MRMichael Hill21</t>
  </si>
  <si>
    <t>MRDenny Davis21</t>
  </si>
  <si>
    <t>MRKen Mullen21</t>
  </si>
  <si>
    <t>MRSteven Crawford21</t>
  </si>
  <si>
    <t>MRCarl Lilly21</t>
  </si>
  <si>
    <t>SPRamón Deleón18</t>
  </si>
  <si>
    <t>SPRafael García18</t>
  </si>
  <si>
    <t>SPBruce Benson21</t>
  </si>
  <si>
    <t>SPCésar León21</t>
  </si>
  <si>
    <t>SPBen Cunningham18</t>
  </si>
  <si>
    <t>SPMike Morgan21</t>
  </si>
  <si>
    <t>SPJoshua Hall18</t>
  </si>
  <si>
    <t>SPJosé Chávez21</t>
  </si>
  <si>
    <t>SPAndy Thompson23</t>
  </si>
  <si>
    <t>CLEddie Deringer18</t>
  </si>
  <si>
    <t>SPGeorge Wolfe21</t>
  </si>
  <si>
    <t>MRMichael Burgess21</t>
  </si>
  <si>
    <t>MRMarcos García21</t>
  </si>
  <si>
    <t>SPFrancisco Gonales21</t>
  </si>
  <si>
    <t>SPKevin Ammons21</t>
  </si>
  <si>
    <t>MRJúlio Zamora21</t>
  </si>
  <si>
    <t>MRKenneth Colón21</t>
  </si>
  <si>
    <t>SPJim Cox18</t>
  </si>
  <si>
    <t>SPMarkus Cameron18</t>
  </si>
  <si>
    <t>MRSteve Jowett21</t>
  </si>
  <si>
    <t>SPGabriel Sandoval23</t>
  </si>
  <si>
    <t>CLCurtis Robinson18</t>
  </si>
  <si>
    <t>MRAnderson Sheehan21</t>
  </si>
  <si>
    <t>SPEric Jordan22</t>
  </si>
  <si>
    <t>SPRicardo Rodríguez21</t>
  </si>
  <si>
    <t>MREdmond Pals21</t>
  </si>
  <si>
    <t>MRMichael Johnson21</t>
  </si>
  <si>
    <t>CLAnthony Greene21</t>
  </si>
  <si>
    <t>SPKarl Jordan21</t>
  </si>
  <si>
    <t>MRJim Lehman21</t>
  </si>
  <si>
    <t>SPHenry Vinson21</t>
  </si>
  <si>
    <t>MRJuan Campos21</t>
  </si>
  <si>
    <t>SPGerard Ladner21</t>
  </si>
  <si>
    <t>SPShu-yen Jing18</t>
  </si>
  <si>
    <t>MRRob Gunter21</t>
  </si>
  <si>
    <t>SPStan Richmond21</t>
  </si>
  <si>
    <t>MRGeorge Berry21</t>
  </si>
  <si>
    <t>MRJeff Nolan21</t>
  </si>
  <si>
    <t>MRChet Jones21</t>
  </si>
  <si>
    <t>SPSteve Burns18</t>
  </si>
  <si>
    <t>SPVincente Murillo21</t>
  </si>
  <si>
    <t>SPSteve Kitchen21</t>
  </si>
  <si>
    <t>MRFilip de Gast21</t>
  </si>
  <si>
    <t>MRTony Wright22</t>
  </si>
  <si>
    <t>CLSam Gordon18</t>
  </si>
  <si>
    <t>MRGeorge Beck21</t>
  </si>
  <si>
    <t>MRDamon Walker18</t>
  </si>
  <si>
    <t>SPKen Hill21</t>
  </si>
  <si>
    <t>SPLúcio Domínguez21</t>
  </si>
  <si>
    <t>CLTravis Hooper18</t>
  </si>
  <si>
    <t>SPKevin Dycus17</t>
  </si>
  <si>
    <t>SPClaudio Salazar18</t>
  </si>
  <si>
    <t>MRTed Sepkiechler18</t>
  </si>
  <si>
    <t>SPKeith Neal21</t>
  </si>
  <si>
    <t>SPJonathan Lauton18</t>
  </si>
  <si>
    <t>MRJimmy Glenn21</t>
  </si>
  <si>
    <t>SPMike Moore21</t>
  </si>
  <si>
    <t>MRAndre Carr20</t>
  </si>
  <si>
    <t>MRJesús López21</t>
  </si>
  <si>
    <t>SPDerek Wright18</t>
  </si>
  <si>
    <t>MRKokaji Muriithi18</t>
  </si>
  <si>
    <t>CLNorberto Espinoza21</t>
  </si>
  <si>
    <t>SPWill Sutherland21</t>
  </si>
  <si>
    <t>MRSean Robinson21</t>
  </si>
  <si>
    <t>MRRamiro García21</t>
  </si>
  <si>
    <t>SPEric Gardner18</t>
  </si>
  <si>
    <t>MRBrennan Woodward21</t>
  </si>
  <si>
    <t>MRDaniel Vaughn18</t>
  </si>
  <si>
    <t>SPJon Burris18</t>
  </si>
  <si>
    <t>SPJudd Alexander21</t>
  </si>
  <si>
    <t>SPWilliam Gardner21</t>
  </si>
  <si>
    <t>MRCarlos Herrera21</t>
  </si>
  <si>
    <t>MRRoger Bruce18</t>
  </si>
  <si>
    <t>SPPedro López18</t>
  </si>
  <si>
    <t>SPBob Bennett21</t>
  </si>
  <si>
    <t>MRRamón Rodríguez21</t>
  </si>
  <si>
    <t>MRRonald Williams21</t>
  </si>
  <si>
    <t>SPBrent Jones21</t>
  </si>
  <si>
    <t>MREric Yates21</t>
  </si>
  <si>
    <t>SPBill Whitehead18</t>
  </si>
  <si>
    <t>LFReynaldo Díaz18</t>
  </si>
  <si>
    <t>SSBryan Buckley18</t>
  </si>
  <si>
    <t>LFToby Lott18</t>
  </si>
  <si>
    <t>CFArmando Valdés21</t>
  </si>
  <si>
    <t>LFStan Gates21</t>
  </si>
  <si>
    <t>RFAndrés Molina21</t>
  </si>
  <si>
    <t>2BBob Campbell17</t>
  </si>
  <si>
    <t>1BMike Kennedy20</t>
  </si>
  <si>
    <t>2BChris Evans21</t>
  </si>
  <si>
    <t>1BJeff King18</t>
  </si>
  <si>
    <t>RFWill Smith18</t>
  </si>
  <si>
    <t>2BEduardo Murillo18</t>
  </si>
  <si>
    <t>SSBobby O'Brien18</t>
  </si>
  <si>
    <t>CFLou von Buhl21</t>
  </si>
  <si>
    <t>LFRodney Armstrong17</t>
  </si>
  <si>
    <t>2BMark Taylor20</t>
  </si>
  <si>
    <t>CFJorge Rodríguez21</t>
  </si>
  <si>
    <t>CFHiroshige Maruyama21</t>
  </si>
  <si>
    <t>SSDale Kelly21</t>
  </si>
  <si>
    <t>2BPhil Myers21</t>
  </si>
  <si>
    <t>RFGlenn Kenney21</t>
  </si>
  <si>
    <t>2BNick Preston18</t>
  </si>
  <si>
    <t>2BCaden Carlisle18</t>
  </si>
  <si>
    <t>3BCharlie O'Neill21</t>
  </si>
  <si>
    <t>2BEdgar Ortíz21</t>
  </si>
  <si>
    <t>CFJody Hull18</t>
  </si>
  <si>
    <t>RFLen Knight21</t>
  </si>
  <si>
    <t>2BErrol Walker20</t>
  </si>
  <si>
    <t>3BClarence Duncan21</t>
  </si>
  <si>
    <t>RFJerry Wicklund21</t>
  </si>
  <si>
    <t>CFBrian Vincent18</t>
  </si>
  <si>
    <t>2BPepe Solís18</t>
  </si>
  <si>
    <t>2BBob Vance21</t>
  </si>
  <si>
    <t>RFMatt Browne21</t>
  </si>
  <si>
    <t>RFKelvin Lynas18</t>
  </si>
  <si>
    <t>SPBartolo Esquivel22</t>
  </si>
  <si>
    <t>SPManuel Pacheco20</t>
  </si>
  <si>
    <t>SPMiguel Angel Romero21</t>
  </si>
  <si>
    <t>SPMatt Allison21</t>
  </si>
  <si>
    <t>SPThad Taylor22</t>
  </si>
  <si>
    <t>SPRaymond Wilson21</t>
  </si>
  <si>
    <t>SPTom Hill22</t>
  </si>
  <si>
    <t>SPMelvin McNeal18</t>
  </si>
  <si>
    <t>SPAnthony Thompson21</t>
  </si>
  <si>
    <t>SPBartolo Cruz21</t>
  </si>
  <si>
    <t>SPMiguel Franco22</t>
  </si>
  <si>
    <t>CLEric Castle21</t>
  </si>
  <si>
    <t>SPOtto Coleman18</t>
  </si>
  <si>
    <t>SPLuis Reyes18</t>
  </si>
  <si>
    <t>SPDan Boorman18</t>
  </si>
  <si>
    <t>SPEddy McBride21</t>
  </si>
  <si>
    <t>SPAdam Payne21</t>
  </si>
  <si>
    <t>SPJin-hyun Chon21</t>
  </si>
  <si>
    <t>SPCurt Mills21</t>
  </si>
  <si>
    <t>SPMichael Vincent18</t>
  </si>
  <si>
    <t>SPDrake Sackett18</t>
  </si>
  <si>
    <t>SPLuis Monsalve21</t>
  </si>
  <si>
    <t>SPChris Longworth21</t>
  </si>
  <si>
    <t>SPMark Hickey18</t>
  </si>
  <si>
    <t>SPDale Cameron18</t>
  </si>
  <si>
    <t>CLMichael Campbell21</t>
  </si>
  <si>
    <t>SPMiguel Salazar21</t>
  </si>
  <si>
    <t>SPArlen Roberts21</t>
  </si>
  <si>
    <t>SPJames Jordan22</t>
  </si>
  <si>
    <t>SPAntónio Clemente21</t>
  </si>
  <si>
    <t>SPDan McClain18</t>
  </si>
  <si>
    <t>SPRaúl Díaz22</t>
  </si>
  <si>
    <t>SPWill Montero21</t>
  </si>
  <si>
    <t>CLJorge Martínez21</t>
  </si>
  <si>
    <t>SPRich Phillips21</t>
  </si>
  <si>
    <t>SPPaco Morales21</t>
  </si>
  <si>
    <t>SPCurtis Fraser18</t>
  </si>
  <si>
    <t>SPEd Boerboom22</t>
  </si>
  <si>
    <t>SPRoberto Díaz21</t>
  </si>
  <si>
    <t>SPQuinton Field22</t>
  </si>
  <si>
    <t>SPTomás Miranda20</t>
  </si>
  <si>
    <t>MRRyan Brown18</t>
  </si>
  <si>
    <t>CLClay Thompson21</t>
  </si>
  <si>
    <t>SPMarvin Lilly21</t>
  </si>
  <si>
    <t>SPTom Harrell18</t>
  </si>
  <si>
    <t>SPMatt Taylor21</t>
  </si>
  <si>
    <t>SPVicente Lópes21</t>
  </si>
  <si>
    <t>MRJúlio Parra21</t>
  </si>
  <si>
    <t>SPAaron Green18</t>
  </si>
  <si>
    <t>SPRamón Altagracia22</t>
  </si>
  <si>
    <t>SPGreg Alexander21</t>
  </si>
  <si>
    <t>3BPyeong-chu Kim21</t>
  </si>
  <si>
    <t>1BTony García21</t>
  </si>
  <si>
    <t>3BStan Cherry18</t>
  </si>
  <si>
    <t>SSVicente Lorenzo21</t>
  </si>
  <si>
    <t>RFEd Lee18</t>
  </si>
  <si>
    <t>2BWill Ellis18</t>
  </si>
  <si>
    <t>LFNoritoshi Rin21</t>
  </si>
  <si>
    <t>RFMichael Smith18</t>
  </si>
  <si>
    <t>RFDavid McKenzie22</t>
  </si>
  <si>
    <t>LFEd Lindquist21</t>
  </si>
  <si>
    <t>CFEvan Snyder21</t>
  </si>
  <si>
    <t>SSDavid Henderson21</t>
  </si>
  <si>
    <t>RFJorge Román18</t>
  </si>
  <si>
    <t>1BJim Justice21</t>
  </si>
  <si>
    <t>LFRicardo Cruz21</t>
  </si>
  <si>
    <t>LFGregg Williams18</t>
  </si>
  <si>
    <t>1BLarry McIntosh21</t>
  </si>
  <si>
    <t>RFChris Strong18</t>
  </si>
  <si>
    <t>3BHenry Williams18</t>
  </si>
  <si>
    <t>1BConnor Becker21</t>
  </si>
  <si>
    <t>LFPaul Hughes18</t>
  </si>
  <si>
    <t>SSBob Stumberg18</t>
  </si>
  <si>
    <t>LFDan Hartwig18</t>
  </si>
  <si>
    <t>LFSymão Alho18</t>
  </si>
  <si>
    <t>1BRens Ricksen21</t>
  </si>
  <si>
    <t>3BJon Woods21</t>
  </si>
  <si>
    <t>2BNelson Baker21</t>
  </si>
  <si>
    <t>RFRonald Wheeler21</t>
  </si>
  <si>
    <t>CFDave McCall18</t>
  </si>
  <si>
    <t>SSMáximo Medina18</t>
  </si>
  <si>
    <t>1BLuis Ortega18</t>
  </si>
  <si>
    <t>SSJeremy Collins21</t>
  </si>
  <si>
    <t>RFTyler Wright21</t>
  </si>
  <si>
    <t>CFClaudio García21</t>
  </si>
  <si>
    <t>3BTony Hernández21</t>
  </si>
  <si>
    <t>1BWillie Clark21</t>
  </si>
  <si>
    <t>2BRob Steele18</t>
  </si>
  <si>
    <t>2BMario Zavala21</t>
  </si>
  <si>
    <t>1BRalph Pollock18</t>
  </si>
  <si>
    <t>3BJim Fitter21</t>
  </si>
  <si>
    <t>CFJack Parkinson20</t>
  </si>
  <si>
    <t>RFPhillip McDonald18</t>
  </si>
  <si>
    <t>LFRoland Smith18</t>
  </si>
  <si>
    <t>1BBartolo Espinoza21</t>
  </si>
  <si>
    <t>CFEdgardo Martínez21</t>
  </si>
  <si>
    <t>RFGeorge Hicks18</t>
  </si>
  <si>
    <t>RFBrian Snider21</t>
  </si>
  <si>
    <t>3BArchie Green18</t>
  </si>
  <si>
    <t>CFAlejandro Fierro21</t>
  </si>
  <si>
    <t>3BWesley Jordan18</t>
  </si>
  <si>
    <t>RFJuan Carlos Robles21</t>
  </si>
  <si>
    <t>2BChris Thomas21</t>
  </si>
  <si>
    <t>LFJerry Crittenden20</t>
  </si>
  <si>
    <t>LFSalvador Velásquez18</t>
  </si>
  <si>
    <t>SSJosé Quiñones21</t>
  </si>
  <si>
    <t>2BDennis Normand18</t>
  </si>
  <si>
    <t>RFMike Stewart18</t>
  </si>
  <si>
    <t>RFDan Jefferson21</t>
  </si>
  <si>
    <t>3BScott Coleman21</t>
  </si>
  <si>
    <t>RFDrew Davis18</t>
  </si>
  <si>
    <t>2BAlfredo Chávez18</t>
  </si>
  <si>
    <t>CFBob Stephens18</t>
  </si>
  <si>
    <t>1BRaúl Morales21</t>
  </si>
  <si>
    <t>LFMiguel Rosa21</t>
  </si>
  <si>
    <t>LFMario Padilla18</t>
  </si>
  <si>
    <t>RFSterling Catron21</t>
  </si>
  <si>
    <t>1BCarlos Ilana18</t>
  </si>
  <si>
    <t>1BAubrey Fleury21</t>
  </si>
  <si>
    <t>LFHenry Miller21</t>
  </si>
  <si>
    <t>LFVincente Juárez18</t>
  </si>
  <si>
    <t>CFLeonardo Ríos21</t>
  </si>
  <si>
    <t>2BJohn Avery21</t>
  </si>
  <si>
    <t>RFLuis Manuel Ramírez21</t>
  </si>
  <si>
    <t>1BAlden Brockington18</t>
  </si>
  <si>
    <t>CFJared Ward21</t>
  </si>
  <si>
    <t>1BNate Boyce21</t>
  </si>
  <si>
    <t>LFMario Gonzáles21</t>
  </si>
  <si>
    <t>RFChris Nicholas21</t>
  </si>
  <si>
    <t>CFIván Cruz18</t>
  </si>
  <si>
    <t>SSChad Murray18</t>
  </si>
  <si>
    <t>2BJason McDonald21</t>
  </si>
  <si>
    <t>1BBob Wright18</t>
  </si>
  <si>
    <t>LFScott Coleman21</t>
  </si>
  <si>
    <t>RFPaul Jackson18</t>
  </si>
  <si>
    <t>2BJohn Walter18</t>
  </si>
  <si>
    <t>1BDominic Maye21</t>
  </si>
  <si>
    <t>CFNorberto Peralta18</t>
  </si>
  <si>
    <t>1BJesús López21</t>
  </si>
  <si>
    <t>CFKing Bailey21</t>
  </si>
  <si>
    <t>SSMichael Manley21</t>
  </si>
  <si>
    <t>2BLonnie Evans18</t>
  </si>
  <si>
    <t>RFErnesto León21</t>
  </si>
  <si>
    <t>LFLuis González21</t>
  </si>
  <si>
    <t>1BAnastagio Baio18</t>
  </si>
  <si>
    <t>RFDonald Mitchell21</t>
  </si>
  <si>
    <t>LFMiguel Campoy21</t>
  </si>
  <si>
    <t>1BMarvin Williams21</t>
  </si>
  <si>
    <t>3BNelson Cardenas18</t>
  </si>
  <si>
    <t>RFPhil Carter21</t>
  </si>
  <si>
    <t>1BSherwood Alldritt21</t>
  </si>
  <si>
    <t>2BJoe Walsh21</t>
  </si>
  <si>
    <t>SSGreg Dundee21</t>
  </si>
  <si>
    <t>RFManuel Zaragoza18</t>
  </si>
  <si>
    <t>CFSteve Curtis18</t>
  </si>
  <si>
    <t>2BTomás Hernández21</t>
  </si>
  <si>
    <t>1BJason Green18</t>
  </si>
  <si>
    <t>1BHenry Blencowe21</t>
  </si>
  <si>
    <t>RFWillie Edmonds21</t>
  </si>
  <si>
    <t>LFTom Gilmore21</t>
  </si>
  <si>
    <t>SSStan Phillips22</t>
  </si>
  <si>
    <t>SSGeorge Battle21</t>
  </si>
  <si>
    <t>1BJuan Rodríguez21</t>
  </si>
  <si>
    <t>3BRobert Lewis21</t>
  </si>
  <si>
    <t>3BManuel Rivera21</t>
  </si>
  <si>
    <t>2BJohn Moss21</t>
  </si>
  <si>
    <t>1BGeorge Thomas20</t>
  </si>
  <si>
    <t>CFEdgardo Acarcon18</t>
  </si>
  <si>
    <t>RFRick Wilson20</t>
  </si>
  <si>
    <t>2BRafael Vialla21</t>
  </si>
  <si>
    <t>CFCornell Bradford21</t>
  </si>
  <si>
    <t>RFJosé Garza17</t>
  </si>
  <si>
    <t>1BHéctor Jiménez21</t>
  </si>
  <si>
    <t>1BEvan Burgess21</t>
  </si>
  <si>
    <t>2BLuis Martínez21</t>
  </si>
  <si>
    <t>1BJorge Villa18</t>
  </si>
  <si>
    <t>1BPedro Ortíz22</t>
  </si>
  <si>
    <t>RFGustavo Martínez21</t>
  </si>
  <si>
    <t>2BAaron Harris21</t>
  </si>
  <si>
    <t>CFZdenek Bucek21</t>
  </si>
  <si>
    <t>CFRafael Aranda21</t>
  </si>
  <si>
    <t>LFKenny Hand21</t>
  </si>
  <si>
    <t>RFJuan Pérez21</t>
  </si>
  <si>
    <t>RFPablo Padilla21</t>
  </si>
  <si>
    <t>1BMarcos Gonzáles21</t>
  </si>
  <si>
    <t>CFOliver McBride21</t>
  </si>
  <si>
    <t>1BSteve Boes18</t>
  </si>
  <si>
    <t>CFWilliam Collins21</t>
  </si>
  <si>
    <t>SSBobby Miller21</t>
  </si>
  <si>
    <t>1BRicardo García21</t>
  </si>
  <si>
    <t>SSDan Bailey21</t>
  </si>
  <si>
    <t>RFBill McIntyre21</t>
  </si>
  <si>
    <t>SSJoe Lane21</t>
  </si>
  <si>
    <t>1BAdam Wilson18</t>
  </si>
  <si>
    <t>2BWinston MacLyan21</t>
  </si>
  <si>
    <t>RFDave Clay21</t>
  </si>
  <si>
    <t>RFMario Machado18</t>
  </si>
  <si>
    <t>2BLorenzo Peret21</t>
  </si>
  <si>
    <t>SSTed Webster21</t>
  </si>
  <si>
    <t>CFPhilip Warren21</t>
  </si>
  <si>
    <t>RFCarlos Robinson21</t>
  </si>
  <si>
    <t>LFBlair Humphrey20</t>
  </si>
  <si>
    <t>1BEd Nielsen21</t>
  </si>
  <si>
    <t>2BJeff Mack21</t>
  </si>
  <si>
    <t>CFJeff Washington21</t>
  </si>
  <si>
    <t>RFJuan Muñóz18</t>
  </si>
  <si>
    <t>LFFernando Gonzáles21</t>
  </si>
  <si>
    <t>CFJonathan Payne18</t>
  </si>
  <si>
    <t>RFJoe Williams18</t>
  </si>
  <si>
    <t>RFJoe Schulz21</t>
  </si>
  <si>
    <t>SSStephen Cox21</t>
  </si>
  <si>
    <t>1BBilly Mills21</t>
  </si>
  <si>
    <t>3BGabe Kelly21</t>
  </si>
  <si>
    <t>2BBob Cowan21</t>
  </si>
  <si>
    <t>2BRoy McClendon21</t>
  </si>
  <si>
    <t>1BJon Lange21</t>
  </si>
  <si>
    <t>SSMatt Tyler21</t>
  </si>
  <si>
    <t>RFVíctor Maldonado23</t>
  </si>
  <si>
    <t>1BMark Flannery18</t>
  </si>
  <si>
    <t>RFMiguel Baraja21</t>
  </si>
  <si>
    <t>1BBill Sims21</t>
  </si>
  <si>
    <t>CFRyan Thomas21</t>
  </si>
  <si>
    <t>Lúcio Domínguez</t>
  </si>
  <si>
    <t>Pat Dostie</t>
  </si>
  <si>
    <t>Matt Dudley</t>
  </si>
  <si>
    <t>Kevin Dycus</t>
  </si>
  <si>
    <t>Ralph Edwards</t>
  </si>
  <si>
    <t>Paul Fisher</t>
  </si>
  <si>
    <t>Steven Franklin</t>
  </si>
  <si>
    <t>David García</t>
  </si>
  <si>
    <t>Marcos García</t>
  </si>
  <si>
    <t>Jimmy Glenn</t>
  </si>
  <si>
    <t>Pancho González</t>
  </si>
  <si>
    <t>Corey Green</t>
  </si>
  <si>
    <t>Greg Hathaway</t>
  </si>
  <si>
    <t>Cris Hernández</t>
  </si>
  <si>
    <t>Miguel Hernández</t>
  </si>
  <si>
    <t>Roberto Hernández</t>
  </si>
  <si>
    <t>Carlos Herrera</t>
  </si>
  <si>
    <t>David Herrera</t>
  </si>
  <si>
    <t>Roald Hogervorst</t>
  </si>
  <si>
    <t>Travis Hooper</t>
  </si>
  <si>
    <t>Norbert Jackson</t>
  </si>
  <si>
    <t>Cary Johnson</t>
  </si>
  <si>
    <t>Michael Johnson</t>
  </si>
  <si>
    <t>Brent Jones</t>
  </si>
  <si>
    <t>Joseph Jones</t>
  </si>
  <si>
    <t>Karl Jordan</t>
  </si>
  <si>
    <t>Nick Keys</t>
  </si>
  <si>
    <t>Gerard Ladner</t>
  </si>
  <si>
    <t>Mike Landry</t>
  </si>
  <si>
    <t>Bob Larsen</t>
  </si>
  <si>
    <t>Raymond Larson</t>
  </si>
  <si>
    <t>Jonathan Lauton</t>
  </si>
  <si>
    <t>Rob Lee</t>
  </si>
  <si>
    <t>Ed Logan</t>
  </si>
  <si>
    <t>Carl Long</t>
  </si>
  <si>
    <t>Pedro López</t>
  </si>
  <si>
    <t>Robbie Lowe</t>
  </si>
  <si>
    <t>Dan Lutz</t>
  </si>
  <si>
    <t>Keith McAuley</t>
  </si>
  <si>
    <t>Juan Medina</t>
  </si>
  <si>
    <t>Darwin Miller</t>
  </si>
  <si>
    <t>Jack Miller</t>
  </si>
  <si>
    <t>Robun Mori</t>
  </si>
  <si>
    <t>Carlton Morris</t>
  </si>
  <si>
    <t>Ken Mullen</t>
  </si>
  <si>
    <t>Bob Muller</t>
  </si>
  <si>
    <t>Vincente Murillo</t>
  </si>
  <si>
    <t>Keith Neal</t>
  </si>
  <si>
    <t>Jeff Nolan</t>
  </si>
  <si>
    <t>Gilberto Ortíz</t>
  </si>
  <si>
    <t>Edmond Pals</t>
  </si>
  <si>
    <t>Richard Peterson</t>
  </si>
  <si>
    <t>Marcos Quintana</t>
  </si>
  <si>
    <t>Álex Ramos</t>
  </si>
  <si>
    <t>António Ramos</t>
  </si>
  <si>
    <t>Ed Randolph</t>
  </si>
  <si>
    <t>Teh-huai Rao</t>
  </si>
  <si>
    <t>Stan Richmond</t>
  </si>
  <si>
    <t>Harris Robinson</t>
  </si>
  <si>
    <t>Roy Robinson</t>
  </si>
  <si>
    <t>Ramón Rodríguez</t>
  </si>
  <si>
    <t>Jorge Romero</t>
  </si>
  <si>
    <t>Aurelio Salazar</t>
  </si>
  <si>
    <t>Claudio Salazar</t>
  </si>
  <si>
    <t>Sergio Sandoval</t>
  </si>
  <si>
    <t>Anderson Sheehan</t>
  </si>
  <si>
    <t>Steve Sheffield</t>
  </si>
  <si>
    <t>Doug Spears</t>
  </si>
  <si>
    <t>Chris Stokes</t>
  </si>
  <si>
    <t>Will Sutherland</t>
  </si>
  <si>
    <t>Wilbert Taylor</t>
  </si>
  <si>
    <t>Alfred Thomas</t>
  </si>
  <si>
    <t>Jason Thomas</t>
  </si>
  <si>
    <t>Alvin Tinker</t>
  </si>
  <si>
    <t>Damon Walker</t>
  </si>
  <si>
    <t>Willis Warren</t>
  </si>
  <si>
    <t>Bill Whitehead</t>
  </si>
  <si>
    <t>Ronald Williams</t>
  </si>
  <si>
    <t>Brennan Woodward</t>
  </si>
  <si>
    <t>Dennis Wright</t>
  </si>
  <si>
    <t>Derek Wright</t>
  </si>
  <si>
    <t>Eiichi Yamamoto</t>
  </si>
  <si>
    <t>Keith Yeo</t>
  </si>
  <si>
    <t>Jared Younger</t>
  </si>
  <si>
    <t>Júlio Zamora</t>
  </si>
  <si>
    <t>Steve Delp</t>
  </si>
  <si>
    <t>Jonathan Hampshire</t>
  </si>
  <si>
    <t>SSRoyce Raines21</t>
  </si>
  <si>
    <t>LFFlint Butler21</t>
  </si>
  <si>
    <t>2BBill Gibbs21</t>
  </si>
  <si>
    <t>RFStephen Hooper21</t>
  </si>
  <si>
    <t>CFRubén Jiménez18</t>
  </si>
  <si>
    <t>LFGabriel Martínez21</t>
  </si>
  <si>
    <t>CFCarlos Ryan21</t>
  </si>
  <si>
    <t>3BMarcos Sánchez18</t>
  </si>
  <si>
    <t>RFReggie Myers21</t>
  </si>
  <si>
    <t>LFFrançois Léveillée20</t>
  </si>
  <si>
    <t>RFMichael Gray22</t>
  </si>
  <si>
    <t>3BGordon Fuller21</t>
  </si>
  <si>
    <t>2BJavier Torres18</t>
  </si>
  <si>
    <t>César León</t>
  </si>
  <si>
    <t>Marvin Lilly</t>
  </si>
  <si>
    <t>Jorge Martínez</t>
  </si>
  <si>
    <t>Will Montero</t>
  </si>
  <si>
    <t>Anthony Thompson</t>
  </si>
  <si>
    <t>Clay Thompson</t>
  </si>
  <si>
    <t>Fred Washington</t>
  </si>
  <si>
    <t>Raymond Wilson</t>
  </si>
  <si>
    <t>Greg Alexander</t>
  </si>
  <si>
    <t>Kevin Ammons</t>
  </si>
  <si>
    <t>Frank Baker</t>
  </si>
  <si>
    <t>Bob Bennett</t>
  </si>
  <si>
    <t>Michael Burgess</t>
  </si>
  <si>
    <t>Jon Burris</t>
  </si>
  <si>
    <t>Carlos Castro</t>
  </si>
  <si>
    <t>José Chávez</t>
  </si>
  <si>
    <t>Steven Crawford</t>
  </si>
  <si>
    <t>Denny Davis</t>
  </si>
  <si>
    <t>Ramón Deleón</t>
  </si>
  <si>
    <t>Roberto Díaz</t>
  </si>
  <si>
    <t>David Eaton</t>
  </si>
  <si>
    <t>Norberto Espinoza</t>
  </si>
  <si>
    <t>Luis Flores</t>
  </si>
  <si>
    <t>Ramiro García</t>
  </si>
  <si>
    <t>Eric Gardner</t>
  </si>
  <si>
    <t>William Gardner</t>
  </si>
  <si>
    <t>Francisco Gonales</t>
  </si>
  <si>
    <t>Ramiro González</t>
  </si>
  <si>
    <t>Sam Gordon</t>
  </si>
  <si>
    <t>Aaron Green</t>
  </si>
  <si>
    <t>Anthony Greene</t>
  </si>
  <si>
    <t>Rob Gunter</t>
  </si>
  <si>
    <t>Tom Harrell</t>
  </si>
  <si>
    <t>Ken Hill</t>
  </si>
  <si>
    <t>Shu-yen Jing</t>
  </si>
  <si>
    <t>Chet Jones</t>
  </si>
  <si>
    <t>Steve Jowett</t>
  </si>
  <si>
    <t>Duane Kidd</t>
  </si>
  <si>
    <t>Steve Kitchen</t>
  </si>
  <si>
    <t>Jim Lehman</t>
  </si>
  <si>
    <t>Carl Lilly</t>
  </si>
  <si>
    <t>Chris Longworth</t>
  </si>
  <si>
    <t>Vicente Lópes</t>
  </si>
  <si>
    <t>Rob Magee</t>
  </si>
  <si>
    <t>Bill Martin</t>
  </si>
  <si>
    <t>Keith Mays</t>
  </si>
  <si>
    <t>Dan McClain</t>
  </si>
  <si>
    <t>Charlie McJannett</t>
  </si>
  <si>
    <t>Tomás Miranda</t>
  </si>
  <si>
    <t>Luis Monsalve</t>
  </si>
  <si>
    <t>Mike Moore</t>
  </si>
  <si>
    <t>Paco Morales</t>
  </si>
  <si>
    <t>Mike Morgan</t>
  </si>
  <si>
    <t>Kokaji Muriithi</t>
  </si>
  <si>
    <t>Máximo Padilla</t>
  </si>
  <si>
    <t>Júlio Parra</t>
  </si>
  <si>
    <t>Adam Payne</t>
  </si>
  <si>
    <t>Dave Pharr</t>
  </si>
  <si>
    <t>Daniel Quillen</t>
  </si>
  <si>
    <t>Arlen Roberts</t>
  </si>
  <si>
    <t>Curtis Robinson</t>
  </si>
  <si>
    <t>Sean Robinson</t>
  </si>
  <si>
    <t>José Rodríguez</t>
  </si>
  <si>
    <t>Ricardo Rodríguez</t>
  </si>
  <si>
    <t>Júlio Rúbio</t>
  </si>
  <si>
    <t>Drake Sackett</t>
  </si>
  <si>
    <t>Miguel Salazar</t>
  </si>
  <si>
    <t>Rick Saunders</t>
  </si>
  <si>
    <t>Ted Sepkiechler</t>
  </si>
  <si>
    <t>Felipe Soriano</t>
  </si>
  <si>
    <t>Matt Taylor</t>
  </si>
  <si>
    <t>Daniel Vaughn</t>
  </si>
  <si>
    <t>Henry Vinson</t>
  </si>
  <si>
    <t>Nathan Wade</t>
  </si>
  <si>
    <t>Robbie Ward</t>
  </si>
  <si>
    <t>Robert Williams</t>
  </si>
  <si>
    <t>George Wolfe</t>
  </si>
  <si>
    <t>Eric Yates</t>
  </si>
  <si>
    <t>Ramón Aguirre</t>
  </si>
  <si>
    <t>Judd Alexander</t>
  </si>
  <si>
    <t>Kurt Archibald</t>
  </si>
  <si>
    <t>Rudy Barber</t>
  </si>
  <si>
    <t>Matt Barnes</t>
  </si>
  <si>
    <t>Dave Bass</t>
  </si>
  <si>
    <t>Brooks Bates</t>
  </si>
  <si>
    <t>José Bautista</t>
  </si>
  <si>
    <t>George Beck</t>
  </si>
  <si>
    <t>Bruce Benson</t>
  </si>
  <si>
    <t>George Berry</t>
  </si>
  <si>
    <t>Ryan Brown</t>
  </si>
  <si>
    <t>Roger Bruce</t>
  </si>
  <si>
    <t>Brian Buckner</t>
  </si>
  <si>
    <t>Steve Burns</t>
  </si>
  <si>
    <t>Juan Campos</t>
  </si>
  <si>
    <t>Sixto Canó</t>
  </si>
  <si>
    <t>Frank Cantrell</t>
  </si>
  <si>
    <t>Andre Carr</t>
  </si>
  <si>
    <t>Ken Charles</t>
  </si>
  <si>
    <t>Diego Chávez</t>
  </si>
  <si>
    <t>Eric Christopher</t>
  </si>
  <si>
    <t>Kenneth Colón</t>
  </si>
  <si>
    <t>Júlio Cortéz</t>
  </si>
  <si>
    <t>Jim Cox</t>
  </si>
  <si>
    <t>Pedro Croduitán</t>
  </si>
  <si>
    <t>Filip de Gast</t>
  </si>
  <si>
    <t>Frank Pitts</t>
  </si>
  <si>
    <t>Ralph Pollock</t>
  </si>
  <si>
    <t>Raymond Powys</t>
  </si>
  <si>
    <t>Nick Preston</t>
  </si>
  <si>
    <t>José Quiñones</t>
  </si>
  <si>
    <t>Luis Manuel Ramírez</t>
  </si>
  <si>
    <t>Jim Reese</t>
  </si>
  <si>
    <t>Rens Ricksen</t>
  </si>
  <si>
    <t>Noritoshi Rin</t>
  </si>
  <si>
    <t>Leonardo Ríos</t>
  </si>
  <si>
    <t>Manuel Rivera</t>
  </si>
  <si>
    <t>Carlos Robinson</t>
  </si>
  <si>
    <t>Juan Carlos Robles</t>
  </si>
  <si>
    <t>Juan Rodríguez</t>
  </si>
  <si>
    <t>Jorge Román</t>
  </si>
  <si>
    <t>Miguel Rosa</t>
  </si>
  <si>
    <t>Luis Antonio Sánchez</t>
  </si>
  <si>
    <t>Dale Schroeder</t>
  </si>
  <si>
    <t>Gavin Schroeder</t>
  </si>
  <si>
    <t>Joe Schulz</t>
  </si>
  <si>
    <t>Félix Serrano</t>
  </si>
  <si>
    <t>Bill Sims</t>
  </si>
  <si>
    <t>Michael Smith</t>
  </si>
  <si>
    <t>Roland Smith</t>
  </si>
  <si>
    <t>Will Smith</t>
  </si>
  <si>
    <t>Brian Snider</t>
  </si>
  <si>
    <t>Evan Snyder</t>
  </si>
  <si>
    <t>Pepe Solís</t>
  </si>
  <si>
    <t>Martin Spencer</t>
  </si>
  <si>
    <t>Rob Steele</t>
  </si>
  <si>
    <t>Bob Stephens</t>
  </si>
  <si>
    <t>Mike Stewart</t>
  </si>
  <si>
    <t>Chris Strong</t>
  </si>
  <si>
    <t>Bob Stumberg</t>
  </si>
  <si>
    <t>Mark Taylor</t>
  </si>
  <si>
    <t>Chris Thomas</t>
  </si>
  <si>
    <t>George Thomas</t>
  </si>
  <si>
    <t>Ryan Thomas</t>
  </si>
  <si>
    <t>Jorge Torres</t>
  </si>
  <si>
    <t>Howard Tucker</t>
  </si>
  <si>
    <t>Michael Tucker</t>
  </si>
  <si>
    <t>Ron Tucker</t>
  </si>
  <si>
    <t>Matt Tyler</t>
  </si>
  <si>
    <t>Armando Valdés</t>
  </si>
  <si>
    <t>Bob Vance</t>
  </si>
  <si>
    <t>Salvador Velásquez</t>
  </si>
  <si>
    <t>Rafael Vialla</t>
  </si>
  <si>
    <t>Jorge Villa</t>
  </si>
  <si>
    <t>Manuel Villarreal</t>
  </si>
  <si>
    <t>Roberto Villegas</t>
  </si>
  <si>
    <t>Brian Vincent</t>
  </si>
  <si>
    <t>Lou von Buhl</t>
  </si>
  <si>
    <t>Errol Walker</t>
  </si>
  <si>
    <t>Steve Wallace</t>
  </si>
  <si>
    <t>John Walter</t>
  </si>
  <si>
    <t>Jared Ward</t>
  </si>
  <si>
    <t>Philip Warren</t>
  </si>
  <si>
    <t>Jeff Washington</t>
  </si>
  <si>
    <t>Ted Webster</t>
  </si>
  <si>
    <t>Lawrence Weston</t>
  </si>
  <si>
    <t>Ronald Wheeler</t>
  </si>
  <si>
    <t>Jerry Wicklund</t>
  </si>
  <si>
    <t>Gregg Williams</t>
  </si>
  <si>
    <t>Henry Williams</t>
  </si>
  <si>
    <t>Joe Williams</t>
  </si>
  <si>
    <t>Marvin Williams</t>
  </si>
  <si>
    <t>Adam Wilson</t>
  </si>
  <si>
    <t>Rick Wilson</t>
  </si>
  <si>
    <t>Troy Wilson</t>
  </si>
  <si>
    <t>Jon Woods</t>
  </si>
  <si>
    <t>Bob Wright</t>
  </si>
  <si>
    <t>Ken Wright</t>
  </si>
  <si>
    <t>Tyler Wright</t>
  </si>
  <si>
    <t>Brian Zahn</t>
  </si>
  <si>
    <t>Mario Zavala</t>
  </si>
  <si>
    <t>Manuel Pacheco</t>
  </si>
  <si>
    <t>Matt Allison</t>
  </si>
  <si>
    <t>Dale Cameron</t>
  </si>
  <si>
    <t>Eric Castle</t>
  </si>
  <si>
    <t>Joshua Hall</t>
  </si>
  <si>
    <t>Mark Hickey</t>
  </si>
  <si>
    <t>Dave Kirkpatrick</t>
  </si>
  <si>
    <t>Melvin McNeal</t>
  </si>
  <si>
    <t>Miguel Angel Romero</t>
  </si>
  <si>
    <t>Roy Benson</t>
  </si>
  <si>
    <t>Michael Campbell</t>
  </si>
  <si>
    <t>António Clemente</t>
  </si>
  <si>
    <t>Otto Coleman</t>
  </si>
  <si>
    <t>Rich Phillips</t>
  </si>
  <si>
    <t>Luis Reyes</t>
  </si>
  <si>
    <t>Michael Vincent</t>
  </si>
  <si>
    <t>Dan Boorman</t>
  </si>
  <si>
    <t>Jin-hyun Chon</t>
  </si>
  <si>
    <t>Bartolo Cruz</t>
  </si>
  <si>
    <t>Curtis Fraser</t>
  </si>
  <si>
    <t>Michael Hill</t>
  </si>
  <si>
    <t>Eddy McBride</t>
  </si>
  <si>
    <t>Curt Mills</t>
  </si>
  <si>
    <t>Markus Cameron</t>
  </si>
  <si>
    <t>Ben Cunningham</t>
  </si>
  <si>
    <t>Eddie Deringer</t>
  </si>
  <si>
    <t>Rafael García</t>
  </si>
  <si>
    <t>Keith Gordon</t>
  </si>
  <si>
    <t>Juan Garza</t>
  </si>
  <si>
    <t>Miguel Garza</t>
  </si>
  <si>
    <t>Stan Gates</t>
  </si>
  <si>
    <t>George Gaulton</t>
  </si>
  <si>
    <t>Tom Gilmore</t>
  </si>
  <si>
    <t>Juan Gómez</t>
  </si>
  <si>
    <t>Fernando Gonzáles</t>
  </si>
  <si>
    <t>Marcos Gonzáles</t>
  </si>
  <si>
    <t>Mario Gonzáles</t>
  </si>
  <si>
    <t>Archie Green</t>
  </si>
  <si>
    <t>Sean Greene</t>
  </si>
  <si>
    <t>Kenny Hand</t>
  </si>
  <si>
    <t>Aaron Harris</t>
  </si>
  <si>
    <t>Dan Hartwig</t>
  </si>
  <si>
    <t>David Henderson</t>
  </si>
  <si>
    <t>Cristo Hernández</t>
  </si>
  <si>
    <t>Tony Hernández</t>
  </si>
  <si>
    <t>George Hicks</t>
  </si>
  <si>
    <t>Thomas Howard</t>
  </si>
  <si>
    <t>Paul Hughes</t>
  </si>
  <si>
    <t>Jody Hull</t>
  </si>
  <si>
    <t>Blair Humphrey</t>
  </si>
  <si>
    <t>Adam Hutchinson</t>
  </si>
  <si>
    <t>Carlos Ilana</t>
  </si>
  <si>
    <t>Bailey Jackson</t>
  </si>
  <si>
    <t>Paul Jackson</t>
  </si>
  <si>
    <t>Dan Jefferson</t>
  </si>
  <si>
    <t>Ed Jensen</t>
  </si>
  <si>
    <t>Héctor Jiménez</t>
  </si>
  <si>
    <t>Travis Johnstone</t>
  </si>
  <si>
    <t>Lewis Jones</t>
  </si>
  <si>
    <t>Stephen Jordan</t>
  </si>
  <si>
    <t>Wesley Jordan</t>
  </si>
  <si>
    <t>Vincente Juárez</t>
  </si>
  <si>
    <t>Jim Justice</t>
  </si>
  <si>
    <t>Dale Kelly</t>
  </si>
  <si>
    <t>Gabe Kelly</t>
  </si>
  <si>
    <t>Mike Kennedy</t>
  </si>
  <si>
    <t>Glenn Kenney</t>
  </si>
  <si>
    <t>Wu-han Khoo</t>
  </si>
  <si>
    <t>Pyeong-chu Kim</t>
  </si>
  <si>
    <t>Jeff King</t>
  </si>
  <si>
    <t>John Klinger</t>
  </si>
  <si>
    <t>Len Knight</t>
  </si>
  <si>
    <t>Joe Lane</t>
  </si>
  <si>
    <t>Jon Lange</t>
  </si>
  <si>
    <t>Colton Lawrence</t>
  </si>
  <si>
    <t>Ed Lee</t>
  </si>
  <si>
    <t>Anthony Leonard</t>
  </si>
  <si>
    <t>Robert Lewis</t>
  </si>
  <si>
    <t>Ed Lindquist</t>
  </si>
  <si>
    <t>Graviel Lomba</t>
  </si>
  <si>
    <t>Vicente Lorenzo</t>
  </si>
  <si>
    <t>Toby Lott</t>
  </si>
  <si>
    <t>Kelvin Lynas</t>
  </si>
  <si>
    <t>Mario Machado</t>
  </si>
  <si>
    <t>Carlos Macías</t>
  </si>
  <si>
    <t>Jeff Mack</t>
  </si>
  <si>
    <t>Winston MacLyan</t>
  </si>
  <si>
    <t>Louis-Émile Martineau</t>
  </si>
  <si>
    <t>Edgardo Martínez</t>
  </si>
  <si>
    <t>Gustavo Martínez</t>
  </si>
  <si>
    <t>Luis Martínez</t>
  </si>
  <si>
    <t>Hiroshige Maruyama</t>
  </si>
  <si>
    <t>Ted Maxwell</t>
  </si>
  <si>
    <t>Oliver McBride</t>
  </si>
  <si>
    <t>Dave McCall</t>
  </si>
  <si>
    <t>Roy McClendon</t>
  </si>
  <si>
    <t>Jason McDonald</t>
  </si>
  <si>
    <t>Phillip McDonald</t>
  </si>
  <si>
    <t>Larry McIntosh</t>
  </si>
  <si>
    <t>Bill McIntyre</t>
  </si>
  <si>
    <t>Máximo Medina</t>
  </si>
  <si>
    <t>Arthur Miller</t>
  </si>
  <si>
    <t>Bobby Miller</t>
  </si>
  <si>
    <t>Henry Miller</t>
  </si>
  <si>
    <t>Billy Mills</t>
  </si>
  <si>
    <t>River Mitchell</t>
  </si>
  <si>
    <t>Andrés Molina</t>
  </si>
  <si>
    <t>Douglas Moon</t>
  </si>
  <si>
    <t>Raúl Morales</t>
  </si>
  <si>
    <t>Tim Morgan</t>
  </si>
  <si>
    <t>John Moss</t>
  </si>
  <si>
    <t>Juan Muñóz</t>
  </si>
  <si>
    <t>Eduardo Murillo</t>
  </si>
  <si>
    <t>Rob Murphy</t>
  </si>
  <si>
    <t>Chad Murray</t>
  </si>
  <si>
    <t>Phil Myers</t>
  </si>
  <si>
    <t>Chris Nicholas</t>
  </si>
  <si>
    <t>Ed Nielsen</t>
  </si>
  <si>
    <t>Dennis Normand</t>
  </si>
  <si>
    <t>Bobby O'Brien</t>
  </si>
  <si>
    <t>Charlie O'Neill</t>
  </si>
  <si>
    <t>León Ortega</t>
  </si>
  <si>
    <t>Luis Ortega</t>
  </si>
  <si>
    <t>Edgar Ortíz</t>
  </si>
  <si>
    <t>Manolito Padilla</t>
  </si>
  <si>
    <t>Mario Padilla</t>
  </si>
  <si>
    <t>Pablo Padilla</t>
  </si>
  <si>
    <t>Jack Parkinson</t>
  </si>
  <si>
    <t>Jonathan Payne</t>
  </si>
  <si>
    <t>Lorenzo Peret</t>
  </si>
  <si>
    <t>Joaquín Pérez</t>
  </si>
  <si>
    <t>Ken Phillips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</si>
  <si>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</si>
  <si>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</si>
  <si>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</si>
  <si>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</si>
  <si>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</si>
  <si>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</si>
  <si>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</si>
  <si>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</si>
  <si>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</si>
  <si>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Royce Raines</t>
  </si>
  <si>
    <t>Rubén Jiménez</t>
  </si>
  <si>
    <t>Bruce McGuire</t>
  </si>
  <si>
    <t>Carlos Ryan</t>
  </si>
  <si>
    <t>Marcos Sánchez</t>
  </si>
  <si>
    <t>Javier Torres</t>
  </si>
  <si>
    <t>King Bailey</t>
  </si>
  <si>
    <t>Stephen Hooper</t>
  </si>
  <si>
    <t>Reggie Myers</t>
  </si>
  <si>
    <t>Flint Butler</t>
  </si>
  <si>
    <t>Bill Gibbs</t>
  </si>
  <si>
    <t>François Léveillée</t>
  </si>
  <si>
    <t>Gabriel Martínez</t>
  </si>
  <si>
    <t>Norberto Peralta</t>
  </si>
  <si>
    <t>Lonnie Evans</t>
  </si>
  <si>
    <t>Gordon Fuller</t>
  </si>
  <si>
    <t>Stu Greer</t>
  </si>
  <si>
    <t>Germán Hernández</t>
  </si>
  <si>
    <t>Dominic Maye</t>
  </si>
  <si>
    <t>Gabriel McIntyre</t>
  </si>
  <si>
    <t>Jack Washington</t>
  </si>
  <si>
    <t>Edgardo Acarcon</t>
  </si>
  <si>
    <t>Miguel Campoy</t>
  </si>
  <si>
    <t>Nelson Cardenas</t>
  </si>
  <si>
    <t>Steve Curtis</t>
  </si>
  <si>
    <t>Ernesto León</t>
  </si>
  <si>
    <t>Michael Manley</t>
  </si>
  <si>
    <t>Donald Mitchell</t>
  </si>
  <si>
    <t>Phil Carter</t>
  </si>
  <si>
    <t>Luis González</t>
  </si>
  <si>
    <t>Jason Green</t>
  </si>
  <si>
    <t>Tomás Hernández</t>
  </si>
  <si>
    <t>Jessie Kimball</t>
  </si>
  <si>
    <t>Joe Walsh</t>
  </si>
  <si>
    <t>Manuel Zaragoza</t>
  </si>
  <si>
    <t>Symão Alho</t>
  </si>
  <si>
    <t>Sherwood Alldritt</t>
  </si>
  <si>
    <t>Rafael Aranda</t>
  </si>
  <si>
    <t>Dexter Armstrong</t>
  </si>
  <si>
    <t>Rodney Armstrong</t>
  </si>
  <si>
    <t>John Avery</t>
  </si>
  <si>
    <t>Dan Bailey</t>
  </si>
  <si>
    <t>Anastagio Baio</t>
  </si>
  <si>
    <t>Nelson Baker</t>
  </si>
  <si>
    <t>Michael Banks</t>
  </si>
  <si>
    <t>Miguel Baraja</t>
  </si>
  <si>
    <t>George Battle</t>
  </si>
  <si>
    <t>Connor Becker</t>
  </si>
  <si>
    <t>Henry Blencowe</t>
  </si>
  <si>
    <t>Steve Boes</t>
  </si>
  <si>
    <t>Nate Boyce</t>
  </si>
  <si>
    <t>Cornell Bradford</t>
  </si>
  <si>
    <t>Alan Bradshaw</t>
  </si>
  <si>
    <t>Alden Brockington</t>
  </si>
  <si>
    <t>Matt Browne</t>
  </si>
  <si>
    <t>Zdenek Bucek</t>
  </si>
  <si>
    <t>Bryan Buckley</t>
  </si>
  <si>
    <t>Evan Burgess</t>
  </si>
  <si>
    <t>Bob Campbell</t>
  </si>
  <si>
    <t>Caden Carlisle</t>
  </si>
  <si>
    <t>Michael Carter</t>
  </si>
  <si>
    <t>Sterling Catron</t>
  </si>
  <si>
    <t>Alfredo Chávez</t>
  </si>
  <si>
    <t>Stan Cherry</t>
  </si>
  <si>
    <t>Willie Clark</t>
  </si>
  <si>
    <t>Dave Clay</t>
  </si>
  <si>
    <t>Scott Coleman</t>
  </si>
  <si>
    <t>Jeremy Collins</t>
  </si>
  <si>
    <t>William Collins</t>
  </si>
  <si>
    <t>Manny Cortéz</t>
  </si>
  <si>
    <t>Bob Cowan</t>
  </si>
  <si>
    <t>Stephen Cox</t>
  </si>
  <si>
    <t>Jerry Crittenden</t>
  </si>
  <si>
    <t>Iván Cruz</t>
  </si>
  <si>
    <t>Ricardo Cruz</t>
  </si>
  <si>
    <t>Drew Davis</t>
  </si>
  <si>
    <t>Ramón Díaz</t>
  </si>
  <si>
    <t>Reynaldo Díaz</t>
  </si>
  <si>
    <t>Clarence Duncan</t>
  </si>
  <si>
    <t>Greg Dundee</t>
  </si>
  <si>
    <t>Willie Edmonds</t>
  </si>
  <si>
    <t>Will Ellis</t>
  </si>
  <si>
    <t>Bartolo Espinoza</t>
  </si>
  <si>
    <t>Chris Evans</t>
  </si>
  <si>
    <t>Alejandro Fierro</t>
  </si>
  <si>
    <t>Jim Fitter</t>
  </si>
  <si>
    <t>Mark Flannery</t>
  </si>
  <si>
    <t>Aubrey Fleury</t>
  </si>
  <si>
    <t>Carlos Flores</t>
  </si>
  <si>
    <t>Al Fuller</t>
  </si>
  <si>
    <t>Jacob Gaines</t>
  </si>
  <si>
    <t>Claudio García</t>
  </si>
  <si>
    <t>Ricardo García</t>
  </si>
  <si>
    <t>Tony García</t>
  </si>
  <si>
    <t>José Garza</t>
  </si>
  <si>
    <t>Palm Springs Codgers: Signed Bobby Strickland to a minor league contract with a signing bonus of $320,000.</t>
  </si>
  <si>
    <t>Kentucky Thoroughbreds: Signed António Valdéz to a minor league contract with a signing bonus of $1,550,000.</t>
  </si>
  <si>
    <t>New Orleans Trendsetters: Signed Les Morrison to a minor league contract with a signing bonus of $670,000.</t>
  </si>
  <si>
    <t>Palm Springs Codgers: Signed Mathieu Turcotte to a minor league contract with a signing bonus of $270,000.</t>
  </si>
  <si>
    <t>West Virginia Alleghenies: Signed Mike Dotson to a minor league contract with a signing bonus of $1,720,000.</t>
  </si>
  <si>
    <t>Canton Longshoremen: Signed Michael Wilkinson to a minor league contract with a signing bonus of $2,600,000.</t>
  </si>
  <si>
    <t>Kentucky Thoroughbreds: Signed Roger MacDrain to a minor league contract with a signing bonus of $280,000.</t>
  </si>
  <si>
    <t>Florida Featherheads: Signed Stephen Townsend to a minor league contract with a signing bonus of $280,000.</t>
  </si>
  <si>
    <t>Crystal Lake Sandgnats: Signed Brandon Johnson to a minor league contract with a signing bonus of $400,000.</t>
  </si>
  <si>
    <t>Arlington Bureaucrats: Signed Xavier Hernández to a minor league contract with a signing bonus of $290,000.</t>
  </si>
  <si>
    <t>Crystal Lake Sandgnats: Signed Mark Montgomery to a minor league contract with a signing bonus of $1,090,000.</t>
  </si>
  <si>
    <t>Kentucky Thoroughbreds: Signed Donald Hamilton to a minor league contract with a signing bonus of $3,100,000.</t>
  </si>
  <si>
    <t>Crystal Lake Sandgnats: Signed Thurman Collins to a minor league contract with a signing bonus of $260,000.</t>
  </si>
  <si>
    <t>Crystal Lake Sandgnats: Signed Nelson Rodríguez to a minor league contract with a signing bonus of $180,000.</t>
  </si>
  <si>
    <t>Connecticut Nutmeggers: Signed Salvador González to a minor league contract with a signing bonus of $650,000.</t>
  </si>
  <si>
    <t>West Virginia Alleghenies: Signed Fernando Moreno to a minor league contract with a signing bonus of $4,500,000.</t>
  </si>
  <si>
    <t>West Virginia Alleghenies: Signed Javier Martínez to a minor league contract with a signing bonus of $210,000.</t>
  </si>
  <si>
    <t>Full Text</t>
  </si>
  <si>
    <t>Bonus</t>
  </si>
  <si>
    <t>MLB</t>
  </si>
  <si>
    <t>MLB Salary</t>
  </si>
  <si>
    <t>MLB Term</t>
  </si>
  <si>
    <t>ID</t>
  </si>
  <si>
    <t>Arlington Bureaucrats: Signed Danny Cooley to a minor league contract with a signing bonus of $430,000.</t>
  </si>
  <si>
    <t>Arlington Bureaucrats: Signed Gerardo Mora to a minor league contract with a signing bonus of $250,000.</t>
  </si>
  <si>
    <t>Manchester Maulers: Signed Ernest Singleton to a minor league contract with a signing bonus of $550,000.</t>
  </si>
  <si>
    <t>Connecticut Nutmeggers: Signed Matt Nielsen to a minor league contract with a signing bonus of $320,000.</t>
  </si>
  <si>
    <t>Florida Featherheads: Signed Alexis Hancock to a minor league contract with a signing bonus of $1,140,000.</t>
  </si>
  <si>
    <t>Arlington Bureaucrats: Signed Arthur Gibson to a minor league contract with a signing bonus of $190,000.</t>
  </si>
  <si>
    <t>Florida Featherheads: Signed Juan Jose Báez to a minor league contract with a signing bonus of $180,000.</t>
  </si>
  <si>
    <t>Manchester Maulers: Signed Lambert Blanchet to a minor league contract with a signing bonus of $230,000.</t>
  </si>
  <si>
    <t>Arlington Bureaucrats: Signed Keith Jenkins to a minor league contract with a signing bonus of $210,000.</t>
  </si>
  <si>
    <t>Connecticut Nutmeggers: Signed David Sánchez to a minor league contract with a signing bonus of $330,000.</t>
  </si>
  <si>
    <t>Gloucester Fishermen: Signed Charles Spencer to a minor league contract with a signing bonus of $900,000.</t>
  </si>
  <si>
    <t>Kentucky Thoroughbreds: Signed Stephen Clark to a minor league contract with a signing bonus of $750,000.</t>
  </si>
  <si>
    <t>West Virginia Alleghenies: Signed Eddy Price to a minor league contract with a signing bonus of $210,000.</t>
  </si>
  <si>
    <t>Kentucky Thoroughbreds: Signed Hideaki Sakei to a minor league contract with a signing bonus of $1,380,000.</t>
  </si>
  <si>
    <t>Palm Springs Codgers: Signed William Pollock to a minor league contract with a signing bonus of $1,590,000.</t>
  </si>
  <si>
    <t>London Underground: Signed Christian O'Rorke to a minor league contract with a signing bonus of $1,400,000.</t>
  </si>
  <si>
    <t>Arlington Bureaucrats: Signed Jeremy Johnson to a minor league contract with a signing bonus of $200,000.</t>
  </si>
  <si>
    <t>Kentucky Thoroughbreds: Signed Rob Washington to a minor league contract with a signing bonus of $190,000.</t>
  </si>
  <si>
    <t>London Underground: Signed Yong-sung Kim to a minor league contract with a signing bonus of $420,000.</t>
  </si>
  <si>
    <t>New Jersey Hitmen: Signed Júlio González to a minor league contract with a signing bonus of $1,100,000.</t>
  </si>
  <si>
    <t>Canton Longshoremen: Signed Juan Márquez to a minor league contract with a signing bonus of $2,040,000.</t>
  </si>
  <si>
    <t>Gloucester Fishermen: Signed Steve Hodge to a minor league contract with a signing bonus of $230,000.</t>
  </si>
  <si>
    <t>Florida Featherheads: Signed Dan Aguilar to a minor league contract with a signing bonus of $460,000.</t>
  </si>
  <si>
    <t>Bakersfield Bears: Signed Javier Jiménez to a minor league contract with a signing bonus of $200,000.</t>
  </si>
  <si>
    <t>Connecticut Nutmeggers: Signed John Howe to a minor league contract with a signing bonus of $5,570,000.</t>
  </si>
  <si>
    <t>Gloucester Fishermen: Signed Bob Hensley to a minor league contract with a signing bonus of $270,000.</t>
  </si>
  <si>
    <t>Palm Springs Codgers: Signed Joseph Lloyd to a minor league contract with a signing bonus of $600,000.</t>
  </si>
  <si>
    <t>Palm Springs Codgers: Signed Bob Whitaker to a minor league contract with a signing bonus of $2,880,000.</t>
  </si>
  <si>
    <t>Kalamazoo Badgers: Signed Arturo Gonzáles to a minor league contract with a signing bonus of $260,000.</t>
  </si>
  <si>
    <t>Florida Featherheads: Signed Ronnie Green to a minor league contract with a signing bonus of $350,000.</t>
  </si>
  <si>
    <t>Arlington Bureaucrats: Signed Craig Grant to a minor league contract with a signing bonus of $150,000.</t>
  </si>
  <si>
    <t>Charleston Statesmen: Signed Bill Caldwell to a minor league contract with a signing bonus of $2,160,000.</t>
  </si>
  <si>
    <t>Kentucky Thoroughbreds: Signed Cris Chacón to a minor league contract with a signing bonus of $585,000.</t>
  </si>
  <si>
    <t>London Underground: Signed Rafael Martínez to a minor league contract with a signing bonus of $190,000.</t>
  </si>
  <si>
    <t>Crystal Lake Sandgnats: Signed Chad Miller to a minor league contract with a signing bonus of $500,000.</t>
  </si>
  <si>
    <t>Crystal Lake Sandgnats: Signed Mark Rivera to a minor league contract with a signing bonus of $150,000.</t>
  </si>
  <si>
    <t>Fargo Dinosaurs: Signed Orlando Ramos to a minor league contract with a signing bonus of $205,000.</t>
  </si>
  <si>
    <t>Bakersfield Bears: Signed Reid Bonner to a minor league contract with a signing bonus of $220,000.</t>
  </si>
  <si>
    <t>Aurora Borealis: Signed Craig Russell to a minor league contract with a signing bonus of $150,000.</t>
  </si>
  <si>
    <t>Yuma Bulldozers: Signed Victor Latham to a minor league contract with a signing bonus of $4,240,000.</t>
  </si>
  <si>
    <t>Fargo Dinosaurs: Signed Víctor Franco to a minor league contract with a signing bonus of $1,060,000.</t>
  </si>
  <si>
    <t>Aurora Borealis: Signed Paul Carlisle to a minor league contract with a signing bonus of $450,000.</t>
  </si>
  <si>
    <t>Yuma Bulldozers: Signed Stephen Walsh to a minor league contract with a signing bonus of $670,000.</t>
  </si>
  <si>
    <t>Aurora Borealis: Signed Manuel Galloca to a minor league contract with a signing bonus of $250,000.</t>
  </si>
  <si>
    <t>Yuma Bulldozers: Signed Claudio Andrés to a minor league contract with a signing bonus of $260,000.</t>
  </si>
  <si>
    <t>Duluth Warriors: Signed Adrián Navarro to a minor league contract with a signing bonus of $250,000.</t>
  </si>
  <si>
    <t>Yuma Bulldozers: Signed Hai-liang Choe to a minor league contract with a signing bonus of $2,160,000.</t>
  </si>
  <si>
    <t>Yuma Bulldozers: Signed Rubén Hernández to a minor league contract with a signing bonus of $450,000.</t>
  </si>
  <si>
    <t>Florida Featherheads: Signed Scott Bell to a minor league contract with a signing bonus of $400,000.</t>
  </si>
  <si>
    <t>Kalamazoo Badgers: Signed Scott Wiggins to a minor league contract with a signing bonus of $1,740,000.</t>
  </si>
  <si>
    <t>Gloucester Fishermen: Signed Jeff Lewis to a minor league contract with a signing bonus of $240,000.</t>
  </si>
  <si>
    <t>New Jersey Hitmen: Signed Daniel Sharpe to a minor league contract with a signing bonus of $2,700,000.</t>
  </si>
  <si>
    <t>Yuma Bulldozers: Signed Miguel González to a minor league contract with a signing bonus of $250,000.</t>
  </si>
  <si>
    <t>Aurora Borealis: Signed Jorge Rodríguez to a minor league contract with a signing bonus of $350,000.</t>
  </si>
  <si>
    <t>Kalamazoo Badgers: Signed Forrest Murphy to a minor league contract with a signing bonus of $640,000.</t>
  </si>
  <si>
    <t>Yuma Bulldozers: Signed Jeff Wolfe to a minor league contract with a signing bonus of $750,000.</t>
  </si>
  <si>
    <t>Tempe Knights: Signed Ramón García to a minor league contract with a signing bonus of $210,000.</t>
  </si>
  <si>
    <t>Tempe Knights: Signed Lance Fields to a minor league contract with a signing bonus of $220,000.</t>
  </si>
  <si>
    <t>Tempe Knights: Signed Bruce Miller to a minor league contract with a signing bonus of $4,030,000.</t>
  </si>
  <si>
    <t>Duluth Warriors: Signed Juan Ortíz to a minor league contract with a signing bonus of $220,000.</t>
  </si>
  <si>
    <t>Yuma Bulldozers: Signed Spencer Cox to a minor league contract with a signing bonus of $370,000.</t>
  </si>
  <si>
    <t>London Underground: Signed Bob Neal to a minor league contract with a signing bonus of $830,000.</t>
  </si>
  <si>
    <t>Duluth Warriors: Signed Ángel Colón to a minor league contract with a signing bonus of $250,000.</t>
  </si>
  <si>
    <t>Duluth Warriors: Signed Xavier Mota to a minor league contract with a signing bonus of $340,000.</t>
  </si>
  <si>
    <t>Aurora Borealis: Signed Greg Chaney to a minor league contract with a signing bonus of $200,000.</t>
  </si>
  <si>
    <t>Duluth Warriors: Signed Jimmy Hudson to a minor league contract with a signing bonus of $3,100,000.</t>
  </si>
  <si>
    <t>Aurora Borealis: Signed Carlos Pérez to a minor league contract with a signing bonus of $1,180,000.</t>
  </si>
  <si>
    <t>Fargo Dinosaurs: Signed César Ortega to a minor league contract with a signing bonus of $360,000.</t>
  </si>
  <si>
    <t>Kalamazoo Badgers: Signed John Baker to a minor league contract with a signing bonus of $430,000.</t>
  </si>
  <si>
    <t>London Underground: Signed Tom Rucker to a minor league contract with a signing bonus of $280,000.</t>
  </si>
  <si>
    <t>Kalamazoo Badgers: Signed Simon Jones to a minor league contract with a signing bonus of $2,420,000.</t>
  </si>
  <si>
    <t>Omaha Cyclones: Signed Lawrence McCoy to a minor league contract with a signing bonus of $178,000.</t>
  </si>
  <si>
    <t>Tempe Knights: Signed Fernando Moreno to a minor league contract with a signing bonus of $770,000.</t>
  </si>
  <si>
    <t>Bakersfield Bears: Signed Tim Altmann to a minor league contract with a signing bonus of $300,000.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</si>
  <si>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</si>
  <si>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</si>
  <si>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</si>
  <si>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</si>
  <si>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</si>
  <si>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</si>
  <si>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</si>
  <si>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</si>
  <si>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</si>
  <si>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</si>
  <si>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</si>
  <si>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Show/Hide</t>
  </si>
  <si>
    <t>Round</t>
  </si>
  <si>
    <t>Overall</t>
  </si>
  <si>
    <t>Player</t>
  </si>
  <si>
    <t>Yuma Bulldozers</t>
  </si>
  <si>
    <t>Tempe Knights</t>
  </si>
  <si>
    <t>Aurora Borealis</t>
  </si>
  <si>
    <t>Reno Zephyrs</t>
  </si>
  <si>
    <t>Canton Longshoremen</t>
  </si>
  <si>
    <t>Palm Springs Codgers</t>
  </si>
  <si>
    <t>Connecticut Nutmeggers</t>
  </si>
  <si>
    <t>Kalamazoo Badgers</t>
  </si>
  <si>
    <t>Florida Featherheads</t>
  </si>
  <si>
    <t>West Virginia Alleghenies</t>
  </si>
  <si>
    <t>Kentucky Thoroughbreds</t>
  </si>
  <si>
    <t>London Underground</t>
  </si>
  <si>
    <t>Charleston Statesmen</t>
  </si>
  <si>
    <t>Arlington Bureaucrats</t>
  </si>
  <si>
    <t>Omaha Cyclones</t>
  </si>
  <si>
    <t>Crystal Lake Sandgnats</t>
  </si>
  <si>
    <t>Duluth Warriors</t>
  </si>
  <si>
    <t>Bakersfield Bears</t>
  </si>
  <si>
    <t>Supplemental to Round 1</t>
  </si>
  <si>
    <t>S1</t>
  </si>
  <si>
    <t>Gloucester Fishermen</t>
  </si>
  <si>
    <t>New Jersey Hitmen</t>
  </si>
  <si>
    <t>Round 2</t>
  </si>
  <si>
    <t>New Orleans Trendsetters</t>
  </si>
  <si>
    <t>Manchester Maulers</t>
  </si>
  <si>
    <t>Fargo Dinosaurs</t>
  </si>
  <si>
    <t>Round 3</t>
  </si>
  <si>
    <t>Round 4</t>
  </si>
  <si>
    <t>Round 5</t>
  </si>
  <si>
    <t>Round 6</t>
  </si>
  <si>
    <t>San Antonio Calzones of Laredo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</si>
  <si>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</si>
  <si>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</si>
  <si>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</si>
  <si>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</si>
  <si>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</si>
  <si>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</si>
  <si>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</si>
  <si>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</si>
  <si>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</si>
  <si>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Aurora Borealis: Signed 1st round draft pick Mike Hale for a signing bonus of $2,700,000 and a 3-year major league contract worth a total of $3,900,000.</t>
  </si>
  <si>
    <t>Reno Zephyrs: Signed Xin Ec to a minor league contract with a signing bonus of $480,000.</t>
  </si>
  <si>
    <t>Yuma Bulldozers: Signed 1st round draft pick Jarrod Ricks for a signing bonus of $8,000,000 and a 3-year major league contract worth a total of $3,750,000.</t>
  </si>
  <si>
    <t>Reno Zephyrs: Signed Tom Rhodes to a minor league contract with a signing bonus of $310,000.</t>
  </si>
  <si>
    <t>Tempe Knights: Signed George Lee to a minor league contract with a signing bonus of $6,760,000.</t>
  </si>
  <si>
    <t>Reno Zephyrs: Signed Sancho Yánez to a minor league contract with a signing bonus of $640,000.</t>
  </si>
  <si>
    <t>Yuma Bulldozers: Signed Cory Cole to a minor league contract with a signing bonus of $310,000.</t>
  </si>
  <si>
    <t>Reno Zephyrs: Signed Caden Stewart to a minor league contract with a signing bonus of $250,000.</t>
  </si>
  <si>
    <t>Rodríguez</t>
  </si>
  <si>
    <t>Phillips</t>
  </si>
  <si>
    <t>William</t>
  </si>
  <si>
    <t>Anderson</t>
  </si>
  <si>
    <t>Carlisle</t>
  </si>
  <si>
    <t>Stewart</t>
  </si>
  <si>
    <t>Glenn</t>
  </si>
  <si>
    <t>Padilla</t>
  </si>
  <si>
    <t>Alfred</t>
  </si>
  <si>
    <t>Bruce</t>
  </si>
  <si>
    <t>Browne</t>
  </si>
  <si>
    <t>Pablo</t>
  </si>
  <si>
    <t>Espinoza</t>
  </si>
  <si>
    <t>Lewis</t>
  </si>
  <si>
    <t>Spencer</t>
  </si>
  <si>
    <t>Blair</t>
  </si>
  <si>
    <t>Jones</t>
  </si>
  <si>
    <t>Claudio</t>
  </si>
  <si>
    <t>Salvador</t>
  </si>
  <si>
    <t>Maldonado</t>
  </si>
  <si>
    <t>Neal</t>
  </si>
  <si>
    <t>Raúl</t>
  </si>
  <si>
    <t>Chet</t>
  </si>
  <si>
    <t>Sean</t>
  </si>
  <si>
    <t>Gray</t>
  </si>
  <si>
    <t>Walsh</t>
  </si>
  <si>
    <t>Eddy</t>
  </si>
  <si>
    <t>Fernando</t>
  </si>
  <si>
    <t>wOBA</t>
  </si>
  <si>
    <t>OPS</t>
  </si>
  <si>
    <t>SLG</t>
  </si>
  <si>
    <t>OBP</t>
  </si>
  <si>
    <t>AVG</t>
  </si>
  <si>
    <t>CS</t>
  </si>
  <si>
    <t>SB</t>
  </si>
  <si>
    <t>K</t>
  </si>
  <si>
    <t>BB</t>
  </si>
  <si>
    <t>RBI</t>
  </si>
  <si>
    <t>HR</t>
  </si>
  <si>
    <t>AB</t>
  </si>
  <si>
    <t>G</t>
  </si>
  <si>
    <t>Position</t>
  </si>
  <si>
    <t>Date of Birth</t>
  </si>
  <si>
    <t>Slot Demand</t>
  </si>
  <si>
    <t>Last Name</t>
  </si>
  <si>
    <t>First Name</t>
  </si>
  <si>
    <t>//Format: Player ID</t>
  </si>
  <si>
    <t>P</t>
  </si>
  <si>
    <t>Jerry</t>
  </si>
  <si>
    <t>Nick</t>
  </si>
  <si>
    <t>Stephens</t>
  </si>
  <si>
    <t>Herrera</t>
  </si>
  <si>
    <t>Jensen</t>
  </si>
  <si>
    <t>Flores</t>
  </si>
  <si>
    <t>Robinson</t>
  </si>
  <si>
    <t>Colón</t>
  </si>
  <si>
    <t>Cherry</t>
  </si>
  <si>
    <t>Daniel</t>
  </si>
  <si>
    <t>Webster</t>
  </si>
  <si>
    <t>Ernesto</t>
  </si>
  <si>
    <t>Júlio</t>
  </si>
  <si>
    <t>Harris</t>
  </si>
  <si>
    <t>Kim</t>
  </si>
  <si>
    <t>Gabriel</t>
  </si>
  <si>
    <t>Leonard</t>
  </si>
  <si>
    <t>Phil</t>
  </si>
  <si>
    <t>Campbell</t>
  </si>
  <si>
    <t>Hathaway</t>
  </si>
  <si>
    <t>Frank</t>
  </si>
  <si>
    <t>Cristo</t>
  </si>
  <si>
    <t>Mitchell</t>
  </si>
  <si>
    <t>Jeremy</t>
  </si>
  <si>
    <t>Washington</t>
  </si>
  <si>
    <t>Edgar</t>
  </si>
  <si>
    <t>Lange</t>
  </si>
  <si>
    <t>León</t>
  </si>
  <si>
    <t>Evans</t>
  </si>
  <si>
    <t>Carl</t>
  </si>
  <si>
    <t>Lópes</t>
  </si>
  <si>
    <t>Larry</t>
  </si>
  <si>
    <t>Huff</t>
  </si>
  <si>
    <t>Romero</t>
  </si>
  <si>
    <t>Payne</t>
  </si>
  <si>
    <t>Caden</t>
  </si>
  <si>
    <t>Lawrence</t>
  </si>
  <si>
    <t>Arthur</t>
  </si>
  <si>
    <t>Cortéz</t>
  </si>
  <si>
    <t>Maxwell</t>
  </si>
  <si>
    <t>Francisco</t>
  </si>
  <si>
    <t>Flint</t>
  </si>
  <si>
    <t>Kenny</t>
  </si>
  <si>
    <t>Cruz</t>
  </si>
  <si>
    <t>Charlie</t>
  </si>
  <si>
    <t>Ramón</t>
  </si>
  <si>
    <t>Melvin</t>
  </si>
  <si>
    <t>Rodney</t>
  </si>
  <si>
    <t>Hughes</t>
  </si>
  <si>
    <t>Edwards</t>
  </si>
  <si>
    <t>Cameron</t>
  </si>
  <si>
    <t>Gordon</t>
  </si>
  <si>
    <t>Franco</t>
  </si>
  <si>
    <t>Rivera</t>
  </si>
  <si>
    <t>Nielsen</t>
  </si>
  <si>
    <t>Wheeler</t>
  </si>
  <si>
    <t>Banks</t>
  </si>
  <si>
    <t>Gibbs</t>
  </si>
  <si>
    <t>Altagracia</t>
  </si>
  <si>
    <t>Moore</t>
  </si>
  <si>
    <t>George</t>
  </si>
  <si>
    <t>Collins</t>
  </si>
  <si>
    <t>Fred</t>
  </si>
  <si>
    <t>Peterson</t>
  </si>
  <si>
    <t>Aurelio</t>
  </si>
  <si>
    <t>Jim</t>
  </si>
  <si>
    <t>Hill</t>
  </si>
  <si>
    <t>Bobby</t>
  </si>
  <si>
    <t>Wright</t>
  </si>
  <si>
    <t>Cox</t>
  </si>
  <si>
    <t>Warren</t>
  </si>
  <si>
    <t>Avery</t>
  </si>
  <si>
    <t>Thad</t>
  </si>
  <si>
    <t>Jordan</t>
  </si>
  <si>
    <t>Charles</t>
  </si>
  <si>
    <t>Murphy</t>
  </si>
  <si>
    <t>Jefferson</t>
  </si>
  <si>
    <t>Field</t>
  </si>
  <si>
    <t>Quinton</t>
  </si>
  <si>
    <t>Boerboom</t>
  </si>
  <si>
    <t>Esquivel</t>
  </si>
  <si>
    <t>Andy</t>
  </si>
  <si>
    <t>Pollock</t>
  </si>
  <si>
    <t>Torres</t>
  </si>
  <si>
    <t>Chad</t>
  </si>
  <si>
    <t>BABIP</t>
  </si>
  <si>
    <t>OAVG</t>
  </si>
  <si>
    <t>WHIP</t>
  </si>
  <si>
    <t>ER</t>
  </si>
  <si>
    <t>IP</t>
  </si>
  <si>
    <t>GS</t>
  </si>
  <si>
    <t>ERA</t>
  </si>
  <si>
    <t>SHO</t>
  </si>
  <si>
    <t>CG</t>
  </si>
  <si>
    <t>SV</t>
  </si>
  <si>
    <t>W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</si>
  <si>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</si>
  <si>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</si>
  <si>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</si>
  <si>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</si>
  <si>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</si>
  <si>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</si>
  <si>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</si>
  <si>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</si>
  <si>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</si>
  <si>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</si>
  <si>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</si>
  <si>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</si>
  <si>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</si>
  <si>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</si>
  <si>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</si>
  <si>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</si>
  <si>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PH</t>
  </si>
  <si>
    <t>Stephen</t>
  </si>
  <si>
    <t>Luis</t>
  </si>
  <si>
    <t>Álex</t>
  </si>
  <si>
    <t>Richard</t>
  </si>
  <si>
    <t>King</t>
  </si>
  <si>
    <t>Dave</t>
  </si>
  <si>
    <t>García</t>
  </si>
  <si>
    <t>Jorge</t>
  </si>
  <si>
    <t>Jon</t>
  </si>
  <si>
    <t>Donald</t>
  </si>
  <si>
    <t>Juan</t>
  </si>
  <si>
    <t>Bradford</t>
  </si>
  <si>
    <t>Willie</t>
  </si>
  <si>
    <t>Nelson</t>
  </si>
  <si>
    <t>Jeff</t>
  </si>
  <si>
    <t>Toby</t>
  </si>
  <si>
    <t>Michael</t>
  </si>
  <si>
    <t>Davis</t>
  </si>
  <si>
    <t>Mark</t>
  </si>
  <si>
    <t>Steven</t>
  </si>
  <si>
    <t>Brown</t>
  </si>
  <si>
    <t>Ralph</t>
  </si>
  <si>
    <t>Henry</t>
  </si>
  <si>
    <t>Matt</t>
  </si>
  <si>
    <t>José</t>
  </si>
  <si>
    <t>Steve</t>
  </si>
  <si>
    <t>Vicente</t>
  </si>
  <si>
    <t>Ken</t>
  </si>
  <si>
    <t>Sandoval</t>
  </si>
  <si>
    <t>Jesús</t>
  </si>
  <si>
    <t>Johnson</t>
  </si>
  <si>
    <t>Jack</t>
  </si>
  <si>
    <t>Ron</t>
  </si>
  <si>
    <t>Ortíz</t>
  </si>
  <si>
    <t>Pacheco</t>
  </si>
  <si>
    <t>Tony</t>
  </si>
  <si>
    <t>Karl</t>
  </si>
  <si>
    <t>Manuel</t>
  </si>
  <si>
    <t>Mike</t>
  </si>
  <si>
    <t>Jackson</t>
  </si>
  <si>
    <t>Andre</t>
  </si>
  <si>
    <t>Bartolo</t>
  </si>
  <si>
    <t>Clark</t>
  </si>
  <si>
    <t>Kennedy</t>
  </si>
  <si>
    <t>Bill</t>
  </si>
  <si>
    <t>Cunningham</t>
  </si>
  <si>
    <t>Nolan</t>
  </si>
  <si>
    <t>Tim</t>
  </si>
  <si>
    <t>Ed</t>
  </si>
  <si>
    <t>Scott</t>
  </si>
  <si>
    <t>Tom</t>
  </si>
  <si>
    <t>Alejandro</t>
  </si>
  <si>
    <t>González</t>
  </si>
  <si>
    <t>López</t>
  </si>
  <si>
    <t>Thomas</t>
  </si>
  <si>
    <t>Carter</t>
  </si>
  <si>
    <t>Serrano</t>
  </si>
  <si>
    <t>Rafael</t>
  </si>
  <si>
    <t>Rob</t>
  </si>
  <si>
    <t>Wilson</t>
  </si>
  <si>
    <t>Hernández</t>
  </si>
  <si>
    <t>Aaron</t>
  </si>
  <si>
    <t>Sergio</t>
  </si>
  <si>
    <t>Vincent</t>
  </si>
  <si>
    <t>Brent</t>
  </si>
  <si>
    <t>Greg</t>
  </si>
  <si>
    <t>Smith</t>
  </si>
  <si>
    <t>Miller</t>
  </si>
  <si>
    <t>Bailey</t>
  </si>
  <si>
    <t>Burns</t>
  </si>
  <si>
    <t>Wesley</t>
  </si>
  <si>
    <t>Jimmy</t>
  </si>
  <si>
    <t>Javier</t>
  </si>
  <si>
    <t>Manny</t>
  </si>
  <si>
    <t>Eduardo</t>
  </si>
  <si>
    <t>Domínguez</t>
  </si>
  <si>
    <t>Roger</t>
  </si>
  <si>
    <t>Derek</t>
  </si>
  <si>
    <t>Reyes</t>
  </si>
  <si>
    <t>Kevin</t>
  </si>
  <si>
    <t>Williams</t>
  </si>
  <si>
    <t>Díaz</t>
  </si>
  <si>
    <t>McKenzie</t>
  </si>
  <si>
    <t>David</t>
  </si>
  <si>
    <t>Joseph</t>
  </si>
  <si>
    <t>Wolfe</t>
  </si>
  <si>
    <t>Ward</t>
  </si>
  <si>
    <t>Ryan</t>
  </si>
  <si>
    <t>Bob</t>
  </si>
  <si>
    <t>Billy</t>
  </si>
  <si>
    <t>António</t>
  </si>
  <si>
    <t>Anthony</t>
  </si>
  <si>
    <t>Snyder</t>
  </si>
  <si>
    <t>Jason</t>
  </si>
  <si>
    <t>Morales</t>
  </si>
  <si>
    <t>Green</t>
  </si>
  <si>
    <t>Pat</t>
  </si>
  <si>
    <t>Paul</t>
  </si>
  <si>
    <t>Taylor</t>
  </si>
  <si>
    <t>Ben</t>
  </si>
  <si>
    <t>Mario</t>
  </si>
  <si>
    <t>Baker</t>
  </si>
  <si>
    <t>Fisher</t>
  </si>
  <si>
    <t>Garza</t>
  </si>
  <si>
    <t>Ricardo</t>
  </si>
  <si>
    <t>Dennis</t>
  </si>
  <si>
    <t>Doug</t>
  </si>
  <si>
    <t>Pedro</t>
  </si>
  <si>
    <t>Martínez</t>
  </si>
  <si>
    <t>Felipe</t>
  </si>
  <si>
    <t>Ramos</t>
  </si>
  <si>
    <t>Sixto</t>
  </si>
  <si>
    <t>Joe</t>
  </si>
  <si>
    <t>James</t>
  </si>
  <si>
    <t>Dan</t>
  </si>
  <si>
    <t>Thompson</t>
  </si>
  <si>
    <t>Lúcio</t>
  </si>
  <si>
    <t>Chris</t>
  </si>
  <si>
    <t>Rúbio</t>
  </si>
  <si>
    <t>Paco</t>
  </si>
  <si>
    <t>Armando</t>
  </si>
  <si>
    <t>Beck</t>
  </si>
  <si>
    <t>John</t>
  </si>
  <si>
    <t>Ortega</t>
  </si>
  <si>
    <t>César</t>
  </si>
  <si>
    <t>Lorenzo</t>
  </si>
  <si>
    <t>Howard</t>
  </si>
  <si>
    <t>Walker</t>
  </si>
  <si>
    <t>Bennett</t>
  </si>
  <si>
    <t>Cris</t>
  </si>
  <si>
    <t>Burgess</t>
  </si>
  <si>
    <t>Larson</t>
  </si>
  <si>
    <t>Brian</t>
  </si>
  <si>
    <t>Hall</t>
  </si>
  <si>
    <t>Logan</t>
  </si>
  <si>
    <t>Curtis</t>
  </si>
  <si>
    <t>Keith</t>
  </si>
  <si>
    <t>Lou</t>
  </si>
  <si>
    <t>Bell</t>
  </si>
  <si>
    <t>Robbie</t>
  </si>
  <si>
    <t>Pepe</t>
  </si>
  <si>
    <t>Kelly</t>
  </si>
  <si>
    <t>Lee</t>
  </si>
  <si>
    <t>Eric</t>
  </si>
  <si>
    <t>Becker</t>
  </si>
  <si>
    <t>Curt</t>
  </si>
  <si>
    <t>Carr</t>
  </si>
  <si>
    <t>Stan</t>
  </si>
  <si>
    <t>Nathan</t>
  </si>
  <si>
    <t>Carlos</t>
  </si>
  <si>
    <t>Ronald</t>
  </si>
  <si>
    <t>Martin</t>
  </si>
  <si>
    <t>Miguel</t>
  </si>
  <si>
    <t>POS</t>
  </si>
  <si>
    <t>Name</t>
  </si>
  <si>
    <t>Age</t>
  </si>
  <si>
    <t>B</t>
  </si>
  <si>
    <t>T</t>
  </si>
  <si>
    <t>OVR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</si>
  <si>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</si>
  <si>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</si>
  <si>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</si>
  <si>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</si>
  <si>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</si>
  <si>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</si>
  <si>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</si>
  <si>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</si>
  <si>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</si>
  <si>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</si>
  <si>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</si>
  <si>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</si>
  <si>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</si>
  <si>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</si>
  <si>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</si>
  <si>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</si>
  <si>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</si>
  <si>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</si>
  <si>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</si>
  <si>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</si>
  <si>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</si>
  <si>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</si>
  <si>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</si>
  <si>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</si>
  <si>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</si>
  <si>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</si>
  <si>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</si>
  <si>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</si>
  <si>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</si>
  <si>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</si>
  <si>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</si>
  <si>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</si>
  <si>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</si>
  <si>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</si>
  <si>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</si>
  <si>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</si>
  <si>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</si>
  <si>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MR</t>
  </si>
  <si>
    <t>R</t>
  </si>
  <si>
    <t>2 stars</t>
  </si>
  <si>
    <t>5 stars</t>
  </si>
  <si>
    <t>Normal</t>
  </si>
  <si>
    <t>Low</t>
  </si>
  <si>
    <t>-</t>
  </si>
  <si>
    <t>97-99 Mph</t>
  </si>
  <si>
    <t>Slot</t>
  </si>
  <si>
    <t>High</t>
  </si>
  <si>
    <t>95-97 Mph</t>
  </si>
  <si>
    <t>CL</t>
  </si>
  <si>
    <t>1 star</t>
  </si>
  <si>
    <t>89-90 Mph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</si>
  <si>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</si>
  <si>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</si>
  <si>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</si>
  <si>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</si>
  <si>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</si>
  <si>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</si>
  <si>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</si>
  <si>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</si>
  <si>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4 stars</t>
  </si>
  <si>
    <t>92-94 Mph</t>
  </si>
  <si>
    <t>Bartolo Esquivel</t>
  </si>
  <si>
    <t>98-100 Mph</t>
  </si>
  <si>
    <t>93-95 Mph</t>
  </si>
  <si>
    <t>96-98 Mph</t>
  </si>
  <si>
    <t>S</t>
  </si>
  <si>
    <t>99-101 Mph</t>
  </si>
  <si>
    <t>Miguel Franco</t>
  </si>
  <si>
    <t>3 stars</t>
  </si>
  <si>
    <t>Tom Hill</t>
  </si>
  <si>
    <t>87-89 Mph</t>
  </si>
  <si>
    <t>Quinton Field</t>
  </si>
  <si>
    <t>85-87 Mph</t>
  </si>
  <si>
    <t>RF</t>
  </si>
  <si>
    <t>James Jordan</t>
  </si>
  <si>
    <t>84-86 Mph</t>
  </si>
  <si>
    <t>86-88 Mph</t>
  </si>
  <si>
    <t>3B</t>
  </si>
  <si>
    <t>Ramón Altagracia</t>
  </si>
  <si>
    <t>83-85 Mph</t>
  </si>
  <si>
    <t>Eric Jordan</t>
  </si>
  <si>
    <t>Thad Taylor</t>
  </si>
  <si>
    <t>Ed Boerboom</t>
  </si>
  <si>
    <t>Raúl Díaz</t>
  </si>
  <si>
    <t>Andy Thompson</t>
  </si>
  <si>
    <t>2B</t>
  </si>
  <si>
    <t>José López</t>
  </si>
  <si>
    <t>Tony Wright</t>
  </si>
  <si>
    <t>Juan Pérez</t>
  </si>
  <si>
    <t>Gabriel Sandoval</t>
  </si>
  <si>
    <t>SS</t>
  </si>
  <si>
    <t>Stan Phillips</t>
  </si>
  <si>
    <t>Fred Thomas</t>
  </si>
  <si>
    <t>80-83 Mph</t>
  </si>
  <si>
    <t>Vincent Huff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</si>
  <si>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</si>
  <si>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</si>
  <si>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</si>
  <si>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</si>
  <si>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</si>
  <si>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</si>
  <si>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</si>
  <si>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</si>
  <si>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</si>
  <si>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</si>
  <si>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</si>
  <si>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</si>
  <si>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</si>
  <si>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</si>
  <si>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</si>
  <si>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</si>
  <si>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</si>
  <si>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Jorge Rodríguez</t>
  </si>
  <si>
    <t>Michael Gray</t>
  </si>
  <si>
    <t>Lou Bell</t>
  </si>
  <si>
    <t>Víctor Maldonado</t>
  </si>
  <si>
    <t>Pedro Ortíz</t>
  </si>
  <si>
    <t>Jesús López</t>
  </si>
  <si>
    <t>David McKenzie</t>
  </si>
  <si>
    <t>José González</t>
  </si>
  <si>
    <t>Rat</t>
  </si>
  <si>
    <t>Pot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</si>
  <si>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</si>
  <si>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</si>
  <si>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</si>
  <si>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</si>
  <si>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</si>
  <si>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</si>
  <si>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</si>
  <si>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</si>
  <si>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</si>
  <si>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</si>
  <si>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</si>
  <si>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</si>
  <si>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</si>
  <si>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</si>
  <si>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</si>
  <si>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</si>
  <si>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</si>
  <si>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</si>
  <si>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</si>
  <si>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</si>
  <si>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</si>
  <si>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</si>
  <si>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</si>
  <si>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</si>
  <si>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</si>
  <si>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</si>
  <si>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</si>
  <si>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</si>
  <si>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</si>
  <si>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Run</t>
  </si>
  <si>
    <t>Def</t>
  </si>
  <si>
    <t>Pos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</si>
</sst>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  <numFmt numFmtId="169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8"/>
      <name val="Verdana"/>
      <family val="2"/>
    </font>
    <font>
      <u/>
      <sz val="11"/>
      <color indexed="12"/>
      <name val="Calibri"/>
      <family val="2"/>
    </font>
    <font>
      <b/>
      <sz val="11"/>
      <color indexed="8"/>
      <name val="Courier New"/>
      <family val="3"/>
    </font>
    <font>
      <sz val="11"/>
      <color indexed="8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3" borderId="2" xfId="0" applyFill="1" applyBorder="1"/>
    <xf numFmtId="0" fontId="0" fillId="3" borderId="5" xfId="0" applyFill="1" applyBorder="1"/>
    <xf numFmtId="164" fontId="0" fillId="3" borderId="2" xfId="0" applyNumberFormat="1" applyFill="1" applyBorder="1"/>
    <xf numFmtId="164" fontId="0" fillId="3" borderId="5" xfId="0" applyNumberFormat="1" applyFill="1" applyBorder="1"/>
    <xf numFmtId="165" fontId="0" fillId="3" borderId="2" xfId="1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0" fontId="4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wrapText="1"/>
    </xf>
    <xf numFmtId="0" fontId="3" fillId="4" borderId="7" xfId="0" applyFont="1" applyFill="1" applyBorder="1" applyAlignment="1">
      <alignment horizontal="right" wrapText="1"/>
    </xf>
    <xf numFmtId="0" fontId="6" fillId="4" borderId="7" xfId="2" applyFill="1" applyBorder="1" applyAlignment="1" applyProtection="1">
      <alignment horizontal="left" wrapText="1"/>
    </xf>
    <xf numFmtId="0" fontId="3" fillId="5" borderId="7" xfId="0" applyFont="1" applyFill="1" applyBorder="1" applyAlignment="1">
      <alignment horizontal="right" wrapText="1"/>
    </xf>
    <xf numFmtId="0" fontId="6" fillId="5" borderId="7" xfId="2" applyFill="1" applyBorder="1" applyAlignment="1" applyProtection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11" xfId="0" applyBorder="1"/>
    <xf numFmtId="0" fontId="2" fillId="2" borderId="11" xfId="0" applyFont="1" applyFill="1" applyBorder="1" applyAlignment="1">
      <alignment wrapText="1"/>
    </xf>
    <xf numFmtId="6" fontId="0" fillId="2" borderId="11" xfId="0" applyNumberFormat="1" applyFill="1" applyBorder="1" applyAlignment="1">
      <alignment wrapText="1"/>
    </xf>
    <xf numFmtId="0" fontId="0" fillId="2" borderId="11" xfId="0" applyFill="1" applyBorder="1" applyAlignment="1">
      <alignment wrapText="1"/>
    </xf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7" fillId="0" borderId="0" xfId="0" applyFont="1"/>
    <xf numFmtId="0" fontId="8" fillId="0" borderId="0" xfId="0" applyNumberFormat="1" applyFont="1"/>
    <xf numFmtId="0" fontId="8" fillId="0" borderId="0" xfId="0" applyFont="1"/>
    <xf numFmtId="165" fontId="0" fillId="2" borderId="11" xfId="1" applyNumberFormat="1" applyFont="1" applyFill="1" applyBorder="1" applyAlignment="1">
      <alignment wrapText="1"/>
    </xf>
    <xf numFmtId="0" fontId="9" fillId="0" borderId="1" xfId="0" applyFont="1" applyBorder="1" applyAlignment="1">
      <alignment horizontal="right"/>
    </xf>
    <xf numFmtId="2" fontId="10" fillId="0" borderId="0" xfId="0" applyNumberFormat="1" applyFont="1"/>
    <xf numFmtId="2" fontId="10" fillId="0" borderId="1" xfId="0" applyNumberFormat="1" applyFont="1" applyBorder="1"/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9" fontId="0" fillId="2" borderId="0" xfId="0" applyNumberFormat="1" applyFill="1" applyAlignment="1">
      <alignment wrapText="1"/>
    </xf>
    <xf numFmtId="169" fontId="0" fillId="2" borderId="11" xfId="0" applyNumberFormat="1" applyFill="1" applyBorder="1" applyAlignment="1">
      <alignment wrapText="1"/>
    </xf>
    <xf numFmtId="6" fontId="0" fillId="2" borderId="0" xfId="0" applyNumberFormat="1" applyFill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  <dxf>
      <fill>
        <patternFill>
          <bgColor theme="9" tint="0.79998168889431442"/>
        </patternFill>
      </fill>
    </dxf>
    <dxf>
      <font>
        <strike/>
        <color theme="0" tint="-0.24994659260841701"/>
      </font>
    </dxf>
    <dxf>
      <fill>
        <patternFill>
          <bgColor theme="9" tint="0.79998168889431442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erikesselink/Downloads/DraftPoo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t"/>
      <sheetName val="Pit"/>
      <sheetName val="Con"/>
      <sheetName val="Draft List"/>
      <sheetName val="My Picks"/>
      <sheetName val="PivotData"/>
      <sheetName val="Results"/>
      <sheetName val="Bonuses"/>
    </sheetNames>
    <sheetDataSet>
      <sheetData sheetId="0"/>
      <sheetData sheetId="1"/>
      <sheetData sheetId="2">
        <row r="2">
          <cell r="B2" t="str">
            <v>WE</v>
          </cell>
          <cell r="C2" t="str">
            <v>INT</v>
          </cell>
        </row>
        <row r="3">
          <cell r="A3" t="str">
            <v>Very High</v>
          </cell>
          <cell r="B3">
            <v>1.07</v>
          </cell>
          <cell r="C3">
            <v>1.07</v>
          </cell>
        </row>
        <row r="4">
          <cell r="A4" t="str">
            <v>High</v>
          </cell>
          <cell r="B4">
            <v>1.05</v>
          </cell>
          <cell r="C4">
            <v>1.05</v>
          </cell>
        </row>
        <row r="5">
          <cell r="A5" t="str">
            <v>Normal</v>
          </cell>
          <cell r="B5">
            <v>1</v>
          </cell>
          <cell r="C5">
            <v>1</v>
          </cell>
        </row>
        <row r="6">
          <cell r="A6" t="str">
            <v>Low</v>
          </cell>
          <cell r="B6">
            <v>0.95</v>
          </cell>
          <cell r="C6">
            <v>0.95</v>
          </cell>
        </row>
        <row r="7">
          <cell r="A7" t="str">
            <v>Very Low</v>
          </cell>
          <cell r="B7">
            <v>0.8</v>
          </cell>
          <cell r="C7">
            <v>0.8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06" Type="http://schemas.openxmlformats.org/officeDocument/2006/relationships/hyperlink" Target="http://www.pebabaseball.com/reports/news/html/teams/team_77.html" TargetMode="External"/><Relationship Id="rId107" Type="http://schemas.openxmlformats.org/officeDocument/2006/relationships/hyperlink" Target="http://www.pebabaseball.com/reports/news/html/teams/team_92.html" TargetMode="External"/><Relationship Id="rId108" Type="http://schemas.openxmlformats.org/officeDocument/2006/relationships/hyperlink" Target="http://www.pebabaseball.com/reports/news/html/teams/team_99.html" TargetMode="External"/><Relationship Id="rId109" Type="http://schemas.openxmlformats.org/officeDocument/2006/relationships/hyperlink" Target="http://www.pebabaseball.com/reports/news/html/teams/team_77.html" TargetMode="External"/><Relationship Id="rId345" Type="http://schemas.openxmlformats.org/officeDocument/2006/relationships/hyperlink" Target="http://www.pebabaseball.com/reports/news/html/teams/team_79.html" TargetMode="External"/><Relationship Id="rId346" Type="http://schemas.openxmlformats.org/officeDocument/2006/relationships/hyperlink" Target="http://www.pebabaseball.com/reports/news/html/teams/team_83.html" TargetMode="External"/><Relationship Id="rId347" Type="http://schemas.openxmlformats.org/officeDocument/2006/relationships/hyperlink" Target="http://www.pebabaseball.com/reports/news/html/teams/team_92.html" TargetMode="External"/><Relationship Id="rId348" Type="http://schemas.openxmlformats.org/officeDocument/2006/relationships/hyperlink" Target="http://www.pebabaseball.com/reports/news/html/teams/team_82.html" TargetMode="External"/><Relationship Id="rId349" Type="http://schemas.openxmlformats.org/officeDocument/2006/relationships/hyperlink" Target="http://www.pebabaseball.com/reports/news/html/teams/team_77.html" TargetMode="External"/><Relationship Id="rId70" Type="http://schemas.openxmlformats.org/officeDocument/2006/relationships/hyperlink" Target="http://www.pebabaseball.com/reports/news/html/teams/team_100.html" TargetMode="External"/><Relationship Id="rId71" Type="http://schemas.openxmlformats.org/officeDocument/2006/relationships/hyperlink" Target="http://www.pebabaseball.com/reports/news/html/teams/team_89.html" TargetMode="External"/><Relationship Id="rId72" Type="http://schemas.openxmlformats.org/officeDocument/2006/relationships/hyperlink" Target="http://www.pebabaseball.com/reports/news/html/teams/team_78.html" TargetMode="External"/><Relationship Id="rId73" Type="http://schemas.openxmlformats.org/officeDocument/2006/relationships/hyperlink" Target="http://www.pebabaseball.com/reports/news/html/teams/team_97.html" TargetMode="External"/><Relationship Id="rId74" Type="http://schemas.openxmlformats.org/officeDocument/2006/relationships/hyperlink" Target="http://www.pebabaseball.com/reports/news/html/teams/team_78.html" TargetMode="External"/><Relationship Id="rId75" Type="http://schemas.openxmlformats.org/officeDocument/2006/relationships/hyperlink" Target="http://www.pebabaseball.com/reports/news/html/teams/team_78.html" TargetMode="External"/><Relationship Id="rId76" Type="http://schemas.openxmlformats.org/officeDocument/2006/relationships/hyperlink" Target="http://www.pebabaseball.com/reports/news/html/teams/team_85.html" TargetMode="External"/><Relationship Id="rId77" Type="http://schemas.openxmlformats.org/officeDocument/2006/relationships/hyperlink" Target="http://www.pebabaseball.com/reports/news/html/teams/team_95.html" TargetMode="External"/><Relationship Id="rId78" Type="http://schemas.openxmlformats.org/officeDocument/2006/relationships/hyperlink" Target="http://www.pebabaseball.com/reports/news/html/teams/team_87.html" TargetMode="External"/><Relationship Id="rId79" Type="http://schemas.openxmlformats.org/officeDocument/2006/relationships/hyperlink" Target="http://www.pebabaseball.com/reports/news/html/teams/team_86.html" TargetMode="External"/><Relationship Id="rId170" Type="http://schemas.openxmlformats.org/officeDocument/2006/relationships/hyperlink" Target="http://www.pebabaseball.com/reports/news/html/teams/team_93.html" TargetMode="External"/><Relationship Id="rId171" Type="http://schemas.openxmlformats.org/officeDocument/2006/relationships/hyperlink" Target="http://www.pebabaseball.com/reports/news/html/teams/team_97.html" TargetMode="External"/><Relationship Id="rId172" Type="http://schemas.openxmlformats.org/officeDocument/2006/relationships/hyperlink" Target="http://www.pebabaseball.com/reports/news/html/teams/team_88.html" TargetMode="External"/><Relationship Id="rId173" Type="http://schemas.openxmlformats.org/officeDocument/2006/relationships/hyperlink" Target="http://www.pebabaseball.com/reports/news/html/teams/team_78.html" TargetMode="External"/><Relationship Id="rId174" Type="http://schemas.openxmlformats.org/officeDocument/2006/relationships/hyperlink" Target="http://www.pebabaseball.com/reports/news/html/teams/team_87.html" TargetMode="External"/><Relationship Id="rId175" Type="http://schemas.openxmlformats.org/officeDocument/2006/relationships/hyperlink" Target="http://www.pebabaseball.com/reports/news/html/teams/team_80.html" TargetMode="External"/><Relationship Id="rId176" Type="http://schemas.openxmlformats.org/officeDocument/2006/relationships/hyperlink" Target="http://www.pebabaseball.com/reports/news/html/teams/team_86.html" TargetMode="External"/><Relationship Id="rId177" Type="http://schemas.openxmlformats.org/officeDocument/2006/relationships/hyperlink" Target="http://www.pebabaseball.com/reports/news/html/teams/team_79.html" TargetMode="External"/><Relationship Id="rId178" Type="http://schemas.openxmlformats.org/officeDocument/2006/relationships/hyperlink" Target="http://www.pebabaseball.com/reports/news/html/teams/team_83.html" TargetMode="External"/><Relationship Id="rId179" Type="http://schemas.openxmlformats.org/officeDocument/2006/relationships/hyperlink" Target="http://www.pebabaseball.com/reports/news/html/teams/team_92.html" TargetMode="External"/><Relationship Id="rId260" Type="http://schemas.openxmlformats.org/officeDocument/2006/relationships/hyperlink" Target="http://www.pebabaseball.com/reports/news/html/teams/team_95.html" TargetMode="External"/><Relationship Id="rId10" Type="http://schemas.openxmlformats.org/officeDocument/2006/relationships/hyperlink" Target="http://www.pebabaseball.com/reports/news/html/teams/team_85.html" TargetMode="External"/><Relationship Id="rId11" Type="http://schemas.openxmlformats.org/officeDocument/2006/relationships/hyperlink" Target="http://www.pebabaseball.com/reports/news/html/teams/team_87.html" TargetMode="External"/><Relationship Id="rId12" Type="http://schemas.openxmlformats.org/officeDocument/2006/relationships/hyperlink" Target="http://www.pebabaseball.com/reports/news/html/teams/team_86.html" TargetMode="External"/><Relationship Id="rId13" Type="http://schemas.openxmlformats.org/officeDocument/2006/relationships/hyperlink" Target="http://www.pebabaseball.com/reports/news/html/teams/team_79.html" TargetMode="External"/><Relationship Id="rId14" Type="http://schemas.openxmlformats.org/officeDocument/2006/relationships/hyperlink" Target="http://www.pebabaseball.com/reports/news/html/teams/team_83.html" TargetMode="External"/><Relationship Id="rId15" Type="http://schemas.openxmlformats.org/officeDocument/2006/relationships/hyperlink" Target="http://www.pebabaseball.com/reports/news/html/teams/team_77.html" TargetMode="External"/><Relationship Id="rId16" Type="http://schemas.openxmlformats.org/officeDocument/2006/relationships/hyperlink" Target="http://www.pebabaseball.com/reports/news/html/teams/team_93.html" TargetMode="External"/><Relationship Id="rId17" Type="http://schemas.openxmlformats.org/officeDocument/2006/relationships/hyperlink" Target="http://www.pebabaseball.com/reports/news/html/teams/team_77.html" TargetMode="External"/><Relationship Id="rId18" Type="http://schemas.openxmlformats.org/officeDocument/2006/relationships/hyperlink" Target="http://www.pebabaseball.com/reports/news/html/teams/team_97.html" TargetMode="External"/><Relationship Id="rId19" Type="http://schemas.openxmlformats.org/officeDocument/2006/relationships/hyperlink" Target="http://www.pebabaseball.com/reports/news/html/teams/team_94.html" TargetMode="External"/><Relationship Id="rId261" Type="http://schemas.openxmlformats.org/officeDocument/2006/relationships/hyperlink" Target="http://www.pebabaseball.com/reports/news/html/teams/team_100.html" TargetMode="External"/><Relationship Id="rId262" Type="http://schemas.openxmlformats.org/officeDocument/2006/relationships/hyperlink" Target="http://www.pebabaseball.com/reports/news/html/teams/team_99.html" TargetMode="External"/><Relationship Id="rId263" Type="http://schemas.openxmlformats.org/officeDocument/2006/relationships/hyperlink" Target="http://www.pebabaseball.com/reports/news/html/teams/team_84.html" TargetMode="External"/><Relationship Id="rId264" Type="http://schemas.openxmlformats.org/officeDocument/2006/relationships/hyperlink" Target="http://www.pebabaseball.com/reports/news/html/teams/team_98.html" TargetMode="External"/><Relationship Id="rId110" Type="http://schemas.openxmlformats.org/officeDocument/2006/relationships/hyperlink" Target="http://www.pebabaseball.com/reports/news/html/teams/team_97.html" TargetMode="External"/><Relationship Id="rId111" Type="http://schemas.openxmlformats.org/officeDocument/2006/relationships/hyperlink" Target="http://www.pebabaseball.com/reports/news/html/teams/team_94.html" TargetMode="External"/><Relationship Id="rId112" Type="http://schemas.openxmlformats.org/officeDocument/2006/relationships/hyperlink" Target="http://www.pebabaseball.com/reports/news/html/teams/team_90.html" TargetMode="External"/><Relationship Id="rId113" Type="http://schemas.openxmlformats.org/officeDocument/2006/relationships/hyperlink" Target="http://www.pebabaseball.com/reports/news/html/teams/team_80.html" TargetMode="External"/><Relationship Id="rId114" Type="http://schemas.openxmlformats.org/officeDocument/2006/relationships/hyperlink" Target="http://www.pebabaseball.com/reports/news/html/teams/team_91.html" TargetMode="External"/><Relationship Id="rId115" Type="http://schemas.openxmlformats.org/officeDocument/2006/relationships/hyperlink" Target="http://www.pebabaseball.com/reports/news/html/teams/team_96.html" TargetMode="External"/><Relationship Id="rId116" Type="http://schemas.openxmlformats.org/officeDocument/2006/relationships/hyperlink" Target="http://www.pebabaseball.com/reports/news/html/teams/team_95.html" TargetMode="External"/><Relationship Id="rId117" Type="http://schemas.openxmlformats.org/officeDocument/2006/relationships/hyperlink" Target="http://www.pebabaseball.com/reports/news/html/teams/team_100.html" TargetMode="External"/><Relationship Id="rId118" Type="http://schemas.openxmlformats.org/officeDocument/2006/relationships/hyperlink" Target="http://www.pebabaseball.com/reports/news/html/teams/team_99.html" TargetMode="External"/><Relationship Id="rId119" Type="http://schemas.openxmlformats.org/officeDocument/2006/relationships/hyperlink" Target="http://www.pebabaseball.com/reports/news/html/teams/team_85.html" TargetMode="External"/><Relationship Id="rId200" Type="http://schemas.openxmlformats.org/officeDocument/2006/relationships/hyperlink" Target="http://www.pebabaseball.com/reports/news/html/teams/team_86.html" TargetMode="External"/><Relationship Id="rId201" Type="http://schemas.openxmlformats.org/officeDocument/2006/relationships/hyperlink" Target="http://www.pebabaseball.com/reports/news/html/teams/team_79.html" TargetMode="External"/><Relationship Id="rId202" Type="http://schemas.openxmlformats.org/officeDocument/2006/relationships/hyperlink" Target="http://www.pebabaseball.com/reports/news/html/teams/team_83.html" TargetMode="External"/><Relationship Id="rId203" Type="http://schemas.openxmlformats.org/officeDocument/2006/relationships/hyperlink" Target="http://www.pebabaseball.com/reports/news/html/teams/team_92.html" TargetMode="External"/><Relationship Id="rId204" Type="http://schemas.openxmlformats.org/officeDocument/2006/relationships/hyperlink" Target="http://www.pebabaseball.com/reports/news/html/teams/team_82.html" TargetMode="External"/><Relationship Id="rId205" Type="http://schemas.openxmlformats.org/officeDocument/2006/relationships/hyperlink" Target="http://www.pebabaseball.com/reports/news/html/teams/team_77.html" TargetMode="External"/><Relationship Id="rId206" Type="http://schemas.openxmlformats.org/officeDocument/2006/relationships/hyperlink" Target="http://www.pebabaseball.com/reports/news/html/teams/team_81.html" TargetMode="External"/><Relationship Id="rId207" Type="http://schemas.openxmlformats.org/officeDocument/2006/relationships/hyperlink" Target="http://www.pebabaseball.com/reports/news/html/teams/team_94.html" TargetMode="External"/><Relationship Id="rId208" Type="http://schemas.openxmlformats.org/officeDocument/2006/relationships/hyperlink" Target="http://www.pebabaseball.com/reports/news/html/teams/team_85.html" TargetMode="External"/><Relationship Id="rId209" Type="http://schemas.openxmlformats.org/officeDocument/2006/relationships/hyperlink" Target="http://www.pebabaseball.com/reports/news/html/teams/team_90.html" TargetMode="External"/><Relationship Id="rId265" Type="http://schemas.openxmlformats.org/officeDocument/2006/relationships/hyperlink" Target="http://www.pebabaseball.com/reports/news/html/teams/team_89.html" TargetMode="External"/><Relationship Id="rId266" Type="http://schemas.openxmlformats.org/officeDocument/2006/relationships/hyperlink" Target="http://www.pebabaseball.com/reports/news/html/teams/team_93.html" TargetMode="External"/><Relationship Id="rId267" Type="http://schemas.openxmlformats.org/officeDocument/2006/relationships/hyperlink" Target="http://www.pebabaseball.com/reports/news/html/teams/team_97.html" TargetMode="External"/><Relationship Id="rId268" Type="http://schemas.openxmlformats.org/officeDocument/2006/relationships/hyperlink" Target="http://www.pebabaseball.com/reports/news/html/teams/team_88.html" TargetMode="External"/><Relationship Id="rId269" Type="http://schemas.openxmlformats.org/officeDocument/2006/relationships/hyperlink" Target="http://www.pebabaseball.com/reports/news/html/teams/team_78.html" TargetMode="External"/><Relationship Id="rId350" Type="http://schemas.openxmlformats.org/officeDocument/2006/relationships/hyperlink" Target="http://www.pebabaseball.com/reports/news/html/teams/team_81.html" TargetMode="External"/><Relationship Id="rId351" Type="http://schemas.openxmlformats.org/officeDocument/2006/relationships/hyperlink" Target="http://www.pebabaseball.com/reports/news/html/teams/team_94.html" TargetMode="External"/><Relationship Id="rId352" Type="http://schemas.openxmlformats.org/officeDocument/2006/relationships/hyperlink" Target="http://www.pebabaseball.com/reports/news/html/teams/team_85.html" TargetMode="External"/><Relationship Id="rId353" Type="http://schemas.openxmlformats.org/officeDocument/2006/relationships/hyperlink" Target="http://www.pebabaseball.com/reports/news/html/teams/team_90.html" TargetMode="External"/><Relationship Id="rId354" Type="http://schemas.openxmlformats.org/officeDocument/2006/relationships/hyperlink" Target="http://www.pebabaseball.com/reports/news/html/teams/team_91.html" TargetMode="External"/><Relationship Id="rId355" Type="http://schemas.openxmlformats.org/officeDocument/2006/relationships/hyperlink" Target="http://www.pebabaseball.com/reports/news/html/teams/team_96.html" TargetMode="External"/><Relationship Id="rId356" Type="http://schemas.openxmlformats.org/officeDocument/2006/relationships/hyperlink" Target="http://www.pebabaseball.com/reports/news/html/teams/team_95.html" TargetMode="External"/><Relationship Id="rId357" Type="http://schemas.openxmlformats.org/officeDocument/2006/relationships/hyperlink" Target="http://www.pebabaseball.com/reports/news/html/teams/team_100.html" TargetMode="External"/><Relationship Id="rId358" Type="http://schemas.openxmlformats.org/officeDocument/2006/relationships/hyperlink" Target="http://www.pebabaseball.com/reports/news/html/teams/team_99.html" TargetMode="External"/><Relationship Id="rId1" Type="http://schemas.openxmlformats.org/officeDocument/2006/relationships/hyperlink" Target="http://www.pebabaseball.com/reports/news/html/teams/team_100.html" TargetMode="External"/><Relationship Id="rId2" Type="http://schemas.openxmlformats.org/officeDocument/2006/relationships/hyperlink" Target="http://www.pebabaseball.com/reports/news/html/teams/team_99.html" TargetMode="External"/><Relationship Id="rId3" Type="http://schemas.openxmlformats.org/officeDocument/2006/relationships/hyperlink" Target="http://www.pebabaseball.com/reports/news/html/teams/team_95.html" TargetMode="External"/><Relationship Id="rId4" Type="http://schemas.openxmlformats.org/officeDocument/2006/relationships/hyperlink" Target="http://www.pebabaseball.com/reports/news/html/teams/team_98.html" TargetMode="External"/><Relationship Id="rId5" Type="http://schemas.openxmlformats.org/officeDocument/2006/relationships/hyperlink" Target="http://www.pebabaseball.com/reports/news/html/teams/team_89.html" TargetMode="External"/><Relationship Id="rId6" Type="http://schemas.openxmlformats.org/officeDocument/2006/relationships/hyperlink" Target="http://www.pebabaseball.com/reports/news/html/teams/team_100.html" TargetMode="External"/><Relationship Id="rId7" Type="http://schemas.openxmlformats.org/officeDocument/2006/relationships/hyperlink" Target="http://www.pebabaseball.com/reports/news/html/teams/team_97.html" TargetMode="External"/><Relationship Id="rId8" Type="http://schemas.openxmlformats.org/officeDocument/2006/relationships/hyperlink" Target="http://www.pebabaseball.com/reports/news/html/teams/team_78.html" TargetMode="External"/><Relationship Id="rId9" Type="http://schemas.openxmlformats.org/officeDocument/2006/relationships/hyperlink" Target="http://www.pebabaseball.com/reports/news/html/teams/team_93.html" TargetMode="External"/><Relationship Id="rId359" Type="http://schemas.openxmlformats.org/officeDocument/2006/relationships/hyperlink" Target="http://www.pebabaseball.com/reports/news/html/teams/team_84.html" TargetMode="External"/><Relationship Id="rId80" Type="http://schemas.openxmlformats.org/officeDocument/2006/relationships/hyperlink" Target="http://www.pebabaseball.com/reports/news/html/teams/team_79.html" TargetMode="External"/><Relationship Id="rId81" Type="http://schemas.openxmlformats.org/officeDocument/2006/relationships/hyperlink" Target="http://www.pebabaseball.com/reports/news/html/teams/team_77.html" TargetMode="External"/><Relationship Id="rId82" Type="http://schemas.openxmlformats.org/officeDocument/2006/relationships/hyperlink" Target="http://www.pebabaseball.com/reports/news/html/teams/team_77.html" TargetMode="External"/><Relationship Id="rId83" Type="http://schemas.openxmlformats.org/officeDocument/2006/relationships/hyperlink" Target="http://www.pebabaseball.com/reports/news/html/teams/team_95.html" TargetMode="External"/><Relationship Id="rId84" Type="http://schemas.openxmlformats.org/officeDocument/2006/relationships/hyperlink" Target="http://www.pebabaseball.com/reports/news/html/teams/team_77.html" TargetMode="External"/><Relationship Id="rId85" Type="http://schemas.openxmlformats.org/officeDocument/2006/relationships/hyperlink" Target="http://www.pebabaseball.com/reports/news/html/teams/team_97.html" TargetMode="External"/><Relationship Id="rId86" Type="http://schemas.openxmlformats.org/officeDocument/2006/relationships/hyperlink" Target="http://www.pebabaseball.com/reports/news/html/teams/team_81.html" TargetMode="External"/><Relationship Id="rId87" Type="http://schemas.openxmlformats.org/officeDocument/2006/relationships/hyperlink" Target="http://www.pebabaseball.com/reports/news/html/teams/team_94.html" TargetMode="External"/><Relationship Id="rId88" Type="http://schemas.openxmlformats.org/officeDocument/2006/relationships/hyperlink" Target="http://www.pebabaseball.com/reports/news/html/teams/team_90.html" TargetMode="External"/><Relationship Id="rId89" Type="http://schemas.openxmlformats.org/officeDocument/2006/relationships/hyperlink" Target="http://www.pebabaseball.com/reports/news/html/teams/team_85.html" TargetMode="External"/><Relationship Id="rId180" Type="http://schemas.openxmlformats.org/officeDocument/2006/relationships/hyperlink" Target="http://www.pebabaseball.com/reports/news/html/teams/team_82.html" TargetMode="External"/><Relationship Id="rId181" Type="http://schemas.openxmlformats.org/officeDocument/2006/relationships/hyperlink" Target="http://www.pebabaseball.com/reports/news/html/teams/team_77.html" TargetMode="External"/><Relationship Id="rId182" Type="http://schemas.openxmlformats.org/officeDocument/2006/relationships/hyperlink" Target="http://www.pebabaseball.com/reports/news/html/teams/team_81.html" TargetMode="External"/><Relationship Id="rId183" Type="http://schemas.openxmlformats.org/officeDocument/2006/relationships/hyperlink" Target="http://www.pebabaseball.com/reports/news/html/teams/team_94.html" TargetMode="External"/><Relationship Id="rId184" Type="http://schemas.openxmlformats.org/officeDocument/2006/relationships/hyperlink" Target="http://www.pebabaseball.com/reports/news/html/teams/team_85.html" TargetMode="External"/><Relationship Id="rId185" Type="http://schemas.openxmlformats.org/officeDocument/2006/relationships/hyperlink" Target="http://www.pebabaseball.com/reports/news/html/teams/team_85.html" TargetMode="External"/><Relationship Id="rId186" Type="http://schemas.openxmlformats.org/officeDocument/2006/relationships/hyperlink" Target="http://www.pebabaseball.com/reports/news/html/teams/team_91.html" TargetMode="External"/><Relationship Id="rId187" Type="http://schemas.openxmlformats.org/officeDocument/2006/relationships/hyperlink" Target="http://www.pebabaseball.com/reports/news/html/teams/team_96.html" TargetMode="External"/><Relationship Id="rId188" Type="http://schemas.openxmlformats.org/officeDocument/2006/relationships/hyperlink" Target="http://www.pebabaseball.com/reports/news/html/teams/team_95.html" TargetMode="External"/><Relationship Id="rId189" Type="http://schemas.openxmlformats.org/officeDocument/2006/relationships/hyperlink" Target="http://www.pebabaseball.com/reports/news/html/teams/team_100.html" TargetMode="External"/><Relationship Id="rId270" Type="http://schemas.openxmlformats.org/officeDocument/2006/relationships/hyperlink" Target="http://www.pebabaseball.com/reports/news/html/teams/team_87.html" TargetMode="External"/><Relationship Id="rId20" Type="http://schemas.openxmlformats.org/officeDocument/2006/relationships/hyperlink" Target="http://www.pebabaseball.com/reports/news/html/teams/team_90.html" TargetMode="External"/><Relationship Id="rId21" Type="http://schemas.openxmlformats.org/officeDocument/2006/relationships/hyperlink" Target="http://www.pebabaseball.com/reports/news/html/teams/team_86.html" TargetMode="External"/><Relationship Id="rId22" Type="http://schemas.openxmlformats.org/officeDocument/2006/relationships/hyperlink" Target="http://www.pebabaseball.com/reports/news/html/teams/team_91.html" TargetMode="External"/><Relationship Id="rId23" Type="http://schemas.openxmlformats.org/officeDocument/2006/relationships/hyperlink" Target="http://www.pebabaseball.com/reports/news/html/teams/team_96.html" TargetMode="External"/><Relationship Id="rId24" Type="http://schemas.openxmlformats.org/officeDocument/2006/relationships/hyperlink" Target="http://www.pebabaseball.com/reports/news/html/teams/team_95.html" TargetMode="External"/><Relationship Id="rId25" Type="http://schemas.openxmlformats.org/officeDocument/2006/relationships/hyperlink" Target="http://www.pebabaseball.com/reports/news/html/teams/team_99.html" TargetMode="External"/><Relationship Id="rId26" Type="http://schemas.openxmlformats.org/officeDocument/2006/relationships/hyperlink" Target="http://www.pebabaseball.com/reports/news/html/teams/team_98.html" TargetMode="External"/><Relationship Id="rId27" Type="http://schemas.openxmlformats.org/officeDocument/2006/relationships/hyperlink" Target="http://www.pebabaseball.com/reports/news/html/teams/team_86.html" TargetMode="External"/><Relationship Id="rId28" Type="http://schemas.openxmlformats.org/officeDocument/2006/relationships/hyperlink" Target="http://www.pebabaseball.com/reports/news/html/teams/team_83.html" TargetMode="External"/><Relationship Id="rId29" Type="http://schemas.openxmlformats.org/officeDocument/2006/relationships/hyperlink" Target="http://www.pebabaseball.com/reports/news/html/teams/team_82.html" TargetMode="External"/><Relationship Id="rId271" Type="http://schemas.openxmlformats.org/officeDocument/2006/relationships/hyperlink" Target="http://www.pebabaseball.com/reports/news/html/teams/team_80.html" TargetMode="External"/><Relationship Id="rId272" Type="http://schemas.openxmlformats.org/officeDocument/2006/relationships/hyperlink" Target="http://www.pebabaseball.com/reports/news/html/teams/team_86.html" TargetMode="External"/><Relationship Id="rId273" Type="http://schemas.openxmlformats.org/officeDocument/2006/relationships/hyperlink" Target="http://www.pebabaseball.com/reports/news/html/teams/team_79.html" TargetMode="External"/><Relationship Id="rId274" Type="http://schemas.openxmlformats.org/officeDocument/2006/relationships/hyperlink" Target="http://www.pebabaseball.com/reports/news/html/teams/team_83.html" TargetMode="External"/><Relationship Id="rId120" Type="http://schemas.openxmlformats.org/officeDocument/2006/relationships/hyperlink" Target="http://www.pebabaseball.com/reports/news/html/teams/team_98.html" TargetMode="External"/><Relationship Id="rId121" Type="http://schemas.openxmlformats.org/officeDocument/2006/relationships/hyperlink" Target="http://www.pebabaseball.com/reports/news/html/teams/team_89.html" TargetMode="External"/><Relationship Id="rId122" Type="http://schemas.openxmlformats.org/officeDocument/2006/relationships/hyperlink" Target="http://www.pebabaseball.com/reports/news/html/teams/team_93.html" TargetMode="External"/><Relationship Id="rId123" Type="http://schemas.openxmlformats.org/officeDocument/2006/relationships/hyperlink" Target="http://www.pebabaseball.com/reports/news/html/teams/team_97.html" TargetMode="External"/><Relationship Id="rId124" Type="http://schemas.openxmlformats.org/officeDocument/2006/relationships/hyperlink" Target="http://www.pebabaseball.com/reports/news/html/teams/team_97.html" TargetMode="External"/><Relationship Id="rId125" Type="http://schemas.openxmlformats.org/officeDocument/2006/relationships/hyperlink" Target="http://www.pebabaseball.com/reports/news/html/teams/team_91.html" TargetMode="External"/><Relationship Id="rId126" Type="http://schemas.openxmlformats.org/officeDocument/2006/relationships/hyperlink" Target="http://www.pebabaseball.com/reports/news/html/teams/team_87.html" TargetMode="External"/><Relationship Id="rId127" Type="http://schemas.openxmlformats.org/officeDocument/2006/relationships/hyperlink" Target="http://www.pebabaseball.com/reports/news/html/teams/team_80.html" TargetMode="External"/><Relationship Id="rId128" Type="http://schemas.openxmlformats.org/officeDocument/2006/relationships/hyperlink" Target="http://www.pebabaseball.com/reports/news/html/teams/team_86.html" TargetMode="External"/><Relationship Id="rId129" Type="http://schemas.openxmlformats.org/officeDocument/2006/relationships/hyperlink" Target="http://www.pebabaseball.com/reports/news/html/teams/team_79.html" TargetMode="External"/><Relationship Id="rId210" Type="http://schemas.openxmlformats.org/officeDocument/2006/relationships/hyperlink" Target="http://www.pebabaseball.com/reports/news/html/teams/team_91.html" TargetMode="External"/><Relationship Id="rId211" Type="http://schemas.openxmlformats.org/officeDocument/2006/relationships/hyperlink" Target="http://www.pebabaseball.com/reports/news/html/teams/team_96.html" TargetMode="External"/><Relationship Id="rId212" Type="http://schemas.openxmlformats.org/officeDocument/2006/relationships/hyperlink" Target="http://www.pebabaseball.com/reports/news/html/teams/team_95.html" TargetMode="External"/><Relationship Id="rId213" Type="http://schemas.openxmlformats.org/officeDocument/2006/relationships/hyperlink" Target="http://www.pebabaseball.com/reports/news/html/teams/team_100.html" TargetMode="External"/><Relationship Id="rId214" Type="http://schemas.openxmlformats.org/officeDocument/2006/relationships/hyperlink" Target="http://www.pebabaseball.com/reports/news/html/teams/team_99.html" TargetMode="External"/><Relationship Id="rId215" Type="http://schemas.openxmlformats.org/officeDocument/2006/relationships/hyperlink" Target="http://www.pebabaseball.com/reports/news/html/teams/team_84.html" TargetMode="External"/><Relationship Id="rId216" Type="http://schemas.openxmlformats.org/officeDocument/2006/relationships/hyperlink" Target="http://www.pebabaseball.com/reports/news/html/teams/team_98.html" TargetMode="External"/><Relationship Id="rId217" Type="http://schemas.openxmlformats.org/officeDocument/2006/relationships/hyperlink" Target="http://www.pebabaseball.com/reports/news/html/teams/team_92.html" TargetMode="External"/><Relationship Id="rId218" Type="http://schemas.openxmlformats.org/officeDocument/2006/relationships/hyperlink" Target="http://www.pebabaseball.com/reports/news/html/teams/team_93.html" TargetMode="External"/><Relationship Id="rId219" Type="http://schemas.openxmlformats.org/officeDocument/2006/relationships/hyperlink" Target="http://www.pebabaseball.com/reports/news/html/teams/team_97.html" TargetMode="External"/><Relationship Id="rId275" Type="http://schemas.openxmlformats.org/officeDocument/2006/relationships/hyperlink" Target="http://www.pebabaseball.com/reports/news/html/teams/team_92.html" TargetMode="External"/><Relationship Id="rId276" Type="http://schemas.openxmlformats.org/officeDocument/2006/relationships/hyperlink" Target="http://www.pebabaseball.com/reports/news/html/teams/team_82.html" TargetMode="External"/><Relationship Id="rId277" Type="http://schemas.openxmlformats.org/officeDocument/2006/relationships/hyperlink" Target="http://www.pebabaseball.com/reports/news/html/teams/team_77.html" TargetMode="External"/><Relationship Id="rId278" Type="http://schemas.openxmlformats.org/officeDocument/2006/relationships/hyperlink" Target="http://www.pebabaseball.com/reports/news/html/teams/team_81.html" TargetMode="External"/><Relationship Id="rId279" Type="http://schemas.openxmlformats.org/officeDocument/2006/relationships/hyperlink" Target="http://www.pebabaseball.com/reports/news/html/teams/team_94.html" TargetMode="External"/><Relationship Id="rId300" Type="http://schemas.openxmlformats.org/officeDocument/2006/relationships/hyperlink" Target="http://www.pebabaseball.com/reports/news/html/teams/team_82.html" TargetMode="External"/><Relationship Id="rId301" Type="http://schemas.openxmlformats.org/officeDocument/2006/relationships/hyperlink" Target="http://www.pebabaseball.com/reports/news/html/teams/team_77.html" TargetMode="External"/><Relationship Id="rId302" Type="http://schemas.openxmlformats.org/officeDocument/2006/relationships/hyperlink" Target="http://www.pebabaseball.com/reports/news/html/teams/team_81.html" TargetMode="External"/><Relationship Id="rId303" Type="http://schemas.openxmlformats.org/officeDocument/2006/relationships/hyperlink" Target="http://www.pebabaseball.com/reports/news/html/teams/team_94.html" TargetMode="External"/><Relationship Id="rId304" Type="http://schemas.openxmlformats.org/officeDocument/2006/relationships/hyperlink" Target="http://www.pebabaseball.com/reports/news/html/teams/team_85.html" TargetMode="External"/><Relationship Id="rId305" Type="http://schemas.openxmlformats.org/officeDocument/2006/relationships/hyperlink" Target="http://www.pebabaseball.com/reports/news/html/teams/team_90.html" TargetMode="External"/><Relationship Id="rId306" Type="http://schemas.openxmlformats.org/officeDocument/2006/relationships/hyperlink" Target="http://www.pebabaseball.com/reports/news/html/teams/team_91.html" TargetMode="External"/><Relationship Id="rId307" Type="http://schemas.openxmlformats.org/officeDocument/2006/relationships/hyperlink" Target="http://www.pebabaseball.com/reports/news/html/teams/team_96.html" TargetMode="External"/><Relationship Id="rId308" Type="http://schemas.openxmlformats.org/officeDocument/2006/relationships/hyperlink" Target="http://www.pebabaseball.com/reports/news/html/teams/team_95.html" TargetMode="External"/><Relationship Id="rId309" Type="http://schemas.openxmlformats.org/officeDocument/2006/relationships/hyperlink" Target="http://www.pebabaseball.com/reports/news/html/teams/team_100.html" TargetMode="External"/><Relationship Id="rId360" Type="http://schemas.openxmlformats.org/officeDocument/2006/relationships/hyperlink" Target="http://www.pebabaseball.com/reports/news/html/teams/team_98.html" TargetMode="External"/><Relationship Id="rId361" Type="http://schemas.openxmlformats.org/officeDocument/2006/relationships/hyperlink" Target="http://www.pebabaseball.com/reports/news/html/teams/team_89.html" TargetMode="External"/><Relationship Id="rId362" Type="http://schemas.openxmlformats.org/officeDocument/2006/relationships/hyperlink" Target="http://www.pebabaseball.com/reports/news/html/teams/team_93.html" TargetMode="External"/><Relationship Id="rId363" Type="http://schemas.openxmlformats.org/officeDocument/2006/relationships/hyperlink" Target="http://www.pebabaseball.com/reports/news/html/teams/team_97.html" TargetMode="External"/><Relationship Id="rId364" Type="http://schemas.openxmlformats.org/officeDocument/2006/relationships/hyperlink" Target="http://www.pebabaseball.com/reports/news/html/teams/team_88.html" TargetMode="External"/><Relationship Id="rId365" Type="http://schemas.openxmlformats.org/officeDocument/2006/relationships/hyperlink" Target="http://www.pebabaseball.com/reports/news/html/teams/team_78.html" TargetMode="External"/><Relationship Id="rId366" Type="http://schemas.openxmlformats.org/officeDocument/2006/relationships/hyperlink" Target="http://www.pebabaseball.com/reports/news/html/teams/team_87.html" TargetMode="External"/><Relationship Id="rId367" Type="http://schemas.openxmlformats.org/officeDocument/2006/relationships/hyperlink" Target="http://www.pebabaseball.com/reports/news/html/teams/team_80.html" TargetMode="External"/><Relationship Id="rId368" Type="http://schemas.openxmlformats.org/officeDocument/2006/relationships/hyperlink" Target="http://www.pebabaseball.com/reports/news/html/teams/team_86.html" TargetMode="External"/><Relationship Id="rId369" Type="http://schemas.openxmlformats.org/officeDocument/2006/relationships/hyperlink" Target="http://www.pebabaseball.com/reports/news/html/teams/team_79.html" TargetMode="External"/><Relationship Id="rId90" Type="http://schemas.openxmlformats.org/officeDocument/2006/relationships/hyperlink" Target="http://www.pebabaseball.com/reports/news/html/teams/team_91.html" TargetMode="External"/><Relationship Id="rId91" Type="http://schemas.openxmlformats.org/officeDocument/2006/relationships/hyperlink" Target="http://www.pebabaseball.com/reports/news/html/teams/team_96.html" TargetMode="External"/><Relationship Id="rId92" Type="http://schemas.openxmlformats.org/officeDocument/2006/relationships/hyperlink" Target="http://www.pebabaseball.com/reports/news/html/teams/team_95.html" TargetMode="External"/><Relationship Id="rId93" Type="http://schemas.openxmlformats.org/officeDocument/2006/relationships/hyperlink" Target="http://www.pebabaseball.com/reports/news/html/teams/team_100.html" TargetMode="External"/><Relationship Id="rId94" Type="http://schemas.openxmlformats.org/officeDocument/2006/relationships/hyperlink" Target="http://www.pebabaseball.com/reports/news/html/teams/team_100.html" TargetMode="External"/><Relationship Id="rId95" Type="http://schemas.openxmlformats.org/officeDocument/2006/relationships/hyperlink" Target="http://www.pebabaseball.com/reports/news/html/teams/team_82.html" TargetMode="External"/><Relationship Id="rId96" Type="http://schemas.openxmlformats.org/officeDocument/2006/relationships/hyperlink" Target="http://www.pebabaseball.com/reports/news/html/teams/team_98.html" TargetMode="External"/><Relationship Id="rId97" Type="http://schemas.openxmlformats.org/officeDocument/2006/relationships/hyperlink" Target="http://www.pebabaseball.com/reports/news/html/teams/team_89.html" TargetMode="External"/><Relationship Id="rId98" Type="http://schemas.openxmlformats.org/officeDocument/2006/relationships/hyperlink" Target="http://www.pebabaseball.com/reports/news/html/teams/team_82.html" TargetMode="External"/><Relationship Id="rId99" Type="http://schemas.openxmlformats.org/officeDocument/2006/relationships/hyperlink" Target="http://www.pebabaseball.com/reports/news/html/teams/team_97.html" TargetMode="External"/><Relationship Id="rId190" Type="http://schemas.openxmlformats.org/officeDocument/2006/relationships/hyperlink" Target="http://www.pebabaseball.com/reports/news/html/teams/team_99.html" TargetMode="External"/><Relationship Id="rId191" Type="http://schemas.openxmlformats.org/officeDocument/2006/relationships/hyperlink" Target="http://www.pebabaseball.com/reports/news/html/teams/team_84.html" TargetMode="External"/><Relationship Id="rId192" Type="http://schemas.openxmlformats.org/officeDocument/2006/relationships/hyperlink" Target="http://www.pebabaseball.com/reports/news/html/teams/team_98.html" TargetMode="External"/><Relationship Id="rId193" Type="http://schemas.openxmlformats.org/officeDocument/2006/relationships/hyperlink" Target="http://www.pebabaseball.com/reports/news/html/teams/team_89.html" TargetMode="External"/><Relationship Id="rId194" Type="http://schemas.openxmlformats.org/officeDocument/2006/relationships/hyperlink" Target="http://www.pebabaseball.com/reports/news/html/teams/team_93.html" TargetMode="External"/><Relationship Id="rId195" Type="http://schemas.openxmlformats.org/officeDocument/2006/relationships/hyperlink" Target="http://www.pebabaseball.com/reports/news/html/teams/team_97.html" TargetMode="External"/><Relationship Id="rId196" Type="http://schemas.openxmlformats.org/officeDocument/2006/relationships/hyperlink" Target="http://www.pebabaseball.com/reports/news/html/teams/team_88.html" TargetMode="External"/><Relationship Id="rId197" Type="http://schemas.openxmlformats.org/officeDocument/2006/relationships/hyperlink" Target="http://www.pebabaseball.com/reports/news/html/teams/team_78.html" TargetMode="External"/><Relationship Id="rId198" Type="http://schemas.openxmlformats.org/officeDocument/2006/relationships/hyperlink" Target="http://www.pebabaseball.com/reports/news/html/teams/team_87.html" TargetMode="External"/><Relationship Id="rId199" Type="http://schemas.openxmlformats.org/officeDocument/2006/relationships/hyperlink" Target="http://www.pebabaseball.com/reports/news/html/teams/team_80.html" TargetMode="External"/><Relationship Id="rId280" Type="http://schemas.openxmlformats.org/officeDocument/2006/relationships/hyperlink" Target="http://www.pebabaseball.com/reports/news/html/teams/team_85.html" TargetMode="External"/><Relationship Id="rId30" Type="http://schemas.openxmlformats.org/officeDocument/2006/relationships/hyperlink" Target="http://www.pebabaseball.com/reports/news/html/teams/team_81.html" TargetMode="External"/><Relationship Id="rId31" Type="http://schemas.openxmlformats.org/officeDocument/2006/relationships/hyperlink" Target="http://www.pebabaseball.com/reports/news/html/teams/team_90.html" TargetMode="External"/><Relationship Id="rId32" Type="http://schemas.openxmlformats.org/officeDocument/2006/relationships/hyperlink" Target="http://www.pebabaseball.com/reports/news/html/teams/team_83.html" TargetMode="External"/><Relationship Id="rId33" Type="http://schemas.openxmlformats.org/officeDocument/2006/relationships/hyperlink" Target="http://www.pebabaseball.com/reports/news/html/teams/team_83.html" TargetMode="External"/><Relationship Id="rId34" Type="http://schemas.openxmlformats.org/officeDocument/2006/relationships/hyperlink" Target="http://www.pebabaseball.com/reports/news/html/teams/team_82.html" TargetMode="External"/><Relationship Id="rId35" Type="http://schemas.openxmlformats.org/officeDocument/2006/relationships/hyperlink" Target="http://www.pebabaseball.com/reports/news/html/teams/team_100.html" TargetMode="External"/><Relationship Id="rId36" Type="http://schemas.openxmlformats.org/officeDocument/2006/relationships/hyperlink" Target="http://www.pebabaseball.com/reports/news/html/teams/team_99.html" TargetMode="External"/><Relationship Id="rId37" Type="http://schemas.openxmlformats.org/officeDocument/2006/relationships/hyperlink" Target="http://www.pebabaseball.com/reports/news/html/teams/team_100.html" TargetMode="External"/><Relationship Id="rId38" Type="http://schemas.openxmlformats.org/officeDocument/2006/relationships/hyperlink" Target="http://www.pebabaseball.com/reports/news/html/teams/team_89.html" TargetMode="External"/><Relationship Id="rId39" Type="http://schemas.openxmlformats.org/officeDocument/2006/relationships/hyperlink" Target="http://www.pebabaseball.com/reports/news/html/teams/team_84.html" TargetMode="External"/><Relationship Id="rId281" Type="http://schemas.openxmlformats.org/officeDocument/2006/relationships/hyperlink" Target="http://www.pebabaseball.com/reports/news/html/teams/team_90.html" TargetMode="External"/><Relationship Id="rId282" Type="http://schemas.openxmlformats.org/officeDocument/2006/relationships/hyperlink" Target="http://www.pebabaseball.com/reports/news/html/teams/team_91.html" TargetMode="External"/><Relationship Id="rId283" Type="http://schemas.openxmlformats.org/officeDocument/2006/relationships/hyperlink" Target="http://www.pebabaseball.com/reports/news/html/teams/team_96.html" TargetMode="External"/><Relationship Id="rId284" Type="http://schemas.openxmlformats.org/officeDocument/2006/relationships/hyperlink" Target="http://www.pebabaseball.com/reports/news/html/teams/team_95.html" TargetMode="External"/><Relationship Id="rId130" Type="http://schemas.openxmlformats.org/officeDocument/2006/relationships/hyperlink" Target="http://www.pebabaseball.com/reports/news/html/teams/team_83.html" TargetMode="External"/><Relationship Id="rId131" Type="http://schemas.openxmlformats.org/officeDocument/2006/relationships/hyperlink" Target="http://www.pebabaseball.com/reports/news/html/teams/team_92.html" TargetMode="External"/><Relationship Id="rId132" Type="http://schemas.openxmlformats.org/officeDocument/2006/relationships/hyperlink" Target="http://www.pebabaseball.com/reports/news/html/teams/team_82.html" TargetMode="External"/><Relationship Id="rId133" Type="http://schemas.openxmlformats.org/officeDocument/2006/relationships/hyperlink" Target="http://www.pebabaseball.com/reports/news/html/teams/team_77.html" TargetMode="External"/><Relationship Id="rId220" Type="http://schemas.openxmlformats.org/officeDocument/2006/relationships/hyperlink" Target="http://www.pebabaseball.com/reports/news/html/teams/team_88.html" TargetMode="External"/><Relationship Id="rId221" Type="http://schemas.openxmlformats.org/officeDocument/2006/relationships/hyperlink" Target="http://www.pebabaseball.com/reports/news/html/teams/team_78.html" TargetMode="External"/><Relationship Id="rId222" Type="http://schemas.openxmlformats.org/officeDocument/2006/relationships/hyperlink" Target="http://www.pebabaseball.com/reports/news/html/teams/team_87.html" TargetMode="External"/><Relationship Id="rId223" Type="http://schemas.openxmlformats.org/officeDocument/2006/relationships/hyperlink" Target="http://www.pebabaseball.com/reports/news/html/teams/team_80.html" TargetMode="External"/><Relationship Id="rId224" Type="http://schemas.openxmlformats.org/officeDocument/2006/relationships/hyperlink" Target="http://www.pebabaseball.com/reports/news/html/teams/team_86.html" TargetMode="External"/><Relationship Id="rId225" Type="http://schemas.openxmlformats.org/officeDocument/2006/relationships/hyperlink" Target="http://www.pebabaseball.com/reports/news/html/teams/team_79.html" TargetMode="External"/><Relationship Id="rId226" Type="http://schemas.openxmlformats.org/officeDocument/2006/relationships/hyperlink" Target="http://www.pebabaseball.com/reports/news/html/teams/team_83.html" TargetMode="External"/><Relationship Id="rId227" Type="http://schemas.openxmlformats.org/officeDocument/2006/relationships/hyperlink" Target="http://www.pebabaseball.com/reports/news/html/teams/team_92.html" TargetMode="External"/><Relationship Id="rId228" Type="http://schemas.openxmlformats.org/officeDocument/2006/relationships/hyperlink" Target="http://www.pebabaseball.com/reports/news/html/teams/team_82.html" TargetMode="External"/><Relationship Id="rId229" Type="http://schemas.openxmlformats.org/officeDocument/2006/relationships/hyperlink" Target="http://www.pebabaseball.com/reports/news/html/teams/team_77.html" TargetMode="External"/><Relationship Id="rId134" Type="http://schemas.openxmlformats.org/officeDocument/2006/relationships/hyperlink" Target="http://www.pebabaseball.com/reports/news/html/teams/team_90.html" TargetMode="External"/><Relationship Id="rId135" Type="http://schemas.openxmlformats.org/officeDocument/2006/relationships/hyperlink" Target="http://www.pebabaseball.com/reports/news/html/teams/team_94.html" TargetMode="External"/><Relationship Id="rId136" Type="http://schemas.openxmlformats.org/officeDocument/2006/relationships/hyperlink" Target="http://www.pebabaseball.com/reports/news/html/teams/team_85.html" TargetMode="External"/><Relationship Id="rId137" Type="http://schemas.openxmlformats.org/officeDocument/2006/relationships/hyperlink" Target="http://www.pebabaseball.com/reports/news/html/teams/team_90.html" TargetMode="External"/><Relationship Id="rId138" Type="http://schemas.openxmlformats.org/officeDocument/2006/relationships/hyperlink" Target="http://www.pebabaseball.com/reports/news/html/teams/team_91.html" TargetMode="External"/><Relationship Id="rId139" Type="http://schemas.openxmlformats.org/officeDocument/2006/relationships/hyperlink" Target="http://www.pebabaseball.com/reports/news/html/teams/team_96.html" TargetMode="External"/><Relationship Id="rId285" Type="http://schemas.openxmlformats.org/officeDocument/2006/relationships/hyperlink" Target="http://www.pebabaseball.com/reports/news/html/teams/team_100.html" TargetMode="External"/><Relationship Id="rId286" Type="http://schemas.openxmlformats.org/officeDocument/2006/relationships/hyperlink" Target="http://www.pebabaseball.com/reports/news/html/teams/team_99.html" TargetMode="External"/><Relationship Id="rId287" Type="http://schemas.openxmlformats.org/officeDocument/2006/relationships/hyperlink" Target="http://www.pebabaseball.com/reports/news/html/teams/team_84.html" TargetMode="External"/><Relationship Id="rId288" Type="http://schemas.openxmlformats.org/officeDocument/2006/relationships/hyperlink" Target="http://www.pebabaseball.com/reports/news/html/teams/team_98.html" TargetMode="External"/><Relationship Id="rId289" Type="http://schemas.openxmlformats.org/officeDocument/2006/relationships/hyperlink" Target="http://www.pebabaseball.com/reports/news/html/teams/team_89.html" TargetMode="External"/><Relationship Id="rId310" Type="http://schemas.openxmlformats.org/officeDocument/2006/relationships/hyperlink" Target="http://www.pebabaseball.com/reports/news/html/teams/team_99.html" TargetMode="External"/><Relationship Id="rId311" Type="http://schemas.openxmlformats.org/officeDocument/2006/relationships/hyperlink" Target="http://www.pebabaseball.com/reports/news/html/teams/team_84.html" TargetMode="External"/><Relationship Id="rId312" Type="http://schemas.openxmlformats.org/officeDocument/2006/relationships/hyperlink" Target="http://www.pebabaseball.com/reports/news/html/teams/team_98.html" TargetMode="External"/><Relationship Id="rId313" Type="http://schemas.openxmlformats.org/officeDocument/2006/relationships/hyperlink" Target="http://www.pebabaseball.com/reports/news/html/teams/team_89.html" TargetMode="External"/><Relationship Id="rId314" Type="http://schemas.openxmlformats.org/officeDocument/2006/relationships/hyperlink" Target="http://www.pebabaseball.com/reports/news/html/teams/team_93.html" TargetMode="External"/><Relationship Id="rId315" Type="http://schemas.openxmlformats.org/officeDocument/2006/relationships/hyperlink" Target="http://www.pebabaseball.com/reports/news/html/teams/team_97.html" TargetMode="External"/><Relationship Id="rId316" Type="http://schemas.openxmlformats.org/officeDocument/2006/relationships/hyperlink" Target="http://www.pebabaseball.com/reports/news/html/teams/team_88.html" TargetMode="External"/><Relationship Id="rId317" Type="http://schemas.openxmlformats.org/officeDocument/2006/relationships/hyperlink" Target="http://www.pebabaseball.com/reports/news/html/teams/team_78.html" TargetMode="External"/><Relationship Id="rId318" Type="http://schemas.openxmlformats.org/officeDocument/2006/relationships/hyperlink" Target="http://www.pebabaseball.com/reports/news/html/teams/team_87.html" TargetMode="External"/><Relationship Id="rId319" Type="http://schemas.openxmlformats.org/officeDocument/2006/relationships/hyperlink" Target="http://www.pebabaseball.com/reports/news/html/teams/team_80.html" TargetMode="External"/><Relationship Id="rId370" Type="http://schemas.openxmlformats.org/officeDocument/2006/relationships/hyperlink" Target="http://www.pebabaseball.com/reports/news/html/teams/team_83.html" TargetMode="External"/><Relationship Id="rId371" Type="http://schemas.openxmlformats.org/officeDocument/2006/relationships/hyperlink" Target="http://www.pebabaseball.com/reports/news/html/teams/team_92.html" TargetMode="External"/><Relationship Id="rId372" Type="http://schemas.openxmlformats.org/officeDocument/2006/relationships/hyperlink" Target="http://www.pebabaseball.com/reports/news/html/teams/team_82.html" TargetMode="External"/><Relationship Id="rId373" Type="http://schemas.openxmlformats.org/officeDocument/2006/relationships/hyperlink" Target="http://www.pebabaseball.com/reports/news/html/teams/team_77.html" TargetMode="External"/><Relationship Id="rId374" Type="http://schemas.openxmlformats.org/officeDocument/2006/relationships/hyperlink" Target="http://www.pebabaseball.com/reports/news/html/teams/team_81.html" TargetMode="External"/><Relationship Id="rId375" Type="http://schemas.openxmlformats.org/officeDocument/2006/relationships/hyperlink" Target="http://www.pebabaseball.com/reports/news/html/teams/team_94.html" TargetMode="External"/><Relationship Id="rId376" Type="http://schemas.openxmlformats.org/officeDocument/2006/relationships/hyperlink" Target="http://www.pebabaseball.com/reports/news/html/teams/team_85.html" TargetMode="External"/><Relationship Id="rId377" Type="http://schemas.openxmlformats.org/officeDocument/2006/relationships/hyperlink" Target="http://www.pebabaseball.com/reports/news/html/teams/team_90.html" TargetMode="External"/><Relationship Id="rId378" Type="http://schemas.openxmlformats.org/officeDocument/2006/relationships/hyperlink" Target="http://www.pebabaseball.com/reports/news/html/teams/team_91.html" TargetMode="External"/><Relationship Id="rId379" Type="http://schemas.openxmlformats.org/officeDocument/2006/relationships/hyperlink" Target="http://www.pebabaseball.com/reports/news/html/teams/team_96.html" TargetMode="External"/><Relationship Id="rId290" Type="http://schemas.openxmlformats.org/officeDocument/2006/relationships/hyperlink" Target="http://www.pebabaseball.com/reports/news/html/teams/team_93.html" TargetMode="External"/><Relationship Id="rId291" Type="http://schemas.openxmlformats.org/officeDocument/2006/relationships/hyperlink" Target="http://www.pebabaseball.com/reports/news/html/teams/team_81.html" TargetMode="External"/><Relationship Id="rId292" Type="http://schemas.openxmlformats.org/officeDocument/2006/relationships/hyperlink" Target="http://www.pebabaseball.com/reports/news/html/teams/team_88.html" TargetMode="External"/><Relationship Id="rId293" Type="http://schemas.openxmlformats.org/officeDocument/2006/relationships/hyperlink" Target="http://www.pebabaseball.com/reports/news/html/teams/team_78.html" TargetMode="External"/><Relationship Id="rId294" Type="http://schemas.openxmlformats.org/officeDocument/2006/relationships/hyperlink" Target="http://www.pebabaseball.com/reports/news/html/teams/team_87.html" TargetMode="External"/><Relationship Id="rId295" Type="http://schemas.openxmlformats.org/officeDocument/2006/relationships/hyperlink" Target="http://www.pebabaseball.com/reports/news/html/teams/team_80.html" TargetMode="External"/><Relationship Id="rId296" Type="http://schemas.openxmlformats.org/officeDocument/2006/relationships/hyperlink" Target="http://www.pebabaseball.com/reports/news/html/teams/team_86.html" TargetMode="External"/><Relationship Id="rId40" Type="http://schemas.openxmlformats.org/officeDocument/2006/relationships/hyperlink" Target="http://www.pebabaseball.com/reports/news/html/teams/team_90.html" TargetMode="External"/><Relationship Id="rId41" Type="http://schemas.openxmlformats.org/officeDocument/2006/relationships/hyperlink" Target="http://www.pebabaseball.com/reports/news/html/teams/team_79.html" TargetMode="External"/><Relationship Id="rId42" Type="http://schemas.openxmlformats.org/officeDocument/2006/relationships/hyperlink" Target="http://www.pebabaseball.com/reports/news/html/teams/team_93.html" TargetMode="External"/><Relationship Id="rId43" Type="http://schemas.openxmlformats.org/officeDocument/2006/relationships/hyperlink" Target="http://www.pebabaseball.com/reports/news/html/teams/team_97.html" TargetMode="External"/><Relationship Id="rId44" Type="http://schemas.openxmlformats.org/officeDocument/2006/relationships/hyperlink" Target="http://www.pebabaseball.com/reports/news/html/teams/team_86.html" TargetMode="External"/><Relationship Id="rId45" Type="http://schemas.openxmlformats.org/officeDocument/2006/relationships/hyperlink" Target="http://www.pebabaseball.com/reports/news/html/teams/team_78.html" TargetMode="External"/><Relationship Id="rId46" Type="http://schemas.openxmlformats.org/officeDocument/2006/relationships/hyperlink" Target="http://www.pebabaseball.com/reports/news/html/teams/team_87.html" TargetMode="External"/><Relationship Id="rId47" Type="http://schemas.openxmlformats.org/officeDocument/2006/relationships/hyperlink" Target="http://www.pebabaseball.com/reports/news/html/teams/team_80.html" TargetMode="External"/><Relationship Id="rId48" Type="http://schemas.openxmlformats.org/officeDocument/2006/relationships/hyperlink" Target="http://www.pebabaseball.com/reports/news/html/teams/team_87.html" TargetMode="External"/><Relationship Id="rId49" Type="http://schemas.openxmlformats.org/officeDocument/2006/relationships/hyperlink" Target="http://www.pebabaseball.com/reports/news/html/teams/team_86.html" TargetMode="External"/><Relationship Id="rId297" Type="http://schemas.openxmlformats.org/officeDocument/2006/relationships/hyperlink" Target="http://www.pebabaseball.com/reports/news/html/teams/team_79.html" TargetMode="External"/><Relationship Id="rId298" Type="http://schemas.openxmlformats.org/officeDocument/2006/relationships/hyperlink" Target="http://www.pebabaseball.com/reports/news/html/teams/team_83.html" TargetMode="External"/><Relationship Id="rId299" Type="http://schemas.openxmlformats.org/officeDocument/2006/relationships/hyperlink" Target="http://www.pebabaseball.com/reports/news/html/teams/team_92.html" TargetMode="External"/><Relationship Id="rId380" Type="http://schemas.openxmlformats.org/officeDocument/2006/relationships/hyperlink" Target="http://www.pebabaseball.com/reports/news/html/teams/team_95.html" TargetMode="External"/><Relationship Id="rId140" Type="http://schemas.openxmlformats.org/officeDocument/2006/relationships/hyperlink" Target="http://www.pebabaseball.com/reports/news/html/teams/team_95.html" TargetMode="External"/><Relationship Id="rId141" Type="http://schemas.openxmlformats.org/officeDocument/2006/relationships/hyperlink" Target="http://www.pebabaseball.com/reports/news/html/teams/team_100.html" TargetMode="External"/><Relationship Id="rId142" Type="http://schemas.openxmlformats.org/officeDocument/2006/relationships/hyperlink" Target="http://www.pebabaseball.com/reports/news/html/teams/team_99.html" TargetMode="External"/><Relationship Id="rId143" Type="http://schemas.openxmlformats.org/officeDocument/2006/relationships/hyperlink" Target="http://www.pebabaseball.com/reports/news/html/teams/team_80.html" TargetMode="External"/><Relationship Id="rId144" Type="http://schemas.openxmlformats.org/officeDocument/2006/relationships/hyperlink" Target="http://www.pebabaseball.com/reports/news/html/teams/team_98.html" TargetMode="External"/><Relationship Id="rId145" Type="http://schemas.openxmlformats.org/officeDocument/2006/relationships/hyperlink" Target="http://www.pebabaseball.com/reports/news/html/teams/team_89.html" TargetMode="External"/><Relationship Id="rId146" Type="http://schemas.openxmlformats.org/officeDocument/2006/relationships/hyperlink" Target="http://www.pebabaseball.com/reports/news/html/teams/team_93.html" TargetMode="External"/><Relationship Id="rId147" Type="http://schemas.openxmlformats.org/officeDocument/2006/relationships/hyperlink" Target="http://www.pebabaseball.com/reports/news/html/teams/team_97.html" TargetMode="External"/><Relationship Id="rId148" Type="http://schemas.openxmlformats.org/officeDocument/2006/relationships/hyperlink" Target="http://www.pebabaseball.com/reports/news/html/teams/team_88.html" TargetMode="External"/><Relationship Id="rId149" Type="http://schemas.openxmlformats.org/officeDocument/2006/relationships/hyperlink" Target="http://www.pebabaseball.com/reports/news/html/teams/team_78.html" TargetMode="External"/><Relationship Id="rId230" Type="http://schemas.openxmlformats.org/officeDocument/2006/relationships/hyperlink" Target="http://www.pebabaseball.com/reports/news/html/teams/team_81.html" TargetMode="External"/><Relationship Id="rId231" Type="http://schemas.openxmlformats.org/officeDocument/2006/relationships/hyperlink" Target="http://www.pebabaseball.com/reports/news/html/teams/team_94.html" TargetMode="External"/><Relationship Id="rId232" Type="http://schemas.openxmlformats.org/officeDocument/2006/relationships/hyperlink" Target="http://www.pebabaseball.com/reports/news/html/teams/team_85.html" TargetMode="External"/><Relationship Id="rId233" Type="http://schemas.openxmlformats.org/officeDocument/2006/relationships/hyperlink" Target="http://www.pebabaseball.com/reports/news/html/teams/team_90.html" TargetMode="External"/><Relationship Id="rId234" Type="http://schemas.openxmlformats.org/officeDocument/2006/relationships/hyperlink" Target="http://www.pebabaseball.com/reports/news/html/teams/team_91.html" TargetMode="External"/><Relationship Id="rId235" Type="http://schemas.openxmlformats.org/officeDocument/2006/relationships/hyperlink" Target="http://www.pebabaseball.com/reports/news/html/teams/team_96.html" TargetMode="External"/><Relationship Id="rId236" Type="http://schemas.openxmlformats.org/officeDocument/2006/relationships/hyperlink" Target="http://www.pebabaseball.com/reports/news/html/teams/team_95.html" TargetMode="External"/><Relationship Id="rId237" Type="http://schemas.openxmlformats.org/officeDocument/2006/relationships/hyperlink" Target="http://www.pebabaseball.com/reports/news/html/teams/team_100.html" TargetMode="External"/><Relationship Id="rId238" Type="http://schemas.openxmlformats.org/officeDocument/2006/relationships/hyperlink" Target="http://www.pebabaseball.com/reports/news/html/teams/team_99.html" TargetMode="External"/><Relationship Id="rId239" Type="http://schemas.openxmlformats.org/officeDocument/2006/relationships/hyperlink" Target="http://www.pebabaseball.com/reports/news/html/teams/team_84.html" TargetMode="External"/><Relationship Id="rId320" Type="http://schemas.openxmlformats.org/officeDocument/2006/relationships/hyperlink" Target="http://www.pebabaseball.com/reports/news/html/teams/team_86.html" TargetMode="External"/><Relationship Id="rId321" Type="http://schemas.openxmlformats.org/officeDocument/2006/relationships/hyperlink" Target="http://www.pebabaseball.com/reports/news/html/teams/team_79.html" TargetMode="External"/><Relationship Id="rId322" Type="http://schemas.openxmlformats.org/officeDocument/2006/relationships/hyperlink" Target="http://www.pebabaseball.com/reports/news/html/teams/team_83.html" TargetMode="External"/><Relationship Id="rId323" Type="http://schemas.openxmlformats.org/officeDocument/2006/relationships/hyperlink" Target="http://www.pebabaseball.com/reports/news/html/teams/team_92.html" TargetMode="External"/><Relationship Id="rId324" Type="http://schemas.openxmlformats.org/officeDocument/2006/relationships/hyperlink" Target="http://www.pebabaseball.com/reports/news/html/teams/team_82.html" TargetMode="External"/><Relationship Id="rId325" Type="http://schemas.openxmlformats.org/officeDocument/2006/relationships/hyperlink" Target="http://www.pebabaseball.com/reports/news/html/teams/team_77.html" TargetMode="External"/><Relationship Id="rId326" Type="http://schemas.openxmlformats.org/officeDocument/2006/relationships/hyperlink" Target="http://www.pebabaseball.com/reports/news/html/teams/team_81.html" TargetMode="External"/><Relationship Id="rId327" Type="http://schemas.openxmlformats.org/officeDocument/2006/relationships/hyperlink" Target="http://www.pebabaseball.com/reports/news/html/teams/team_94.html" TargetMode="External"/><Relationship Id="rId328" Type="http://schemas.openxmlformats.org/officeDocument/2006/relationships/hyperlink" Target="http://www.pebabaseball.com/reports/news/html/teams/team_85.html" TargetMode="External"/><Relationship Id="rId329" Type="http://schemas.openxmlformats.org/officeDocument/2006/relationships/hyperlink" Target="http://www.pebabaseball.com/reports/news/html/teams/team_90.html" TargetMode="External"/><Relationship Id="rId50" Type="http://schemas.openxmlformats.org/officeDocument/2006/relationships/hyperlink" Target="http://www.pebabaseball.com/reports/news/html/teams/team_79.html" TargetMode="External"/><Relationship Id="rId51" Type="http://schemas.openxmlformats.org/officeDocument/2006/relationships/hyperlink" Target="http://www.pebabaseball.com/reports/news/html/teams/team_79.html" TargetMode="External"/><Relationship Id="rId52" Type="http://schemas.openxmlformats.org/officeDocument/2006/relationships/hyperlink" Target="http://www.pebabaseball.com/reports/news/html/teams/team_77.html" TargetMode="External"/><Relationship Id="rId53" Type="http://schemas.openxmlformats.org/officeDocument/2006/relationships/hyperlink" Target="http://www.pebabaseball.com/reports/news/html/teams/team_99.html" TargetMode="External"/><Relationship Id="rId54" Type="http://schemas.openxmlformats.org/officeDocument/2006/relationships/hyperlink" Target="http://www.pebabaseball.com/reports/news/html/teams/team_92.html" TargetMode="External"/><Relationship Id="rId55" Type="http://schemas.openxmlformats.org/officeDocument/2006/relationships/hyperlink" Target="http://www.pebabaseball.com/reports/news/html/teams/team_97.html" TargetMode="External"/><Relationship Id="rId56" Type="http://schemas.openxmlformats.org/officeDocument/2006/relationships/hyperlink" Target="http://www.pebabaseball.com/reports/news/html/teams/team_90.html" TargetMode="External"/><Relationship Id="rId57" Type="http://schemas.openxmlformats.org/officeDocument/2006/relationships/hyperlink" Target="http://www.pebabaseball.com/reports/news/html/teams/team_77.html" TargetMode="External"/><Relationship Id="rId58" Type="http://schemas.openxmlformats.org/officeDocument/2006/relationships/hyperlink" Target="http://www.pebabaseball.com/reports/news/html/teams/team_97.html" TargetMode="External"/><Relationship Id="rId59" Type="http://schemas.openxmlformats.org/officeDocument/2006/relationships/hyperlink" Target="http://www.pebabaseball.com/reports/news/html/teams/team_94.html" TargetMode="External"/><Relationship Id="rId150" Type="http://schemas.openxmlformats.org/officeDocument/2006/relationships/hyperlink" Target="http://www.pebabaseball.com/reports/news/html/teams/team_87.html" TargetMode="External"/><Relationship Id="rId151" Type="http://schemas.openxmlformats.org/officeDocument/2006/relationships/hyperlink" Target="http://www.pebabaseball.com/reports/news/html/teams/team_80.html" TargetMode="External"/><Relationship Id="rId152" Type="http://schemas.openxmlformats.org/officeDocument/2006/relationships/hyperlink" Target="http://www.pebabaseball.com/reports/news/html/teams/team_86.html" TargetMode="External"/><Relationship Id="rId153" Type="http://schemas.openxmlformats.org/officeDocument/2006/relationships/hyperlink" Target="http://www.pebabaseball.com/reports/news/html/teams/team_79.html" TargetMode="External"/><Relationship Id="rId154" Type="http://schemas.openxmlformats.org/officeDocument/2006/relationships/hyperlink" Target="http://www.pebabaseball.com/reports/news/html/teams/team_83.html" TargetMode="External"/><Relationship Id="rId155" Type="http://schemas.openxmlformats.org/officeDocument/2006/relationships/hyperlink" Target="http://www.pebabaseball.com/reports/news/html/teams/team_78.html" TargetMode="External"/><Relationship Id="rId156" Type="http://schemas.openxmlformats.org/officeDocument/2006/relationships/hyperlink" Target="http://www.pebabaseball.com/reports/news/html/teams/team_88.html" TargetMode="External"/><Relationship Id="rId157" Type="http://schemas.openxmlformats.org/officeDocument/2006/relationships/hyperlink" Target="http://www.pebabaseball.com/reports/news/html/teams/team_83.html" TargetMode="External"/><Relationship Id="rId158" Type="http://schemas.openxmlformats.org/officeDocument/2006/relationships/hyperlink" Target="http://www.pebabaseball.com/reports/news/html/teams/team_81.html" TargetMode="External"/><Relationship Id="rId159" Type="http://schemas.openxmlformats.org/officeDocument/2006/relationships/hyperlink" Target="http://www.pebabaseball.com/reports/news/html/teams/team_94.html" TargetMode="External"/><Relationship Id="rId240" Type="http://schemas.openxmlformats.org/officeDocument/2006/relationships/hyperlink" Target="http://www.pebabaseball.com/reports/news/html/teams/team_98.html" TargetMode="External"/><Relationship Id="rId241" Type="http://schemas.openxmlformats.org/officeDocument/2006/relationships/hyperlink" Target="http://www.pebabaseball.com/reports/news/html/teams/team_89.html" TargetMode="External"/><Relationship Id="rId242" Type="http://schemas.openxmlformats.org/officeDocument/2006/relationships/hyperlink" Target="http://www.pebabaseball.com/reports/news/html/teams/team_93.html" TargetMode="External"/><Relationship Id="rId243" Type="http://schemas.openxmlformats.org/officeDocument/2006/relationships/hyperlink" Target="http://www.pebabaseball.com/reports/news/html/teams/team_97.html" TargetMode="External"/><Relationship Id="rId244" Type="http://schemas.openxmlformats.org/officeDocument/2006/relationships/hyperlink" Target="http://www.pebabaseball.com/reports/news/html/teams/team_88.html" TargetMode="External"/><Relationship Id="rId245" Type="http://schemas.openxmlformats.org/officeDocument/2006/relationships/hyperlink" Target="http://www.pebabaseball.com/reports/news/html/teams/team_78.html" TargetMode="External"/><Relationship Id="rId246" Type="http://schemas.openxmlformats.org/officeDocument/2006/relationships/hyperlink" Target="http://www.pebabaseball.com/reports/news/html/teams/team_87.html" TargetMode="External"/><Relationship Id="rId247" Type="http://schemas.openxmlformats.org/officeDocument/2006/relationships/hyperlink" Target="http://www.pebabaseball.com/reports/news/html/teams/team_80.html" TargetMode="External"/><Relationship Id="rId248" Type="http://schemas.openxmlformats.org/officeDocument/2006/relationships/hyperlink" Target="http://www.pebabaseball.com/reports/news/html/teams/team_86.html" TargetMode="External"/><Relationship Id="rId249" Type="http://schemas.openxmlformats.org/officeDocument/2006/relationships/hyperlink" Target="http://www.pebabaseball.com/reports/news/html/teams/team_79.html" TargetMode="External"/><Relationship Id="rId330" Type="http://schemas.openxmlformats.org/officeDocument/2006/relationships/hyperlink" Target="http://www.pebabaseball.com/reports/news/html/teams/team_91.html" TargetMode="External"/><Relationship Id="rId331" Type="http://schemas.openxmlformats.org/officeDocument/2006/relationships/hyperlink" Target="http://www.pebabaseball.com/reports/news/html/teams/team_96.html" TargetMode="External"/><Relationship Id="rId332" Type="http://schemas.openxmlformats.org/officeDocument/2006/relationships/hyperlink" Target="http://www.pebabaseball.com/reports/news/html/teams/team_95.html" TargetMode="External"/><Relationship Id="rId333" Type="http://schemas.openxmlformats.org/officeDocument/2006/relationships/hyperlink" Target="http://www.pebabaseball.com/reports/news/html/teams/team_100.html" TargetMode="External"/><Relationship Id="rId334" Type="http://schemas.openxmlformats.org/officeDocument/2006/relationships/hyperlink" Target="http://www.pebabaseball.com/reports/news/html/teams/team_99.html" TargetMode="External"/><Relationship Id="rId335" Type="http://schemas.openxmlformats.org/officeDocument/2006/relationships/hyperlink" Target="http://www.pebabaseball.com/reports/news/html/teams/team_84.html" TargetMode="External"/><Relationship Id="rId336" Type="http://schemas.openxmlformats.org/officeDocument/2006/relationships/hyperlink" Target="http://www.pebabaseball.com/reports/news/html/teams/team_98.html" TargetMode="External"/><Relationship Id="rId337" Type="http://schemas.openxmlformats.org/officeDocument/2006/relationships/hyperlink" Target="http://www.pebabaseball.com/reports/news/html/teams/team_89.html" TargetMode="External"/><Relationship Id="rId338" Type="http://schemas.openxmlformats.org/officeDocument/2006/relationships/hyperlink" Target="http://www.pebabaseball.com/reports/news/html/teams/team_93.html" TargetMode="External"/><Relationship Id="rId339" Type="http://schemas.openxmlformats.org/officeDocument/2006/relationships/hyperlink" Target="http://www.pebabaseball.com/reports/news/html/teams/team_97.html" TargetMode="External"/><Relationship Id="rId60" Type="http://schemas.openxmlformats.org/officeDocument/2006/relationships/hyperlink" Target="http://www.pebabaseball.com/reports/news/html/teams/team_85.html" TargetMode="External"/><Relationship Id="rId61" Type="http://schemas.openxmlformats.org/officeDocument/2006/relationships/hyperlink" Target="http://www.pebabaseball.com/reports/news/html/teams/team_90.html" TargetMode="External"/><Relationship Id="rId62" Type="http://schemas.openxmlformats.org/officeDocument/2006/relationships/hyperlink" Target="http://www.pebabaseball.com/reports/news/html/teams/team_91.html" TargetMode="External"/><Relationship Id="rId63" Type="http://schemas.openxmlformats.org/officeDocument/2006/relationships/hyperlink" Target="http://www.pebabaseball.com/reports/news/html/teams/team_96.html" TargetMode="External"/><Relationship Id="rId64" Type="http://schemas.openxmlformats.org/officeDocument/2006/relationships/hyperlink" Target="http://www.pebabaseball.com/reports/news/html/teams/team_95.html" TargetMode="External"/><Relationship Id="rId65" Type="http://schemas.openxmlformats.org/officeDocument/2006/relationships/hyperlink" Target="http://www.pebabaseball.com/reports/news/html/teams/team_100.html" TargetMode="External"/><Relationship Id="rId66" Type="http://schemas.openxmlformats.org/officeDocument/2006/relationships/hyperlink" Target="http://www.pebabaseball.com/reports/news/html/teams/team_99.html" TargetMode="External"/><Relationship Id="rId67" Type="http://schemas.openxmlformats.org/officeDocument/2006/relationships/hyperlink" Target="http://www.pebabaseball.com/reports/news/html/teams/team_100.html" TargetMode="External"/><Relationship Id="rId68" Type="http://schemas.openxmlformats.org/officeDocument/2006/relationships/hyperlink" Target="http://www.pebabaseball.com/reports/news/html/teams/team_85.html" TargetMode="External"/><Relationship Id="rId69" Type="http://schemas.openxmlformats.org/officeDocument/2006/relationships/hyperlink" Target="http://www.pebabaseball.com/reports/news/html/teams/team_98.html" TargetMode="External"/><Relationship Id="rId160" Type="http://schemas.openxmlformats.org/officeDocument/2006/relationships/hyperlink" Target="http://www.pebabaseball.com/reports/news/html/teams/team_85.html" TargetMode="External"/><Relationship Id="rId161" Type="http://schemas.openxmlformats.org/officeDocument/2006/relationships/hyperlink" Target="http://www.pebabaseball.com/reports/news/html/teams/team_90.html" TargetMode="External"/><Relationship Id="rId162" Type="http://schemas.openxmlformats.org/officeDocument/2006/relationships/hyperlink" Target="http://www.pebabaseball.com/reports/news/html/teams/team_91.html" TargetMode="External"/><Relationship Id="rId163" Type="http://schemas.openxmlformats.org/officeDocument/2006/relationships/hyperlink" Target="http://www.pebabaseball.com/reports/news/html/teams/team_96.html" TargetMode="External"/><Relationship Id="rId164" Type="http://schemas.openxmlformats.org/officeDocument/2006/relationships/hyperlink" Target="http://www.pebabaseball.com/reports/news/html/teams/team_95.html" TargetMode="External"/><Relationship Id="rId165" Type="http://schemas.openxmlformats.org/officeDocument/2006/relationships/hyperlink" Target="http://www.pebabaseball.com/reports/news/html/teams/team_100.html" TargetMode="External"/><Relationship Id="rId166" Type="http://schemas.openxmlformats.org/officeDocument/2006/relationships/hyperlink" Target="http://www.pebabaseball.com/reports/news/html/teams/team_99.html" TargetMode="External"/><Relationship Id="rId167" Type="http://schemas.openxmlformats.org/officeDocument/2006/relationships/hyperlink" Target="http://www.pebabaseball.com/reports/news/html/teams/team_84.html" TargetMode="External"/><Relationship Id="rId168" Type="http://schemas.openxmlformats.org/officeDocument/2006/relationships/hyperlink" Target="http://www.pebabaseball.com/reports/news/html/teams/team_98.html" TargetMode="External"/><Relationship Id="rId169" Type="http://schemas.openxmlformats.org/officeDocument/2006/relationships/hyperlink" Target="http://www.pebabaseball.com/reports/news/html/teams/team_89.html" TargetMode="External"/><Relationship Id="rId250" Type="http://schemas.openxmlformats.org/officeDocument/2006/relationships/hyperlink" Target="http://www.pebabaseball.com/reports/news/html/teams/team_83.html" TargetMode="External"/><Relationship Id="rId251" Type="http://schemas.openxmlformats.org/officeDocument/2006/relationships/hyperlink" Target="http://www.pebabaseball.com/reports/news/html/teams/team_92.html" TargetMode="External"/><Relationship Id="rId252" Type="http://schemas.openxmlformats.org/officeDocument/2006/relationships/hyperlink" Target="http://www.pebabaseball.com/reports/news/html/teams/team_82.html" TargetMode="External"/><Relationship Id="rId253" Type="http://schemas.openxmlformats.org/officeDocument/2006/relationships/hyperlink" Target="http://www.pebabaseball.com/reports/news/html/teams/team_77.html" TargetMode="External"/><Relationship Id="rId254" Type="http://schemas.openxmlformats.org/officeDocument/2006/relationships/hyperlink" Target="http://www.pebabaseball.com/reports/news/html/teams/team_81.html" TargetMode="External"/><Relationship Id="rId255" Type="http://schemas.openxmlformats.org/officeDocument/2006/relationships/hyperlink" Target="http://www.pebabaseball.com/reports/news/html/teams/team_94.html" TargetMode="External"/><Relationship Id="rId256" Type="http://schemas.openxmlformats.org/officeDocument/2006/relationships/hyperlink" Target="http://www.pebabaseball.com/reports/news/html/teams/team_85.html" TargetMode="External"/><Relationship Id="rId257" Type="http://schemas.openxmlformats.org/officeDocument/2006/relationships/hyperlink" Target="http://www.pebabaseball.com/reports/news/html/teams/team_90.html" TargetMode="External"/><Relationship Id="rId258" Type="http://schemas.openxmlformats.org/officeDocument/2006/relationships/hyperlink" Target="http://www.pebabaseball.com/reports/news/html/teams/team_91.html" TargetMode="External"/><Relationship Id="rId259" Type="http://schemas.openxmlformats.org/officeDocument/2006/relationships/hyperlink" Target="http://www.pebabaseball.com/reports/news/html/teams/team_96.html" TargetMode="External"/><Relationship Id="rId340" Type="http://schemas.openxmlformats.org/officeDocument/2006/relationships/hyperlink" Target="http://www.pebabaseball.com/reports/news/html/teams/team_88.html" TargetMode="External"/><Relationship Id="rId341" Type="http://schemas.openxmlformats.org/officeDocument/2006/relationships/hyperlink" Target="http://www.pebabaseball.com/reports/news/html/teams/team_78.html" TargetMode="External"/><Relationship Id="rId342" Type="http://schemas.openxmlformats.org/officeDocument/2006/relationships/hyperlink" Target="http://www.pebabaseball.com/reports/news/html/teams/team_87.html" TargetMode="External"/><Relationship Id="rId343" Type="http://schemas.openxmlformats.org/officeDocument/2006/relationships/hyperlink" Target="http://www.pebabaseball.com/reports/news/html/teams/team_80.html" TargetMode="External"/><Relationship Id="rId344" Type="http://schemas.openxmlformats.org/officeDocument/2006/relationships/hyperlink" Target="http://www.pebabaseball.com/reports/news/html/teams/team_86.html" TargetMode="External"/><Relationship Id="rId100" Type="http://schemas.openxmlformats.org/officeDocument/2006/relationships/hyperlink" Target="http://www.pebabaseball.com/reports/news/html/teams/team_97.html" TargetMode="External"/><Relationship Id="rId101" Type="http://schemas.openxmlformats.org/officeDocument/2006/relationships/hyperlink" Target="http://www.pebabaseball.com/reports/news/html/teams/team_93.html" TargetMode="External"/><Relationship Id="rId102" Type="http://schemas.openxmlformats.org/officeDocument/2006/relationships/hyperlink" Target="http://www.pebabaseball.com/reports/news/html/teams/team_98.html" TargetMode="External"/><Relationship Id="rId103" Type="http://schemas.openxmlformats.org/officeDocument/2006/relationships/hyperlink" Target="http://www.pebabaseball.com/reports/news/html/teams/team_87.html" TargetMode="External"/><Relationship Id="rId104" Type="http://schemas.openxmlformats.org/officeDocument/2006/relationships/hyperlink" Target="http://www.pebabaseball.com/reports/news/html/teams/team_86.html" TargetMode="External"/><Relationship Id="rId105" Type="http://schemas.openxmlformats.org/officeDocument/2006/relationships/hyperlink" Target="http://www.pebabaseball.com/reports/news/html/teams/team_7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G6"/>
  <sheetViews>
    <sheetView workbookViewId="0">
      <selection activeCell="B24" sqref="B24"/>
    </sheetView>
  </sheetViews>
  <sheetFormatPr baseColWidth="10" defaultColWidth="8.83203125" defaultRowHeight="14"/>
  <cols>
    <col min="1" max="1" width="18.1640625" customWidth="1"/>
    <col min="2" max="2" width="5" bestFit="1" customWidth="1"/>
    <col min="3" max="3" width="4.5" bestFit="1" customWidth="1"/>
    <col min="4" max="4" width="14.5" bestFit="1" customWidth="1"/>
    <col min="5" max="5" width="4.5" bestFit="1" customWidth="1"/>
    <col min="6" max="6" width="2.1640625" bestFit="1" customWidth="1"/>
    <col min="7" max="7" width="2" bestFit="1" customWidth="1"/>
  </cols>
  <sheetData>
    <row r="2" spans="1:7">
      <c r="A2" t="s">
        <v>97</v>
      </c>
    </row>
    <row r="3" spans="1:7">
      <c r="A3" s="4" t="s">
        <v>1809</v>
      </c>
      <c r="B3" s="4" t="s">
        <v>1808</v>
      </c>
      <c r="C3" s="2" t="s">
        <v>1978</v>
      </c>
      <c r="D3" s="2" t="s">
        <v>1979</v>
      </c>
      <c r="E3" s="2" t="s">
        <v>1980</v>
      </c>
      <c r="F3" s="2" t="s">
        <v>1981</v>
      </c>
      <c r="G3" s="2" t="s">
        <v>1982</v>
      </c>
    </row>
    <row r="4" spans="1:7">
      <c r="A4" t="s">
        <v>832</v>
      </c>
      <c r="B4">
        <v>1809</v>
      </c>
      <c r="C4" t="s">
        <v>2035</v>
      </c>
      <c r="D4" t="s">
        <v>1255</v>
      </c>
      <c r="E4">
        <v>18</v>
      </c>
      <c r="F4" t="s">
        <v>2038</v>
      </c>
      <c r="G4" t="s">
        <v>2038</v>
      </c>
    </row>
    <row r="5" spans="1:7">
      <c r="A5" t="s">
        <v>256</v>
      </c>
      <c r="B5">
        <v>3456</v>
      </c>
      <c r="C5" t="s">
        <v>2057</v>
      </c>
      <c r="D5" t="s">
        <v>1306</v>
      </c>
      <c r="E5">
        <v>21</v>
      </c>
      <c r="F5" t="s">
        <v>2022</v>
      </c>
      <c r="G5" t="s">
        <v>2022</v>
      </c>
    </row>
    <row r="6" spans="1:7">
      <c r="A6" t="s">
        <v>843</v>
      </c>
      <c r="B6">
        <v>6870</v>
      </c>
      <c r="C6" t="s">
        <v>2069</v>
      </c>
      <c r="D6" t="s">
        <v>1452</v>
      </c>
      <c r="E6">
        <v>21</v>
      </c>
      <c r="F6" t="s">
        <v>2022</v>
      </c>
      <c r="G6" t="s">
        <v>2022</v>
      </c>
    </row>
  </sheetData>
  <phoneticPr fontId="1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Y323"/>
  <sheetViews>
    <sheetView tabSelected="1" workbookViewId="0">
      <pane xSplit="7" ySplit="4" topLeftCell="Q5" activePane="bottomRight" state="frozenSplit"/>
      <selection pane="topRight" activeCell="H1" sqref="H1"/>
      <selection pane="bottomLeft" activeCell="A3" sqref="A3"/>
      <selection pane="bottomRight" activeCell="AT122" sqref="AT122"/>
    </sheetView>
  </sheetViews>
  <sheetFormatPr baseColWidth="10" defaultColWidth="8.83203125" defaultRowHeight="14"/>
  <cols>
    <col min="1" max="1" width="8.5" customWidth="1"/>
    <col min="2" max="2" width="6" bestFit="1" customWidth="1"/>
    <col min="3" max="3" width="4.5" bestFit="1" customWidth="1"/>
    <col min="4" max="4" width="21.1640625" bestFit="1" customWidth="1"/>
    <col min="5" max="5" width="4.5" bestFit="1" customWidth="1"/>
    <col min="6" max="7" width="2.1640625" bestFit="1" customWidth="1"/>
    <col min="8" max="8" width="7.6640625" bestFit="1" customWidth="1"/>
    <col min="9" max="9" width="6.5" style="6" bestFit="1" customWidth="1"/>
    <col min="10" max="10" width="9.5" bestFit="1" customWidth="1"/>
    <col min="11" max="11" width="9.5" style="6" bestFit="1" customWidth="1"/>
    <col min="12" max="12" width="5" bestFit="1" customWidth="1"/>
    <col min="13" max="13" width="4.83203125" bestFit="1" customWidth="1"/>
    <col min="14" max="14" width="5.5" bestFit="1" customWidth="1"/>
    <col min="15" max="15" width="4.1640625" bestFit="1" customWidth="1"/>
    <col min="16" max="16" width="3.5" style="6" bestFit="1" customWidth="1"/>
    <col min="17" max="17" width="6.6640625" bestFit="1" customWidth="1"/>
    <col min="18" max="18" width="6.5" bestFit="1" customWidth="1"/>
    <col min="19" max="19" width="7.33203125" bestFit="1" customWidth="1"/>
    <col min="20" max="20" width="5.83203125" bestFit="1" customWidth="1"/>
    <col min="21" max="21" width="4.5" style="6" bestFit="1" customWidth="1"/>
    <col min="22" max="22" width="7.33203125" bestFit="1" customWidth="1"/>
    <col min="23" max="23" width="8.1640625" bestFit="1" customWidth="1"/>
    <col min="24" max="24" width="6.83203125" style="6" bestFit="1" customWidth="1"/>
    <col min="25" max="25" width="2.1640625" bestFit="1" customWidth="1"/>
    <col min="26" max="28" width="3.1640625" bestFit="1" customWidth="1"/>
    <col min="29" max="30" width="3" bestFit="1" customWidth="1"/>
    <col min="31" max="31" width="3.1640625" bestFit="1" customWidth="1"/>
    <col min="32" max="32" width="3.1640625" style="6" bestFit="1" customWidth="1"/>
    <col min="33" max="33" width="4.1640625" bestFit="1" customWidth="1"/>
    <col min="34" max="34" width="4" bestFit="1" customWidth="1"/>
    <col min="35" max="35" width="5" style="6" bestFit="1" customWidth="1"/>
    <col min="36" max="36" width="10.5" style="33" bestFit="1" customWidth="1"/>
    <col min="37" max="39" width="9.1640625" hidden="1" customWidth="1"/>
    <col min="40" max="40" width="9.1640625" style="6" hidden="1" customWidth="1"/>
    <col min="42" max="42" width="8.83203125" style="6"/>
    <col min="43" max="43" width="4.1640625" bestFit="1" customWidth="1"/>
    <col min="44" max="44" width="4.33203125" bestFit="1" customWidth="1"/>
    <col min="45" max="45" width="6.5" bestFit="1" customWidth="1"/>
    <col min="46" max="46" width="7" bestFit="1" customWidth="1"/>
  </cols>
  <sheetData>
    <row r="1" spans="1:51">
      <c r="P1" s="46" t="s">
        <v>105</v>
      </c>
      <c r="Q1" s="47">
        <v>4.728698379508625</v>
      </c>
      <c r="R1" s="47">
        <v>5.8180867746994247</v>
      </c>
      <c r="S1" s="47">
        <v>3.6194458964976475</v>
      </c>
      <c r="T1" s="47">
        <v>4.2420282279142709</v>
      </c>
      <c r="U1" s="48">
        <v>4.1787767903815993</v>
      </c>
    </row>
    <row r="2" spans="1:51">
      <c r="H2">
        <f>COLUMN()</f>
        <v>8</v>
      </c>
      <c r="P2" s="46" t="s">
        <v>104</v>
      </c>
      <c r="Q2" s="47">
        <v>1.5197247217792171</v>
      </c>
      <c r="R2" s="47">
        <v>1.9200831732936996</v>
      </c>
      <c r="S2" s="47">
        <v>2.1245775832603435</v>
      </c>
      <c r="T2" s="47">
        <v>1.748562389191409</v>
      </c>
      <c r="U2" s="48">
        <v>1.9599836693593933</v>
      </c>
    </row>
    <row r="3" spans="1:51">
      <c r="J3">
        <v>5</v>
      </c>
      <c r="K3" s="6">
        <v>5</v>
      </c>
      <c r="L3" s="5">
        <f>Q3</f>
        <v>25</v>
      </c>
      <c r="M3" s="5">
        <f>R3</f>
        <v>5</v>
      </c>
      <c r="N3" s="5">
        <f>S3</f>
        <v>9</v>
      </c>
      <c r="O3" s="5">
        <f>T3</f>
        <v>8</v>
      </c>
      <c r="P3" s="38">
        <f>U3</f>
        <v>4</v>
      </c>
      <c r="Q3">
        <v>25</v>
      </c>
      <c r="R3">
        <v>5</v>
      </c>
      <c r="S3">
        <v>9</v>
      </c>
      <c r="T3">
        <v>8</v>
      </c>
      <c r="U3" s="6">
        <v>4</v>
      </c>
      <c r="AK3">
        <v>0.1</v>
      </c>
      <c r="AL3">
        <v>12</v>
      </c>
      <c r="AM3">
        <f>1/6</f>
        <v>0.16666666666666666</v>
      </c>
      <c r="AN3" s="6">
        <v>1</v>
      </c>
      <c r="AT3">
        <f>MAX(AT5:AT287)+1</f>
        <v>1</v>
      </c>
      <c r="AW3">
        <v>22</v>
      </c>
      <c r="AX3">
        <v>23</v>
      </c>
      <c r="AY3">
        <v>24</v>
      </c>
    </row>
    <row r="4" spans="1:51" s="4" customFormat="1">
      <c r="A4" s="4" t="s">
        <v>1809</v>
      </c>
      <c r="B4" s="4" t="s">
        <v>1808</v>
      </c>
      <c r="C4" s="2" t="s">
        <v>1978</v>
      </c>
      <c r="D4" s="2" t="s">
        <v>1979</v>
      </c>
      <c r="E4" s="2" t="s">
        <v>1980</v>
      </c>
      <c r="F4" s="2" t="s">
        <v>1981</v>
      </c>
      <c r="G4" s="2" t="s">
        <v>1982</v>
      </c>
      <c r="H4" s="2" t="s">
        <v>1983</v>
      </c>
      <c r="I4" s="30" t="s">
        <v>1984</v>
      </c>
      <c r="J4" s="2" t="s">
        <v>1985</v>
      </c>
      <c r="K4" s="30" t="s">
        <v>1986</v>
      </c>
      <c r="L4" s="2" t="s">
        <v>1989</v>
      </c>
      <c r="M4" s="2" t="s">
        <v>2080</v>
      </c>
      <c r="N4" s="2" t="s">
        <v>2081</v>
      </c>
      <c r="O4" s="2" t="s">
        <v>2082</v>
      </c>
      <c r="P4" s="30" t="s">
        <v>2083</v>
      </c>
      <c r="Q4" s="2" t="s">
        <v>1992</v>
      </c>
      <c r="R4" s="2" t="s">
        <v>2084</v>
      </c>
      <c r="S4" s="2" t="s">
        <v>2085</v>
      </c>
      <c r="T4" s="2" t="s">
        <v>2086</v>
      </c>
      <c r="U4" s="30" t="s">
        <v>2087</v>
      </c>
      <c r="V4" s="2" t="s">
        <v>2088</v>
      </c>
      <c r="W4" s="2" t="s">
        <v>2089</v>
      </c>
      <c r="X4" s="30" t="s">
        <v>2090</v>
      </c>
      <c r="Y4" s="2" t="s">
        <v>2091</v>
      </c>
      <c r="Z4" s="2" t="s">
        <v>2092</v>
      </c>
      <c r="AA4" s="2" t="s">
        <v>2069</v>
      </c>
      <c r="AB4" s="2" t="s">
        <v>2061</v>
      </c>
      <c r="AC4" s="2" t="s">
        <v>2074</v>
      </c>
      <c r="AD4" s="2" t="s">
        <v>2035</v>
      </c>
      <c r="AE4" s="2" t="s">
        <v>2079</v>
      </c>
      <c r="AF4" s="30" t="s">
        <v>2057</v>
      </c>
      <c r="AG4" s="2" t="s">
        <v>2093</v>
      </c>
      <c r="AH4" s="2" t="s">
        <v>2094</v>
      </c>
      <c r="AI4" s="30" t="s">
        <v>2095</v>
      </c>
      <c r="AJ4" s="34" t="s">
        <v>2020</v>
      </c>
      <c r="AK4" s="3" t="s">
        <v>2104</v>
      </c>
      <c r="AL4" s="4" t="s">
        <v>2105</v>
      </c>
      <c r="AM4" s="4" t="s">
        <v>2135</v>
      </c>
      <c r="AN4" s="7" t="s">
        <v>2136</v>
      </c>
      <c r="AO4" s="4" t="s">
        <v>2109</v>
      </c>
      <c r="AP4" s="7" t="s">
        <v>2110</v>
      </c>
      <c r="AQ4" s="4" t="s">
        <v>2137</v>
      </c>
      <c r="AR4" s="4" t="s">
        <v>2112</v>
      </c>
      <c r="AS4" s="4" t="s">
        <v>2113</v>
      </c>
      <c r="AT4" s="4" t="s">
        <v>2114</v>
      </c>
      <c r="AU4" s="4" t="s">
        <v>2115</v>
      </c>
      <c r="AV4" s="4" t="s">
        <v>2116</v>
      </c>
      <c r="AW4" s="4" t="s">
        <v>1603</v>
      </c>
      <c r="AX4" s="4" t="s">
        <v>1604</v>
      </c>
      <c r="AY4" s="4" t="s">
        <v>1605</v>
      </c>
    </row>
    <row r="5" spans="1:51" ht="14" customHeight="1">
      <c r="A5" t="str">
        <f>IF(C5="C","C-",C5)&amp;D5&amp;E5</f>
        <v>SSRoyce Raines21</v>
      </c>
      <c r="B5">
        <f>VLOOKUP($A5,draft_listing_batters_stats!$A$1:$B$1324,2,FALSE)</f>
        <v>3888</v>
      </c>
      <c r="C5" s="1" t="s">
        <v>2074</v>
      </c>
      <c r="D5" s="1" t="s">
        <v>1409</v>
      </c>
      <c r="E5" s="1">
        <v>21</v>
      </c>
      <c r="F5" s="1" t="s">
        <v>2022</v>
      </c>
      <c r="G5" s="1" t="s">
        <v>2022</v>
      </c>
      <c r="H5" s="1" t="s">
        <v>2033</v>
      </c>
      <c r="I5" s="1" t="s">
        <v>2024</v>
      </c>
      <c r="J5" s="1" t="s">
        <v>2026</v>
      </c>
      <c r="K5" s="1" t="s">
        <v>2025</v>
      </c>
      <c r="L5" s="1">
        <v>4</v>
      </c>
      <c r="M5" s="1">
        <v>5</v>
      </c>
      <c r="N5" s="1">
        <v>4</v>
      </c>
      <c r="O5" s="1">
        <v>6</v>
      </c>
      <c r="P5" s="1">
        <v>4</v>
      </c>
      <c r="Q5" s="1">
        <v>8</v>
      </c>
      <c r="R5" s="1">
        <v>7</v>
      </c>
      <c r="S5" s="1">
        <v>7</v>
      </c>
      <c r="T5" s="1">
        <v>10</v>
      </c>
      <c r="U5" s="1">
        <v>10</v>
      </c>
      <c r="V5" s="1">
        <v>8</v>
      </c>
      <c r="W5" s="1">
        <v>1</v>
      </c>
      <c r="X5" s="1">
        <v>1</v>
      </c>
      <c r="Y5" s="1" t="s">
        <v>2027</v>
      </c>
      <c r="Z5" s="1" t="s">
        <v>2027</v>
      </c>
      <c r="AA5" s="1">
        <v>4</v>
      </c>
      <c r="AB5" s="1" t="s">
        <v>2027</v>
      </c>
      <c r="AC5" s="1">
        <v>10</v>
      </c>
      <c r="AD5" s="1" t="s">
        <v>2027</v>
      </c>
      <c r="AE5" s="1" t="s">
        <v>2027</v>
      </c>
      <c r="AF5" s="1" t="s">
        <v>2027</v>
      </c>
      <c r="AG5" s="1">
        <v>8</v>
      </c>
      <c r="AH5" s="1">
        <v>10</v>
      </c>
      <c r="AI5" s="1">
        <v>10</v>
      </c>
      <c r="AJ5" s="52">
        <v>10000000</v>
      </c>
      <c r="AK5" s="9">
        <f>($L$3*(L5-$Q$1)/$Q$2+$M$3*(M5-$R$1)/$R$2+$N$3*(N5-$S$1)/$S$2+$O$3*(O5-$T$1)/$T$2+$P$3*(P5-$U$1)/$U$2)/(SUM($L$3:$P$3))</f>
        <v>-9.4655071173873812E-2</v>
      </c>
      <c r="AL5" s="9">
        <f>($L$3*(Q5-$Q$1)/$Q$2+$M$3*(R5-$R$1)/$R$2+$N$3*(S5-$S$1)/$S$2+$O$3*(T5-$T$1)/$T$2+$P$3*(U5-$U$1)/$U$2)/(SUM($L$3:$P$3))</f>
        <v>2.1458087538867616</v>
      </c>
      <c r="AM5">
        <f>IF(AVERAGE(AG5:AH5)&gt;9,1,0)+IF(AVERAGE(AG5:AH5)&gt;7,1,0)+IF(AG5&gt;7,1,0)+IF(AH5&gt;7,1,0)+IF(AI5&gt;8,1,0)+IF(AI5&gt;6,1,0)</f>
        <v>5</v>
      </c>
      <c r="AN5" s="6">
        <f>MIN(2,IF(OR(Y5="-",X5&lt;5),0,1+IF(Y5&gt;7,1+IF(X5&gt;7,0.25,0),IF(Y5&gt;4,0.5+IF(X5&gt;7,0.25,0),0+IF(X5&gt;7,0.25))))+IF(Z5="-",0,IF(Z5&gt;9,0.5,IF(Z5&gt;7,0.25,0)))+IF(AA5="-",0,IF(AA5&gt;7,1.1,IF(AA5&gt;4,0.6,0)))+IF(OR(AB5="-",V5&lt;5),0,IF(AB5&gt;7,1+IF(V5&gt;7,0.25,0),IF(AB5&gt;4,0.5+IF(V5&gt;7,0.25,0),0)))+IF(AC5="-",0,IF(AC5&gt;7,1.5,IF(AC5&gt;4,1,0)))+IF(AD5="-",0,IF(AD5&gt;9,0.5,IF(AD5&gt;7,0.25,0)))+IF(AE5="-",0,IF(AE5&gt;7,1.25,IF(AE5&gt;4,0.75,0)))+IF(OR(AF5="-",W5&lt;4),0,IF(AF5&gt;7,1+IF(W5&gt;7,0.15,0),IF(AF5&gt;4,0.5+IF(W5&gt;7,0.15,0),0))))</f>
        <v>1.5</v>
      </c>
      <c r="AO5" s="9">
        <f>($AK$3*AK5+$AL$3*AL5+$AM$3*AM5+$AN$3*AN5)+$J$3*VLOOKUP(J5,COND!$A$2:$C$7,2,FALSE)+$K$3*VLOOKUP(K5,COND!$A$2:$C$7,3,FALSE)</f>
        <v>37.973572872857083</v>
      </c>
      <c r="AP5" s="37">
        <f>STANDARDIZE(AO5,AVERAGE($AO$5:$AO$1295),STDEVP($AO$5:$AO$1295))</f>
        <v>3.7935970145534461</v>
      </c>
      <c r="AQ5" t="str">
        <f>IF(AND(Y5&lt;&gt;"-",X5&gt;1),"C",IF(AA5=MAX(AA5:AC5),"2B",IF(AC5=MAX(AA5:AC5),"SS",IF(OR(AB5=MAX(Z5:AC5),AND(AB5&lt;&gt;"-",AB5&gt;4,V5&gt;5)),"3B",IF(AE5=MAX(AD5:AF5),"CF",IF(AND(AF5=MAX(AD5,AF5),AND(W5&gt;5,AD5&lt;&gt;"-")),"RF",IF(AD5&lt;&gt;"-","LF",IF(Z5&lt;&gt;"-","1B","DH"))))))))</f>
        <v>SS</v>
      </c>
      <c r="AR5">
        <v>1</v>
      </c>
      <c r="AT5" t="s">
        <v>154</v>
      </c>
      <c r="AU5" t="str">
        <f>IF(AND($Q5&gt;=6,AVERAGE($S5:$T5)&gt;=6),"Likely",IF(OR($Q5&gt;6,AND($Q5=6,AVERAGE($S5:$T5)&gt;=3),AND($Q5&gt;=5,AVERAGE($S5:$T5)&gt;=5),AVERAGE($Q5,$S5:$T5)&gt;5),"Possible","Unlikely"))</f>
        <v>Likely</v>
      </c>
      <c r="AW5" t="str">
        <f>IF(VLOOKUP($B5,'Draft List'!$D$4:$AB$2598,AW$3,FALSE)&lt;&gt;0,VLOOKUP($B5,'Draft List'!$D$4:$AB$2598,AW$3,FALSE),"")</f>
        <v/>
      </c>
      <c r="AX5" t="str">
        <f>IF(VLOOKUP($B5,'Draft List'!$D$4:$AB$2598,AX$3,FALSE)&lt;&gt;0,VLOOKUP($B5,'Draft List'!$D$4:$AB$2598,AX$3,FALSE),"")</f>
        <v/>
      </c>
      <c r="AY5" t="str">
        <f>IF(VLOOKUP($B5,'Draft List'!$D$4:$AB$2598,AY$3,FALSE)&lt;&gt;0,VLOOKUP($B5,'Draft List'!$D$4:$AB$2598,AY$3,FALSE),"")</f>
        <v/>
      </c>
    </row>
    <row r="6" spans="1:51">
      <c r="A6" t="str">
        <f>IF(C6="C","C-",C6)&amp;D6&amp;E6</f>
        <v>LFFlint Butler21</v>
      </c>
      <c r="B6">
        <f>VLOOKUP($A6,draft_listing_batters_stats!$A$1:$B$1324,2,FALSE)</f>
        <v>12949</v>
      </c>
      <c r="C6" s="1" t="s">
        <v>2035</v>
      </c>
      <c r="D6" s="1" t="s">
        <v>1418</v>
      </c>
      <c r="E6" s="1">
        <v>21</v>
      </c>
      <c r="F6" s="1" t="s">
        <v>2038</v>
      </c>
      <c r="G6" s="1" t="s">
        <v>2038</v>
      </c>
      <c r="H6" s="1" t="s">
        <v>2033</v>
      </c>
      <c r="I6" s="1" t="s">
        <v>2052</v>
      </c>
      <c r="J6" s="1" t="s">
        <v>2030</v>
      </c>
      <c r="K6" s="1" t="s">
        <v>2026</v>
      </c>
      <c r="L6" s="1">
        <v>5</v>
      </c>
      <c r="M6" s="1">
        <v>9</v>
      </c>
      <c r="N6" s="1">
        <v>3</v>
      </c>
      <c r="O6" s="1">
        <v>4</v>
      </c>
      <c r="P6" s="1">
        <v>6</v>
      </c>
      <c r="Q6" s="1">
        <v>8</v>
      </c>
      <c r="R6" s="1">
        <v>9</v>
      </c>
      <c r="S6" s="1">
        <v>5</v>
      </c>
      <c r="T6" s="1">
        <v>7</v>
      </c>
      <c r="U6" s="1">
        <v>10</v>
      </c>
      <c r="V6" s="1">
        <v>1</v>
      </c>
      <c r="W6" s="1">
        <v>6</v>
      </c>
      <c r="X6" s="1">
        <v>1</v>
      </c>
      <c r="Y6" s="1" t="s">
        <v>2027</v>
      </c>
      <c r="Z6" s="1">
        <v>1</v>
      </c>
      <c r="AA6" s="1" t="s">
        <v>2027</v>
      </c>
      <c r="AB6" s="1" t="s">
        <v>2027</v>
      </c>
      <c r="AC6" s="1" t="s">
        <v>2027</v>
      </c>
      <c r="AD6" s="1">
        <v>8</v>
      </c>
      <c r="AE6" s="1">
        <v>2</v>
      </c>
      <c r="AF6" s="1">
        <v>4</v>
      </c>
      <c r="AG6" s="1">
        <v>8</v>
      </c>
      <c r="AH6" s="1">
        <v>9</v>
      </c>
      <c r="AI6" s="1">
        <v>10</v>
      </c>
      <c r="AJ6" s="52">
        <v>2200000</v>
      </c>
      <c r="AK6" s="9">
        <f>($L$3*(L6-$Q$1)/$Q$2+$M$3*(M6-$R$1)/$R$2+$N$3*(N6-$S$1)/$S$2+$O$3*(O6-$T$1)/$T$2+$P$3*(P6-$U$1)/$U$2)/(SUM($L$3:$P$3))</f>
        <v>0.24969236909471826</v>
      </c>
      <c r="AL6" s="9">
        <f>($L$3*(Q6-$Q$1)/$Q$2+$M$3*(R6-$R$1)/$R$2+$N$3*(S6-$S$1)/$S$2+$O$3*(T6-$T$1)/$T$2+$P$3*(U6-$U$1)/$U$2)/(SUM($L$3:$P$3))</f>
        <v>1.8126768750476223</v>
      </c>
      <c r="AM6">
        <f>IF(AVERAGE(AG6:AH6)&gt;9,1,0)+IF(AVERAGE(AG6:AH6)&gt;7,1,0)+IF(AG6&gt;7,1,0)+IF(AH6&gt;7,1,0)+IF(AI6&gt;8,1,0)+IF(AI6&gt;6,1,0)</f>
        <v>5</v>
      </c>
      <c r="AN6" s="6">
        <f>MIN(2,IF(OR(Y6="-",X6&lt;5),0,1+IF(Y6&gt;7,1+IF(X6&gt;7,0.25,0),IF(Y6&gt;4,0.5+IF(X6&gt;7,0.25,0),0+IF(X6&gt;7,0.25))))+IF(Z6="-",0,IF(Z6&gt;9,0.5,IF(Z6&gt;7,0.25,0)))+IF(AA6="-",0,IF(AA6&gt;7,1.1,IF(AA6&gt;4,0.6,0)))+IF(OR(AB6="-",V6&lt;5),0,IF(AB6&gt;7,1+IF(V6&gt;7,0.25,0),IF(AB6&gt;4,0.5+IF(V6&gt;7,0.25,0),0)))+IF(AC6="-",0,IF(AC6&gt;7,1.5,IF(AC6&gt;4,1,0)))+IF(AD6="-",0,IF(AD6&gt;9,0.5,IF(AD6&gt;7,0.25,0)))+IF(AE6="-",0,IF(AE6&gt;7,1.25,IF(AE6&gt;4,0.75,0)))+IF(OR(AF6="-",W6&lt;4),0,IF(AF6&gt;7,1+IF(W6&gt;7,0.15,0),IF(AF6&gt;4,0.5+IF(W6&gt;7,0.15,0),0))))</f>
        <v>0.25</v>
      </c>
      <c r="AO6" s="9">
        <f>($AK$3*AK6+$AL$3*AL6+$AM$3*AM6+$AN$3*AN6)+$J$3*VLOOKUP(J6,COND!$A$2:$C$7,2,FALSE)+$K$3*VLOOKUP(K6,COND!$A$2:$C$7,3,FALSE)</f>
        <v>32.860425070814266</v>
      </c>
      <c r="AP6" s="37">
        <f>STANDARDIZE(AO6,AVERAGE($AO$5:$AO$1295),STDEVP($AO$5:$AO$1295))</f>
        <v>3.0832598441363541</v>
      </c>
      <c r="AQ6" t="str">
        <f>IF(AND(Y6&lt;&gt;"-",X6&gt;1),"C",IF(AA6=MAX(AA6:AC6),"2B",IF(AC6=MAX(AA6:AC6),"SS",IF(OR(AB6=MAX(Z6:AC6),AND(AB6&lt;&gt;"-",AB6&gt;4,V6&gt;5)),"3B",IF(AE6=MAX(AD6:AF6),"CF",IF(AND(AF6=MAX(AD6,AF6),AND(W6&gt;5,AD6&lt;&gt;"-")),"RF",IF(AD6&lt;&gt;"-","LF",IF(Z6&lt;&gt;"-","1B","DH"))))))))</f>
        <v>LF</v>
      </c>
      <c r="AR6">
        <v>2</v>
      </c>
      <c r="AT6" t="s">
        <v>155</v>
      </c>
      <c r="AU6" t="str">
        <f>IF(AND($Q6&gt;=6,AVERAGE($S6:$T6)&gt;=6),"Likely",IF(OR($Q6&gt;6,AND($Q6=6,AVERAGE($S6:$T6)&gt;=3),AND($Q6&gt;=5,AVERAGE($S6:$T6)&gt;=5),AVERAGE($Q6,$S6:$T6)&gt;5),"Possible","Unlikely"))</f>
        <v>Likely</v>
      </c>
      <c r="AW6" t="str">
        <f>IF(VLOOKUP($B6,'Draft List'!$D$4:$AB$2598,AW$3,FALSE)&lt;&gt;0,VLOOKUP($B6,'Draft List'!$D$4:$AB$2598,AW$3,FALSE),"")</f>
        <v/>
      </c>
      <c r="AX6" t="str">
        <f>IF(VLOOKUP($B6,'Draft List'!$D$4:$AB$2598,AX$3,FALSE)&lt;&gt;0,VLOOKUP($B6,'Draft List'!$D$4:$AB$2598,AX$3,FALSE),"")</f>
        <v/>
      </c>
      <c r="AY6" t="str">
        <f>IF(VLOOKUP($B6,'Draft List'!$D$4:$AB$2598,AY$3,FALSE)&lt;&gt;0,VLOOKUP($B6,'Draft List'!$D$4:$AB$2598,AY$3,FALSE),"")</f>
        <v/>
      </c>
    </row>
    <row r="7" spans="1:51">
      <c r="A7" t="str">
        <f>IF(C7="C","C-",C7)&amp;D7&amp;E7</f>
        <v>2BBill Gibbs21</v>
      </c>
      <c r="B7">
        <f>VLOOKUP($A7,draft_listing_batters_stats!$A$1:$B$1324,2,FALSE)</f>
        <v>9049</v>
      </c>
      <c r="C7" s="1" t="s">
        <v>2069</v>
      </c>
      <c r="D7" s="1" t="s">
        <v>1419</v>
      </c>
      <c r="E7" s="1">
        <v>21</v>
      </c>
      <c r="F7" s="1" t="s">
        <v>2022</v>
      </c>
      <c r="G7" s="1" t="s">
        <v>2022</v>
      </c>
      <c r="H7" s="1" t="s">
        <v>2033</v>
      </c>
      <c r="I7" s="1" t="s">
        <v>2052</v>
      </c>
      <c r="J7" s="1" t="s">
        <v>2030</v>
      </c>
      <c r="K7" s="1" t="s">
        <v>2036</v>
      </c>
      <c r="L7" s="1">
        <v>3</v>
      </c>
      <c r="M7" s="1">
        <v>3</v>
      </c>
      <c r="N7" s="1">
        <v>2</v>
      </c>
      <c r="O7" s="1">
        <v>5</v>
      </c>
      <c r="P7" s="1">
        <v>3</v>
      </c>
      <c r="Q7" s="1">
        <v>7</v>
      </c>
      <c r="R7" s="1">
        <v>7</v>
      </c>
      <c r="S7" s="1">
        <v>6</v>
      </c>
      <c r="T7" s="1">
        <v>8</v>
      </c>
      <c r="U7" s="1">
        <v>10</v>
      </c>
      <c r="V7" s="1">
        <v>3</v>
      </c>
      <c r="W7" s="1">
        <v>2</v>
      </c>
      <c r="X7" s="1">
        <v>1</v>
      </c>
      <c r="Y7" s="1" t="s">
        <v>2027</v>
      </c>
      <c r="Z7" s="1">
        <v>5</v>
      </c>
      <c r="AA7" s="1">
        <v>6</v>
      </c>
      <c r="AB7" s="1" t="s">
        <v>2027</v>
      </c>
      <c r="AC7" s="1" t="s">
        <v>2027</v>
      </c>
      <c r="AD7" s="1">
        <v>2</v>
      </c>
      <c r="AE7" s="1" t="s">
        <v>2027</v>
      </c>
      <c r="AF7" s="1" t="s">
        <v>2027</v>
      </c>
      <c r="AG7" s="1">
        <v>5</v>
      </c>
      <c r="AH7" s="1">
        <v>7</v>
      </c>
      <c r="AI7" s="1">
        <v>7</v>
      </c>
      <c r="AJ7" s="52">
        <v>3000000</v>
      </c>
      <c r="AK7" s="9">
        <f>($L$3*(L7-$Q$1)/$Q$2+$M$3*(M7-$R$1)/$R$2+$N$3*(N7-$S$1)/$S$2+$O$3*(O7-$T$1)/$T$2+$P$3*(P7-$U$1)/$U$2)/(SUM($L$3:$P$3))</f>
        <v>-0.815179544488423</v>
      </c>
      <c r="AL7" s="9">
        <f>($L$3*(Q7-$Q$1)/$Q$2+$M$3*(R7-$R$1)/$R$2+$N$3*(S7-$S$1)/$S$2+$O$3*(T7-$T$1)/$T$2+$P$3*(U7-$U$1)/$U$2)/(SUM($L$3:$P$3))</f>
        <v>1.5607723236410231</v>
      </c>
      <c r="AM7">
        <f>IF(AVERAGE(AG7:AH7)&gt;9,1,0)+IF(AVERAGE(AG7:AH7)&gt;7,1,0)+IF(AG7&gt;7,1,0)+IF(AH7&gt;7,1,0)+IF(AI7&gt;8,1,0)+IF(AI7&gt;6,1,0)</f>
        <v>1</v>
      </c>
      <c r="AN7" s="6">
        <f>MIN(2,IF(OR(Y7="-",X7&lt;5),0,1+IF(Y7&gt;7,1+IF(X7&gt;7,0.25,0),IF(Y7&gt;4,0.5+IF(X7&gt;7,0.25,0),0+IF(X7&gt;7,0.25))))+IF(Z7="-",0,IF(Z7&gt;9,0.5,IF(Z7&gt;7,0.25,0)))+IF(AA7="-",0,IF(AA7&gt;7,1.1,IF(AA7&gt;4,0.6,0)))+IF(OR(AB7="-",V7&lt;5),0,IF(AB7&gt;7,1+IF(V7&gt;7,0.25,0),IF(AB7&gt;4,0.5+IF(V7&gt;7,0.25,0),0)))+IF(AC7="-",0,IF(AC7&gt;7,1.5,IF(AC7&gt;4,1,0)))+IF(AD7="-",0,IF(AD7&gt;9,0.5,IF(AD7&gt;7,0.25,0)))+IF(AE7="-",0,IF(AE7&gt;7,1.25,IF(AE7&gt;4,0.75,0)))+IF(OR(AF7="-",W7&lt;4),0,IF(AF7&gt;7,1+IF(W7&gt;7,0.15,0),IF(AF7&gt;4,0.5+IF(W7&gt;7,0.15,0),0))))</f>
        <v>0.6</v>
      </c>
      <c r="AO7" s="9">
        <f>($AK$3*AK7+$AL$3*AL7+$AM$3*AM7+$AN$3*AN7)+$J$3*VLOOKUP(J7,COND!$A$2:$C$7,2,FALSE)+$K$3*VLOOKUP(K7,COND!$A$2:$C$7,3,FALSE)</f>
        <v>29.764416595910106</v>
      </c>
      <c r="AP7" s="37">
        <f>STANDARDIZE(AO7,AVERAGE($AO$5:$AO$1295),STDEVP($AO$5:$AO$1295))</f>
        <v>2.6531510374298231</v>
      </c>
      <c r="AQ7" t="str">
        <f>IF(AND(Y7&lt;&gt;"-",X7&gt;1),"C",IF(AA7=MAX(AA7:AC7),"2B",IF(AC7=MAX(AA7:AC7),"SS",IF(OR(AB7=MAX(Z7:AC7),AND(AB7&lt;&gt;"-",AB7&gt;4,V7&gt;5)),"3B",IF(AE7=MAX(AD7:AF7),"CF",IF(AND(AF7=MAX(AD7,AF7),AND(W7&gt;5,AD7&lt;&gt;"-")),"RF",IF(AD7&lt;&gt;"-","LF",IF(Z7&lt;&gt;"-","1B","DH"))))))))</f>
        <v>2B</v>
      </c>
      <c r="AR7">
        <v>3</v>
      </c>
      <c r="AT7" t="s">
        <v>154</v>
      </c>
      <c r="AU7" t="str">
        <f>IF(AND($Q7&gt;=6,AVERAGE($S7:$T7)&gt;=6),"Likely",IF(OR($Q7&gt;6,AND($Q7=6,AVERAGE($S7:$T7)&gt;=3),AND($Q7&gt;=5,AVERAGE($S7:$T7)&gt;=5),AVERAGE($Q7,$S7:$T7)&gt;5),"Possible","Unlikely"))</f>
        <v>Likely</v>
      </c>
      <c r="AW7" t="str">
        <f>IF(VLOOKUP($B7,'Draft List'!$D$4:$AB$2598,AW$3,FALSE)&lt;&gt;0,VLOOKUP($B7,'Draft List'!$D$4:$AB$2598,AW$3,FALSE),"")</f>
        <v/>
      </c>
      <c r="AX7" t="str">
        <f>IF(VLOOKUP($B7,'Draft List'!$D$4:$AB$2598,AX$3,FALSE)&lt;&gt;0,VLOOKUP($B7,'Draft List'!$D$4:$AB$2598,AX$3,FALSE),"")</f>
        <v/>
      </c>
      <c r="AY7" t="str">
        <f>IF(VLOOKUP($B7,'Draft List'!$D$4:$AB$2598,AY$3,FALSE)&lt;&gt;0,VLOOKUP($B7,'Draft List'!$D$4:$AB$2598,AY$3,FALSE),"")</f>
        <v/>
      </c>
    </row>
    <row r="8" spans="1:51">
      <c r="A8" t="str">
        <f>IF(C8="C","C-",C8)&amp;D8&amp;E8</f>
        <v>RFReggie Myers21</v>
      </c>
      <c r="B8">
        <f>VLOOKUP($A8,draft_listing_batters_stats!$A$1:$B$1324,2,FALSE)</f>
        <v>7364</v>
      </c>
      <c r="C8" s="1" t="s">
        <v>2057</v>
      </c>
      <c r="D8" s="1" t="s">
        <v>1417</v>
      </c>
      <c r="E8" s="1">
        <v>21</v>
      </c>
      <c r="F8" s="1" t="s">
        <v>2038</v>
      </c>
      <c r="G8" s="1" t="s">
        <v>2038</v>
      </c>
      <c r="H8" s="1" t="s">
        <v>2033</v>
      </c>
      <c r="I8" s="1" t="s">
        <v>2043</v>
      </c>
      <c r="J8" s="1" t="s">
        <v>2025</v>
      </c>
      <c r="K8" s="1" t="s">
        <v>2026</v>
      </c>
      <c r="L8" s="1">
        <v>5</v>
      </c>
      <c r="M8" s="1">
        <v>7</v>
      </c>
      <c r="N8" s="1">
        <v>1</v>
      </c>
      <c r="O8" s="1">
        <v>5</v>
      </c>
      <c r="P8" s="1">
        <v>2</v>
      </c>
      <c r="Q8" s="1">
        <v>8</v>
      </c>
      <c r="R8" s="1">
        <v>8</v>
      </c>
      <c r="S8" s="1">
        <v>1</v>
      </c>
      <c r="T8" s="1">
        <v>10</v>
      </c>
      <c r="U8" s="1">
        <v>7</v>
      </c>
      <c r="V8" s="1">
        <v>1</v>
      </c>
      <c r="W8" s="1">
        <v>4</v>
      </c>
      <c r="X8" s="1">
        <v>1</v>
      </c>
      <c r="Y8" s="1" t="s">
        <v>2027</v>
      </c>
      <c r="Z8" s="1" t="s">
        <v>2027</v>
      </c>
      <c r="AA8" s="1" t="s">
        <v>2027</v>
      </c>
      <c r="AB8" s="1" t="s">
        <v>2027</v>
      </c>
      <c r="AC8" s="1" t="s">
        <v>2027</v>
      </c>
      <c r="AD8" s="1">
        <v>2</v>
      </c>
      <c r="AE8" s="1">
        <v>3</v>
      </c>
      <c r="AF8" s="1">
        <v>7</v>
      </c>
      <c r="AG8" s="1">
        <v>6</v>
      </c>
      <c r="AH8" s="1">
        <v>9</v>
      </c>
      <c r="AI8" s="1">
        <v>9</v>
      </c>
      <c r="AJ8" s="52">
        <v>4400000</v>
      </c>
      <c r="AK8" s="9">
        <f>($L$3*(L8-$Q$1)/$Q$2+$M$3*(M8-$R$1)/$R$2+$N$3*(N8-$S$1)/$S$2+$O$3*(O8-$T$1)/$T$2+$P$3*(P8-$U$1)/$U$2)/(SUM($L$3:$P$3))</f>
        <v>-8.8906187449244542E-2</v>
      </c>
      <c r="AL8" s="9">
        <f>($L$3*(Q8-$Q$1)/$Q$2+$M$3*(R8-$R$1)/$R$2+$N$3*(S8-$S$1)/$S$2+$O$3*(T8-$T$1)/$T$2+$P$3*(U8-$U$1)/$U$2)/(SUM($L$3:$P$3))</f>
        <v>1.5784506499108053</v>
      </c>
      <c r="AM8">
        <f>IF(AVERAGE(AG8:AH8)&gt;9,1,0)+IF(AVERAGE(AG8:AH8)&gt;7,1,0)+IF(AG8&gt;7,1,0)+IF(AH8&gt;7,1,0)+IF(AI8&gt;8,1,0)+IF(AI8&gt;6,1,0)</f>
        <v>4</v>
      </c>
      <c r="AN8" s="6">
        <f>MIN(2,IF(OR(Y8="-",X8&lt;5),0,1+IF(Y8&gt;7,1+IF(X8&gt;7,0.25,0),IF(Y8&gt;4,0.5+IF(X8&gt;7,0.25,0),0+IF(X8&gt;7,0.25))))+IF(Z8="-",0,IF(Z8&gt;9,0.5,IF(Z8&gt;7,0.25,0)))+IF(AA8="-",0,IF(AA8&gt;7,1.1,IF(AA8&gt;4,0.6,0)))+IF(OR(AB8="-",V8&lt;5),0,IF(AB8&gt;7,1+IF(V8&gt;7,0.25,0),IF(AB8&gt;4,0.5+IF(V8&gt;7,0.25,0),0)))+IF(AC8="-",0,IF(AC8&gt;7,1.5,IF(AC8&gt;4,1,0)))+IF(AD8="-",0,IF(AD8&gt;9,0.5,IF(AD8&gt;7,0.25,0)))+IF(AE8="-",0,IF(AE8&gt;7,1.25,IF(AE8&gt;4,0.75,0)))+IF(OR(AF8="-",W8&lt;4),0,IF(AF8&gt;7,1+IF(W8&gt;7,0.15,0),IF(AF8&gt;4,0.5+IF(W8&gt;7,0.15,0),0))))</f>
        <v>0.5</v>
      </c>
      <c r="AO8" s="9">
        <f>($AK$3*AK8+$AL$3*AL8+$AM$3*AM8+$AN$3*AN8)+$J$3*VLOOKUP(J8,COND!$A$2:$C$7,2,FALSE)+$K$3*VLOOKUP(K8,COND!$A$2:$C$7,3,FALSE)</f>
        <v>29.999183846851409</v>
      </c>
      <c r="AP8" s="37">
        <f>STANDARDIZE(AO8,AVERAGE($AO$5:$AO$1295),STDEVP($AO$5:$AO$1295))</f>
        <v>2.6857657615091113</v>
      </c>
      <c r="AQ8" t="str">
        <f>IF(AND(Y8&lt;&gt;"-",X8&gt;1),"C",IF(AA8=MAX(AA8:AC8),"2B",IF(AC8=MAX(AA8:AC8),"SS",IF(OR(AB8=MAX(Z8:AC8),AND(AB8&lt;&gt;"-",AB8&gt;4,V8&gt;5)),"3B",IF(AE8=MAX(AD8:AF8),"CF",IF(AND(AF8=MAX(AD8,AF8),AND(W8&gt;5,AD8&lt;&gt;"-")),"RF",IF(AD8&lt;&gt;"-","LF",IF(Z8&lt;&gt;"-","1B","DH"))))))))</f>
        <v>LF</v>
      </c>
      <c r="AR8">
        <v>4</v>
      </c>
      <c r="AT8" t="s">
        <v>155</v>
      </c>
      <c r="AU8" t="str">
        <f>IF(AND($Q8&gt;=6,AVERAGE($S8:$T8)&gt;=6),"Likely",IF(OR($Q8&gt;6,AND($Q8=6,AVERAGE($S8:$T8)&gt;=3),AND($Q8&gt;=5,AVERAGE($S8:$T8)&gt;=5),AVERAGE($Q8,$S8:$T8)&gt;5),"Possible","Unlikely"))</f>
        <v>Possible</v>
      </c>
      <c r="AW8" t="str">
        <f>IF(VLOOKUP($B8,'Draft List'!$D$4:$AB$2598,AW$3,FALSE)&lt;&gt;0,VLOOKUP($B8,'Draft List'!$D$4:$AB$2598,AW$3,FALSE),"")</f>
        <v/>
      </c>
      <c r="AX8" t="str">
        <f>IF(VLOOKUP($B8,'Draft List'!$D$4:$AB$2598,AX$3,FALSE)&lt;&gt;0,VLOOKUP($B8,'Draft List'!$D$4:$AB$2598,AX$3,FALSE),"")</f>
        <v/>
      </c>
      <c r="AY8" t="str">
        <f>IF(VLOOKUP($B8,'Draft List'!$D$4:$AB$2598,AY$3,FALSE)&lt;&gt;0,VLOOKUP($B8,'Draft List'!$D$4:$AB$2598,AY$3,FALSE),"")</f>
        <v/>
      </c>
    </row>
    <row r="9" spans="1:51">
      <c r="A9" t="str">
        <f>IF(C9="C","C-",C9)&amp;D9&amp;E9</f>
        <v>RFBruce McGuire21</v>
      </c>
      <c r="B9">
        <f>VLOOKUP($A9,draft_listing_batters_stats!$A$1:$B$1324,2,FALSE)</f>
        <v>8725</v>
      </c>
      <c r="C9" s="1" t="s">
        <v>2057</v>
      </c>
      <c r="D9" s="1" t="s">
        <v>1411</v>
      </c>
      <c r="E9" s="1">
        <v>21</v>
      </c>
      <c r="F9" s="1" t="s">
        <v>2022</v>
      </c>
      <c r="G9" s="1" t="s">
        <v>2022</v>
      </c>
      <c r="H9" s="1" t="s">
        <v>2033</v>
      </c>
      <c r="I9" s="1" t="s">
        <v>2024</v>
      </c>
      <c r="J9" s="1" t="s">
        <v>2026</v>
      </c>
      <c r="K9" s="1" t="s">
        <v>2030</v>
      </c>
      <c r="L9" s="1">
        <v>3</v>
      </c>
      <c r="M9" s="1">
        <v>5</v>
      </c>
      <c r="N9" s="1">
        <v>2</v>
      </c>
      <c r="O9" s="1">
        <v>5</v>
      </c>
      <c r="P9" s="1">
        <v>2</v>
      </c>
      <c r="Q9" s="1">
        <v>8</v>
      </c>
      <c r="R9" s="1">
        <v>7</v>
      </c>
      <c r="S9" s="1">
        <v>8</v>
      </c>
      <c r="T9" s="1">
        <v>8</v>
      </c>
      <c r="U9" s="1">
        <v>5</v>
      </c>
      <c r="V9" s="1">
        <v>6</v>
      </c>
      <c r="W9" s="1">
        <v>7</v>
      </c>
      <c r="X9" s="1">
        <v>1</v>
      </c>
      <c r="Y9" s="1" t="s">
        <v>2027</v>
      </c>
      <c r="Z9" s="1">
        <v>4</v>
      </c>
      <c r="AA9" s="1" t="s">
        <v>2027</v>
      </c>
      <c r="AB9" s="1" t="s">
        <v>2027</v>
      </c>
      <c r="AC9" s="1" t="s">
        <v>2027</v>
      </c>
      <c r="AD9" s="1">
        <v>6</v>
      </c>
      <c r="AE9" s="1">
        <v>4</v>
      </c>
      <c r="AF9" s="1">
        <v>7</v>
      </c>
      <c r="AG9" s="1">
        <v>8</v>
      </c>
      <c r="AH9" s="1">
        <v>8</v>
      </c>
      <c r="AI9" s="1">
        <v>8</v>
      </c>
      <c r="AJ9" s="52">
        <v>7000000</v>
      </c>
      <c r="AK9" s="9">
        <f>($L$3*(L9-$Q$1)/$Q$2+$M$3*(M9-$R$1)/$R$2+$N$3*(N9-$S$1)/$S$2+$O$3*(O9-$T$1)/$T$2+$P$3*(P9-$U$1)/$U$2)/(SUM($L$3:$P$3))</f>
        <v>-0.75307612506809962</v>
      </c>
      <c r="AL9" s="9">
        <f>($L$3*(Q9-$Q$1)/$Q$2+$M$3*(R9-$R$1)/$R$2+$N$3*(S9-$S$1)/$S$2+$O$3*(T9-$T$1)/$T$2+$P$3*(U9-$U$1)/$U$2)/(SUM($L$3:$P$3))</f>
        <v>1.8493694488060834</v>
      </c>
      <c r="AM9">
        <f>IF(AVERAGE(AG9:AH9)&gt;9,1,0)+IF(AVERAGE(AG9:AH9)&gt;7,1,0)+IF(AG9&gt;7,1,0)+IF(AH9&gt;7,1,0)+IF(AI9&gt;8,1,0)+IF(AI9&gt;6,1,0)</f>
        <v>4</v>
      </c>
      <c r="AN9" s="6">
        <f>MIN(2,IF(OR(Y9="-",X9&lt;5),0,1+IF(Y9&gt;7,1+IF(X9&gt;7,0.25,0),IF(Y9&gt;4,0.5+IF(X9&gt;7,0.25,0),0+IF(X9&gt;7,0.25))))+IF(Z9="-",0,IF(Z9&gt;9,0.5,IF(Z9&gt;7,0.25,0)))+IF(AA9="-",0,IF(AA9&gt;7,1.1,IF(AA9&gt;4,0.6,0)))+IF(OR(AB9="-",V9&lt;5),0,IF(AB9&gt;7,1+IF(V9&gt;7,0.25,0),IF(AB9&gt;4,0.5+IF(V9&gt;7,0.25,0),0)))+IF(AC9="-",0,IF(AC9&gt;7,1.5,IF(AC9&gt;4,1,0)))+IF(AD9="-",0,IF(AD9&gt;9,0.5,IF(AD9&gt;7,0.25,0)))+IF(AE9="-",0,IF(AE9&gt;7,1.25,IF(AE9&gt;4,0.75,0)))+IF(OR(AF9="-",W9&lt;4),0,IF(AF9&gt;7,1+IF(W9&gt;7,0.15,0),IF(AF9&gt;4,0.5+IF(W9&gt;7,0.15,0),0))))</f>
        <v>0.5</v>
      </c>
      <c r="AO9" s="9">
        <f>($AK$3*AK9+$AL$3*AL9+$AM$3*AM9+$AN$3*AN9)+$J$3*VLOOKUP(J9,COND!$A$2:$C$7,2,FALSE)+$K$3*VLOOKUP(K9,COND!$A$2:$C$7,3,FALSE)</f>
        <v>33.283792439832865</v>
      </c>
      <c r="AP9" s="37">
        <f>STANDARDIZE(AO9,AVERAGE($AO$5:$AO$1295),STDEVP($AO$5:$AO$1295))</f>
        <v>3.1420755855540872</v>
      </c>
      <c r="AQ9" t="str">
        <f>IF(AND(Y9&lt;&gt;"-",X9&gt;1),"C",IF(AA9=MAX(AA9:AC9),"2B",IF(AC9=MAX(AA9:AC9),"SS",IF(OR(AB9=MAX(Z9:AC9),AND(AB9&lt;&gt;"-",AB9&gt;4,V9&gt;5)),"3B",IF(AE9=MAX(AD9:AF9),"CF",IF(AND(AF9=MAX(AD9,AF9),AND(W9&gt;5,AD9&lt;&gt;"-")),"RF",IF(AD9&lt;&gt;"-","LF",IF(Z9&lt;&gt;"-","1B","DH"))))))))</f>
        <v>RF</v>
      </c>
      <c r="AR9">
        <v>5</v>
      </c>
      <c r="AT9" t="s">
        <v>154</v>
      </c>
      <c r="AU9" t="str">
        <f>IF(AND($Q9&gt;=6,AVERAGE($S9:$T9)&gt;=6),"Likely",IF(OR($Q9&gt;6,AND($Q9=6,AVERAGE($S9:$T9)&gt;=3),AND($Q9&gt;=5,AVERAGE($S9:$T9)&gt;=5),AVERAGE($Q9,$S9:$T9)&gt;5),"Possible","Unlikely"))</f>
        <v>Likely</v>
      </c>
      <c r="AW9" t="str">
        <f>IF(VLOOKUP($B9,'Draft List'!$D$4:$AB$2598,AW$3,FALSE)&lt;&gt;0,VLOOKUP($B9,'Draft List'!$D$4:$AB$2598,AW$3,FALSE),"")</f>
        <v/>
      </c>
      <c r="AX9" t="str">
        <f>IF(VLOOKUP($B9,'Draft List'!$D$4:$AB$2598,AX$3,FALSE)&lt;&gt;0,VLOOKUP($B9,'Draft List'!$D$4:$AB$2598,AX$3,FALSE),"")</f>
        <v/>
      </c>
      <c r="AY9" t="str">
        <f>IF(VLOOKUP($B9,'Draft List'!$D$4:$AB$2598,AY$3,FALSE)&lt;&gt;0,VLOOKUP($B9,'Draft List'!$D$4:$AB$2598,AY$3,FALSE),"")</f>
        <v/>
      </c>
    </row>
    <row r="10" spans="1:51">
      <c r="A10" t="str">
        <f>IF(C10="C","C-",C10)&amp;D10&amp;E10</f>
        <v>RFStephen Hooper21</v>
      </c>
      <c r="B10">
        <f>VLOOKUP($A10,draft_listing_batters_stats!$A$1:$B$1324,2,FALSE)</f>
        <v>7069</v>
      </c>
      <c r="C10" s="1" t="s">
        <v>2057</v>
      </c>
      <c r="D10" s="1" t="s">
        <v>1416</v>
      </c>
      <c r="E10" s="1">
        <v>21</v>
      </c>
      <c r="F10" s="1" t="s">
        <v>2038</v>
      </c>
      <c r="G10" s="1" t="s">
        <v>2038</v>
      </c>
      <c r="H10" s="1" t="s">
        <v>2033</v>
      </c>
      <c r="I10" s="1" t="s">
        <v>2043</v>
      </c>
      <c r="J10" s="1" t="s">
        <v>2025</v>
      </c>
      <c r="K10" s="1" t="s">
        <v>2025</v>
      </c>
      <c r="L10" s="1">
        <v>5</v>
      </c>
      <c r="M10" s="1">
        <v>7</v>
      </c>
      <c r="N10" s="1">
        <v>4</v>
      </c>
      <c r="O10" s="1">
        <v>6</v>
      </c>
      <c r="P10" s="1">
        <v>3</v>
      </c>
      <c r="Q10" s="1">
        <v>7</v>
      </c>
      <c r="R10" s="1">
        <v>9</v>
      </c>
      <c r="S10" s="1">
        <v>7</v>
      </c>
      <c r="T10" s="1">
        <v>7</v>
      </c>
      <c r="U10" s="1">
        <v>6</v>
      </c>
      <c r="V10" s="1">
        <v>1</v>
      </c>
      <c r="W10" s="1">
        <v>8</v>
      </c>
      <c r="X10" s="1">
        <v>1</v>
      </c>
      <c r="Y10" s="1" t="s">
        <v>2027</v>
      </c>
      <c r="Z10" s="1">
        <v>1</v>
      </c>
      <c r="AA10" s="1" t="s">
        <v>2027</v>
      </c>
      <c r="AB10" s="1" t="s">
        <v>2027</v>
      </c>
      <c r="AC10" s="1" t="s">
        <v>2027</v>
      </c>
      <c r="AD10" s="1">
        <v>3</v>
      </c>
      <c r="AE10" s="1">
        <v>1</v>
      </c>
      <c r="AF10" s="1">
        <v>6</v>
      </c>
      <c r="AG10" s="1">
        <v>6</v>
      </c>
      <c r="AH10" s="1">
        <v>10</v>
      </c>
      <c r="AI10" s="1">
        <v>8</v>
      </c>
      <c r="AJ10" s="52">
        <v>4600000</v>
      </c>
      <c r="AK10" s="9">
        <f>($L$3*(L10-$Q$1)/$Q$2+$M$3*(M10-$R$1)/$R$2+$N$3*(N10-$S$1)/$S$2+$O$3*(O10-$T$1)/$T$2+$P$3*(P10-$U$1)/$U$2)/(SUM($L$3:$P$3))</f>
        <v>0.29000418444912446</v>
      </c>
      <c r="AL10" s="9">
        <f>($L$3*(Q10-$Q$1)/$Q$2+$M$3*(R10-$R$1)/$R$2+$N$3*(S10-$S$1)/$S$2+$O$3*(T10-$T$1)/$T$2+$P$3*(U10-$U$1)/$U$2)/(SUM($L$3:$P$3))</f>
        <v>1.4961786676244169</v>
      </c>
      <c r="AM10">
        <f>IF(AVERAGE(AG10:AH10)&gt;9,1,0)+IF(AVERAGE(AG10:AH10)&gt;7,1,0)+IF(AG10&gt;7,1,0)+IF(AH10&gt;7,1,0)+IF(AI10&gt;8,1,0)+IF(AI10&gt;6,1,0)</f>
        <v>3</v>
      </c>
      <c r="AN10" s="6">
        <f>MIN(2,IF(OR(Y10="-",X10&lt;5),0,1+IF(Y10&gt;7,1+IF(X10&gt;7,0.25,0),IF(Y10&gt;4,0.5+IF(X10&gt;7,0.25,0),0+IF(X10&gt;7,0.25))))+IF(Z10="-",0,IF(Z10&gt;9,0.5,IF(Z10&gt;7,0.25,0)))+IF(AA10="-",0,IF(AA10&gt;7,1.1,IF(AA10&gt;4,0.6,0)))+IF(OR(AB10="-",V10&lt;5),0,IF(AB10&gt;7,1+IF(V10&gt;7,0.25,0),IF(AB10&gt;4,0.5+IF(V10&gt;7,0.25,0),0)))+IF(AC10="-",0,IF(AC10&gt;7,1.5,IF(AC10&gt;4,1,0)))+IF(AD10="-",0,IF(AD10&gt;9,0.5,IF(AD10&gt;7,0.25,0)))+IF(AE10="-",0,IF(AE10&gt;7,1.25,IF(AE10&gt;4,0.75,0)))+IF(OR(AF10="-",W10&lt;4),0,IF(AF10&gt;7,1+IF(W10&gt;7,0.15,0),IF(AF10&gt;4,0.5+IF(W10&gt;7,0.15,0),0))))</f>
        <v>0.65</v>
      </c>
      <c r="AO10" s="9">
        <f>($AK$3*AK10+$AL$3*AL10+$AM$3*AM10+$AN$3*AN10)+$J$3*VLOOKUP(J10,COND!$A$2:$C$7,2,FALSE)+$K$3*VLOOKUP(K10,COND!$A$2:$C$7,3,FALSE)</f>
        <v>29.133144429937914</v>
      </c>
      <c r="AP10" s="37">
        <f>STANDARDIZE(AO10,AVERAGE($AO$5:$AO$1295),STDEVP($AO$5:$AO$1295))</f>
        <v>2.5654524021663163</v>
      </c>
      <c r="AQ10" t="str">
        <f>IF(AND(Y10&lt;&gt;"-",X10&gt;1),"C",IF(AA10=MAX(AA10:AC10),"2B",IF(AC10=MAX(AA10:AC10),"SS",IF(OR(AB10=MAX(Z10:AC10),AND(AB10&lt;&gt;"-",AB10&gt;4,V10&gt;5)),"3B",IF(AE10=MAX(AD10:AF10),"CF",IF(AND(AF10=MAX(AD10,AF10),AND(W10&gt;5,AD10&lt;&gt;"-")),"RF",IF(AD10&lt;&gt;"-","LF",IF(Z10&lt;&gt;"-","1B","DH"))))))))</f>
        <v>RF</v>
      </c>
      <c r="AR10">
        <v>6</v>
      </c>
      <c r="AT10" t="s">
        <v>156</v>
      </c>
      <c r="AU10" t="str">
        <f>IF(AND($Q10&gt;=6,AVERAGE($S10:$T10)&gt;=6),"Likely",IF(OR($Q10&gt;6,AND($Q10=6,AVERAGE($S10:$T10)&gt;=3),AND($Q10&gt;=5,AVERAGE($S10:$T10)&gt;=5),AVERAGE($Q10,$S10:$T10)&gt;5),"Possible","Unlikely"))</f>
        <v>Likely</v>
      </c>
      <c r="AW10" t="str">
        <f>IF(VLOOKUP($B10,'Draft List'!$D$4:$AB$2598,AW$3,FALSE)&lt;&gt;0,VLOOKUP($B10,'Draft List'!$D$4:$AB$2598,AW$3,FALSE),"")</f>
        <v/>
      </c>
      <c r="AX10" t="str">
        <f>IF(VLOOKUP($B10,'Draft List'!$D$4:$AB$2598,AX$3,FALSE)&lt;&gt;0,VLOOKUP($B10,'Draft List'!$D$4:$AB$2598,AX$3,FALSE),"")</f>
        <v/>
      </c>
      <c r="AY10" t="str">
        <f>IF(VLOOKUP($B10,'Draft List'!$D$4:$AB$2598,AY$3,FALSE)&lt;&gt;0,VLOOKUP($B10,'Draft List'!$D$4:$AB$2598,AY$3,FALSE),"")</f>
        <v/>
      </c>
    </row>
    <row r="11" spans="1:51">
      <c r="A11" t="str">
        <f>IF(C11="C","C-",C11)&amp;D11&amp;E11</f>
        <v>C-Germán Hernández21</v>
      </c>
      <c r="B11" t="e">
        <f>VLOOKUP($A11,draft_listing_batters_stats!$A$1:$B$1324,2,FALSE)</f>
        <v>#N/A</v>
      </c>
      <c r="C11" s="1" t="s">
        <v>2091</v>
      </c>
      <c r="D11" s="1" t="s">
        <v>1426</v>
      </c>
      <c r="E11" s="1">
        <v>21</v>
      </c>
      <c r="F11" s="1" t="s">
        <v>2038</v>
      </c>
      <c r="G11" s="1" t="s">
        <v>2022</v>
      </c>
      <c r="H11" s="1" t="s">
        <v>2033</v>
      </c>
      <c r="I11" s="1" t="s">
        <v>2023</v>
      </c>
      <c r="J11" s="1" t="s">
        <v>2025</v>
      </c>
      <c r="K11" s="1" t="s">
        <v>2030</v>
      </c>
      <c r="L11" s="1">
        <v>3</v>
      </c>
      <c r="M11" s="1">
        <v>6</v>
      </c>
      <c r="N11" s="1">
        <v>4</v>
      </c>
      <c r="O11" s="1">
        <v>3</v>
      </c>
      <c r="P11" s="1">
        <v>2</v>
      </c>
      <c r="Q11" s="1">
        <v>5</v>
      </c>
      <c r="R11" s="1">
        <v>8</v>
      </c>
      <c r="S11" s="1">
        <v>8</v>
      </c>
      <c r="T11" s="1">
        <v>6</v>
      </c>
      <c r="U11" s="1">
        <v>5</v>
      </c>
      <c r="V11" s="1">
        <v>5</v>
      </c>
      <c r="W11" s="1">
        <v>4</v>
      </c>
      <c r="X11" s="1">
        <v>8</v>
      </c>
      <c r="Y11" s="1">
        <v>7</v>
      </c>
      <c r="Z11" s="1" t="s">
        <v>2027</v>
      </c>
      <c r="AA11" s="1" t="s">
        <v>2027</v>
      </c>
      <c r="AB11" s="1" t="s">
        <v>2027</v>
      </c>
      <c r="AC11" s="1" t="s">
        <v>2027</v>
      </c>
      <c r="AD11" s="1" t="s">
        <v>2027</v>
      </c>
      <c r="AE11" s="1" t="s">
        <v>2027</v>
      </c>
      <c r="AF11" s="1" t="s">
        <v>2027</v>
      </c>
      <c r="AG11" s="1">
        <v>4</v>
      </c>
      <c r="AH11" s="1">
        <v>4</v>
      </c>
      <c r="AI11" s="1">
        <v>5</v>
      </c>
      <c r="AJ11" s="52">
        <v>1900000</v>
      </c>
      <c r="AK11" s="9">
        <f>($L$3*(L11-$Q$1)/$Q$2+$M$3*(M11-$R$1)/$R$2+$N$3*(N11-$S$1)/$S$2+$O$3*(O11-$T$1)/$T$2+$P$3*(P11-$U$1)/$U$2)/(SUM($L$3:$P$3))</f>
        <v>-0.71531235742075516</v>
      </c>
      <c r="AL11" s="9">
        <f>($L$3*(Q11-$Q$1)/$Q$2+$M$3*(R11-$R$1)/$R$2+$N$3*(S11-$S$1)/$S$2+$O$3*(T11-$T$1)/$T$2+$P$3*(U11-$U$1)/$U$2)/(SUM($L$3:$P$3))</f>
        <v>0.75334271979760092</v>
      </c>
      <c r="AM11">
        <f>IF(AVERAGE(AG11:AH11)&gt;9,1,0)+IF(AVERAGE(AG11:AH11)&gt;7,1,0)+IF(AG11&gt;7,1,0)+IF(AH11&gt;7,1,0)+IF(AI11&gt;8,1,0)+IF(AI11&gt;6,1,0)</f>
        <v>0</v>
      </c>
      <c r="AN11" s="6">
        <f>MIN(2,IF(OR(Y11="-",X11&lt;5),0,1+IF(Y11&gt;7,1+IF(X11&gt;7,0.25,0),IF(Y11&gt;4,0.5+IF(X11&gt;7,0.25,0),0+IF(X11&gt;7,0.25))))+IF(Z11="-",0,IF(Z11&gt;9,0.5,IF(Z11&gt;7,0.25,0)))+IF(AA11="-",0,IF(AA11&gt;7,1.1,IF(AA11&gt;4,0.6,0)))+IF(OR(AB11="-",V11&lt;5),0,IF(AB11&gt;7,1+IF(V11&gt;7,0.25,0),IF(AB11&gt;4,0.5+IF(V11&gt;7,0.25,0),0)))+IF(AC11="-",0,IF(AC11&gt;7,1.5,IF(AC11&gt;4,1,0)))+IF(AD11="-",0,IF(AD11&gt;9,0.5,IF(AD11&gt;7,0.25,0)))+IF(AE11="-",0,IF(AE11&gt;7,1.25,IF(AE11&gt;4,0.75,0)))+IF(OR(AF11="-",W11&lt;4),0,IF(AF11&gt;7,1+IF(W11&gt;7,0.15,0),IF(AF11&gt;4,0.5+IF(W11&gt;7,0.15,0),0))))</f>
        <v>1.75</v>
      </c>
      <c r="AO11" s="9">
        <f>($AK$3*AK11+$AL$3*AL11+$AM$3*AM11+$AN$3*AN11)+$J$3*VLOOKUP(J11,COND!$A$2:$C$7,2,FALSE)+$K$3*VLOOKUP(K11,COND!$A$2:$C$7,3,FALSE)</f>
        <v>20.818581401829135</v>
      </c>
      <c r="AP11" s="37">
        <f>STANDARDIZE(AO11,AVERAGE($AO$5:$AO$1295),STDEVP($AO$5:$AO$1295))</f>
        <v>1.4103629341322177</v>
      </c>
      <c r="AQ11" t="str">
        <f>IF(AND(Y11&lt;&gt;"-",X11&gt;1),"C",IF(AA11=MAX(AA11:AC11),"2B",IF(AC11=MAX(AA11:AC11),"SS",IF(OR(AB11=MAX(Z11:AC11),AND(AB11&lt;&gt;"-",AB11&gt;4,V11&gt;5)),"3B",IF(AE11=MAX(AD11:AF11),"CF",IF(AND(AF11=MAX(AD11,AF11),AND(W11&gt;5,AD11&lt;&gt;"-")),"RF",IF(AD11&lt;&gt;"-","LF",IF(Z11&lt;&gt;"-","1B","DH"))))))))</f>
        <v>C</v>
      </c>
      <c r="AR11">
        <v>7</v>
      </c>
      <c r="AT11" t="s">
        <v>157</v>
      </c>
      <c r="AU11" t="str">
        <f>IF(AND($Q11&gt;=6,AVERAGE($S11:$T11)&gt;=6),"Likely",IF(OR($Q11&gt;6,AND($Q11=6,AVERAGE($S11:$T11)&gt;=3),AND($Q11&gt;=5,AVERAGE($S11:$T11)&gt;=5),AVERAGE($Q11,$S11:$T11)&gt;5),"Possible","Unlikely"))</f>
        <v>Possible</v>
      </c>
      <c r="AW11" t="e">
        <f>IF(VLOOKUP($B11,'Draft List'!$D$4:$AB$2598,AW$3,FALSE)&lt;&gt;0,VLOOKUP($B11,'Draft List'!$D$4:$AB$2598,AW$3,FALSE),"")</f>
        <v>#N/A</v>
      </c>
      <c r="AX11" t="e">
        <f>IF(VLOOKUP($B11,'Draft List'!$D$4:$AB$2598,AX$3,FALSE)&lt;&gt;0,VLOOKUP($B11,'Draft List'!$D$4:$AB$2598,AX$3,FALSE),"")</f>
        <v>#N/A</v>
      </c>
      <c r="AY11" t="e">
        <f>IF(VLOOKUP($B11,'Draft List'!$D$4:$AB$2598,AY$3,FALSE)&lt;&gt;0,VLOOKUP($B11,'Draft List'!$D$4:$AB$2598,AY$3,FALSE),"")</f>
        <v>#N/A</v>
      </c>
    </row>
    <row r="12" spans="1:51">
      <c r="A12" t="str">
        <f>IF(C12="C","C-",C12)&amp;D12&amp;E12</f>
        <v>2BLonnie Evans18</v>
      </c>
      <c r="B12">
        <f>VLOOKUP($A12,draft_listing_batters_stats!$A$1:$B$1324,2,FALSE)</f>
        <v>986</v>
      </c>
      <c r="C12" s="1" t="s">
        <v>2069</v>
      </c>
      <c r="D12" s="1" t="s">
        <v>1423</v>
      </c>
      <c r="E12" s="1">
        <v>18</v>
      </c>
      <c r="F12" s="1" t="s">
        <v>2022</v>
      </c>
      <c r="G12" s="1" t="s">
        <v>2022</v>
      </c>
      <c r="H12" s="1" t="s">
        <v>2033</v>
      </c>
      <c r="I12" s="1" t="s">
        <v>2023</v>
      </c>
      <c r="J12" s="1" t="s">
        <v>2025</v>
      </c>
      <c r="K12" s="1" t="s">
        <v>2026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8</v>
      </c>
      <c r="R12" s="1">
        <v>5</v>
      </c>
      <c r="S12" s="1">
        <v>4</v>
      </c>
      <c r="T12" s="1">
        <v>5</v>
      </c>
      <c r="U12" s="1">
        <v>8</v>
      </c>
      <c r="V12" s="1">
        <v>5</v>
      </c>
      <c r="W12" s="1">
        <v>1</v>
      </c>
      <c r="X12" s="1">
        <v>1</v>
      </c>
      <c r="Y12" s="1" t="s">
        <v>2027</v>
      </c>
      <c r="Z12" s="1" t="s">
        <v>2027</v>
      </c>
      <c r="AA12" s="1">
        <v>3</v>
      </c>
      <c r="AB12" s="1" t="s">
        <v>2027</v>
      </c>
      <c r="AC12" s="1">
        <v>1</v>
      </c>
      <c r="AD12" s="1" t="s">
        <v>2027</v>
      </c>
      <c r="AE12" s="1" t="s">
        <v>2027</v>
      </c>
      <c r="AF12" s="1" t="s">
        <v>2027</v>
      </c>
      <c r="AG12" s="1">
        <v>8</v>
      </c>
      <c r="AH12" s="1">
        <v>6</v>
      </c>
      <c r="AI12" s="1">
        <v>5</v>
      </c>
      <c r="AJ12" s="52" t="s">
        <v>2029</v>
      </c>
      <c r="AK12" s="9">
        <f>($L$3*(L12-$Q$1)/$Q$2+$M$3*(M12-$R$1)/$R$2+$N$3*(N12-$S$1)/$S$2+$O$3*(O12-$T$1)/$T$2+$P$3*(P12-$U$1)/$U$2)/(SUM($L$3:$P$3))</f>
        <v>-1.4979402501556278</v>
      </c>
      <c r="AL12" s="9">
        <f>($L$3*(Q12-$Q$1)/$Q$2+$M$3*(R12-$R$1)/$R$2+$N$3*(S12-$S$1)/$S$2+$O$3*(T12-$T$1)/$T$2+$P$3*(U12-$U$1)/$U$2)/(SUM($L$3:$P$3))</f>
        <v>1.2659240828955778</v>
      </c>
      <c r="AM12">
        <f>IF(AVERAGE(AG12:AH12)&gt;9,1,0)+IF(AVERAGE(AG12:AH12)&gt;7,1,0)+IF(AG12&gt;7,1,0)+IF(AH12&gt;7,1,0)+IF(AI12&gt;8,1,0)+IF(AI12&gt;6,1,0)</f>
        <v>1</v>
      </c>
      <c r="AN12" s="6">
        <f>MIN(2,IF(OR(Y12="-",X12&lt;5),0,1+IF(Y12&gt;7,1+IF(X12&gt;7,0.25,0),IF(Y12&gt;4,0.5+IF(X12&gt;7,0.25,0),0+IF(X12&gt;7,0.25))))+IF(Z12="-",0,IF(Z12&gt;9,0.5,IF(Z12&gt;7,0.25,0)))+IF(AA12="-",0,IF(AA12&gt;7,1.1,IF(AA12&gt;4,0.6,0)))+IF(OR(AB12="-",V12&lt;5),0,IF(AB12&gt;7,1+IF(V12&gt;7,0.25,0),IF(AB12&gt;4,0.5+IF(V12&gt;7,0.25,0),0)))+IF(AC12="-",0,IF(AC12&gt;7,1.5,IF(AC12&gt;4,1,0)))+IF(AD12="-",0,IF(AD12&gt;9,0.5,IF(AD12&gt;7,0.25,0)))+IF(AE12="-",0,IF(AE12&gt;7,1.25,IF(AE12&gt;4,0.75,0)))+IF(OR(AF12="-",W12&lt;4),0,IF(AF12&gt;7,1+IF(W12&gt;7,0.15,0),IF(AF12&gt;4,0.5+IF(W12&gt;7,0.15,0),0))))</f>
        <v>0</v>
      </c>
      <c r="AO12" s="9">
        <f>($AK$3*AK12+$AL$3*AL12+$AM$3*AM12+$AN$3*AN12)+$J$3*VLOOKUP(J12,COND!$A$2:$C$7,2,FALSE)+$K$3*VLOOKUP(K12,COND!$A$2:$C$7,3,FALSE)</f>
        <v>25.107961636398038</v>
      </c>
      <c r="AP12" s="37">
        <f>STANDARDIZE(AO12,AVERAGE($AO$5:$AO$1295),STDEVP($AO$5:$AO$1295))</f>
        <v>2.0062593049450013</v>
      </c>
      <c r="AQ12" t="str">
        <f>IF(AND(Y12&lt;&gt;"-",X12&gt;1),"C",IF(AA12=MAX(AA12:AC12),"2B",IF(AC12=MAX(AA12:AC12),"SS",IF(OR(AB12=MAX(Z12:AC12),AND(AB12&lt;&gt;"-",AB12&gt;4,V12&gt;5)),"3B",IF(AE12=MAX(AD12:AF12),"CF",IF(AND(AF12=MAX(AD12,AF12),AND(W12&gt;5,AD12&lt;&gt;"-")),"RF",IF(AD12&lt;&gt;"-","LF",IF(Z12&lt;&gt;"-","1B","DH"))))))))</f>
        <v>2B</v>
      </c>
      <c r="AR12">
        <v>8</v>
      </c>
      <c r="AT12" t="s">
        <v>154</v>
      </c>
      <c r="AU12" t="str">
        <f>IF(AND($Q12&gt;=6,AVERAGE($S12:$T12)&gt;=6),"Likely",IF(OR($Q12&gt;6,AND($Q12=6,AVERAGE($S12:$T12)&gt;=3),AND($Q12&gt;=5,AVERAGE($S12:$T12)&gt;=5),AVERAGE($Q12,$S12:$T12)&gt;5),"Possible","Unlikely"))</f>
        <v>Possible</v>
      </c>
      <c r="AW12" t="str">
        <f>IF(VLOOKUP($B12,'Draft List'!$D$4:$AB$2598,AW$3,FALSE)&lt;&gt;0,VLOOKUP($B12,'Draft List'!$D$4:$AB$2598,AW$3,FALSE),"")</f>
        <v/>
      </c>
      <c r="AX12" t="str">
        <f>IF(VLOOKUP($B12,'Draft List'!$D$4:$AB$2598,AX$3,FALSE)&lt;&gt;0,VLOOKUP($B12,'Draft List'!$D$4:$AB$2598,AX$3,FALSE),"")</f>
        <v/>
      </c>
      <c r="AY12" t="str">
        <f>IF(VLOOKUP($B12,'Draft List'!$D$4:$AB$2598,AY$3,FALSE)&lt;&gt;0,VLOOKUP($B12,'Draft List'!$D$4:$AB$2598,AY$3,FALSE),"")</f>
        <v/>
      </c>
    </row>
    <row r="13" spans="1:51">
      <c r="A13" t="str">
        <f>IF(C13="C","C-",C13)&amp;D13&amp;E13</f>
        <v>CFCarlos Ryan21</v>
      </c>
      <c r="B13">
        <f>VLOOKUP($A13,draft_listing_batters_stats!$A$1:$B$1324,2,FALSE)</f>
        <v>5888</v>
      </c>
      <c r="C13" s="1" t="s">
        <v>2079</v>
      </c>
      <c r="D13" s="1" t="s">
        <v>1412</v>
      </c>
      <c r="E13" s="1">
        <v>21</v>
      </c>
      <c r="F13" s="1" t="s">
        <v>2022</v>
      </c>
      <c r="G13" s="1" t="s">
        <v>2022</v>
      </c>
      <c r="H13" s="1" t="s">
        <v>2033</v>
      </c>
      <c r="I13" s="1" t="s">
        <v>2043</v>
      </c>
      <c r="J13" s="1" t="s">
        <v>2025</v>
      </c>
      <c r="K13" s="1" t="s">
        <v>2025</v>
      </c>
      <c r="L13" s="1">
        <v>4</v>
      </c>
      <c r="M13" s="1">
        <v>4</v>
      </c>
      <c r="N13" s="1">
        <v>3</v>
      </c>
      <c r="O13" s="1">
        <v>5</v>
      </c>
      <c r="P13" s="1">
        <v>3</v>
      </c>
      <c r="Q13" s="1">
        <v>6</v>
      </c>
      <c r="R13" s="1">
        <v>6</v>
      </c>
      <c r="S13" s="1">
        <v>8</v>
      </c>
      <c r="T13" s="1">
        <v>9</v>
      </c>
      <c r="U13" s="1">
        <v>6</v>
      </c>
      <c r="V13" s="1">
        <v>1</v>
      </c>
      <c r="W13" s="1">
        <v>9</v>
      </c>
      <c r="X13" s="1">
        <v>2</v>
      </c>
      <c r="Y13" s="1" t="s">
        <v>2027</v>
      </c>
      <c r="Z13" s="1" t="s">
        <v>2027</v>
      </c>
      <c r="AA13" s="1" t="s">
        <v>2027</v>
      </c>
      <c r="AB13" s="1" t="s">
        <v>2027</v>
      </c>
      <c r="AC13" s="1" t="s">
        <v>2027</v>
      </c>
      <c r="AD13" s="1">
        <v>6</v>
      </c>
      <c r="AE13" s="1">
        <v>10</v>
      </c>
      <c r="AF13" s="1">
        <v>5</v>
      </c>
      <c r="AG13" s="1">
        <v>8</v>
      </c>
      <c r="AH13" s="1">
        <v>4</v>
      </c>
      <c r="AI13" s="1">
        <v>4</v>
      </c>
      <c r="AJ13" s="52">
        <v>6000000</v>
      </c>
      <c r="AK13" s="9">
        <f>($L$3*(L13-$Q$1)/$Q$2+$M$3*(M13-$R$1)/$R$2+$N$3*(N13-$S$1)/$S$2+$O$3*(O13-$T$1)/$T$2+$P$3*(P13-$U$1)/$U$2)/(SUM($L$3:$P$3))</f>
        <v>-0.35850233464314329</v>
      </c>
      <c r="AL13" s="9">
        <f>($L$3*(Q13-$Q$1)/$Q$2+$M$3*(R13-$R$1)/$R$2+$N$3*(S13-$S$1)/$S$2+$O$3*(T13-$T$1)/$T$2+$P$3*(U13-$U$1)/$U$2)/(SUM($L$3:$P$3))</f>
        <v>1.2829237866086953</v>
      </c>
      <c r="AM13">
        <f>IF(AVERAGE(AG13:AH13)&gt;9,1,0)+IF(AVERAGE(AG13:AH13)&gt;7,1,0)+IF(AG13&gt;7,1,0)+IF(AH13&gt;7,1,0)+IF(AI13&gt;8,1,0)+IF(AI13&gt;6,1,0)</f>
        <v>1</v>
      </c>
      <c r="AN13" s="6">
        <f>MIN(2,IF(OR(Y13="-",X13&lt;5),0,1+IF(Y13&gt;7,1+IF(X13&gt;7,0.25,0),IF(Y13&gt;4,0.5+IF(X13&gt;7,0.25,0),0+IF(X13&gt;7,0.25))))+IF(Z13="-",0,IF(Z13&gt;9,0.5,IF(Z13&gt;7,0.25,0)))+IF(AA13="-",0,IF(AA13&gt;7,1.1,IF(AA13&gt;4,0.6,0)))+IF(OR(AB13="-",V13&lt;5),0,IF(AB13&gt;7,1+IF(V13&gt;7,0.25,0),IF(AB13&gt;4,0.5+IF(V13&gt;7,0.25,0),0)))+IF(AC13="-",0,IF(AC13&gt;7,1.5,IF(AC13&gt;4,1,0)))+IF(AD13="-",0,IF(AD13&gt;9,0.5,IF(AD13&gt;7,0.25,0)))+IF(AE13="-",0,IF(AE13&gt;7,1.25,IF(AE13&gt;4,0.75,0)))+IF(OR(AF13="-",W13&lt;4),0,IF(AF13&gt;7,1+IF(W13&gt;7,0.15,0),IF(AF13&gt;4,0.5+IF(W13&gt;7,0.15,0),0))))</f>
        <v>1.9</v>
      </c>
      <c r="AO13" s="9">
        <f>($AK$3*AK13+$AL$3*AL13+$AM$3*AM13+$AN$3*AN13)+$J$3*VLOOKUP(J13,COND!$A$2:$C$7,2,FALSE)+$K$3*VLOOKUP(K13,COND!$A$2:$C$7,3,FALSE)</f>
        <v>27.425901872506696</v>
      </c>
      <c r="AP13" s="37">
        <f>STANDARDIZE(AO13,AVERAGE($AO$5:$AO$1295),STDEVP($AO$5:$AO$1295))</f>
        <v>2.3282760297217675</v>
      </c>
      <c r="AQ13" t="str">
        <f>IF(AND(Y13&lt;&gt;"-",X13&gt;1),"C",IF(AA13=MAX(AA13:AC13),"2B",IF(AC13=MAX(AA13:AC13),"SS",IF(OR(AB13=MAX(Z13:AC13),AND(AB13&lt;&gt;"-",AB13&gt;4,V13&gt;5)),"3B",IF(AE13=MAX(AD13:AF13),"CF",IF(AND(AF13=MAX(AD13,AF13),AND(W13&gt;5,AD13&lt;&gt;"-")),"RF",IF(AD13&lt;&gt;"-","LF",IF(Z13&lt;&gt;"-","1B","DH"))))))))</f>
        <v>CF</v>
      </c>
      <c r="AR13">
        <v>9</v>
      </c>
      <c r="AT13" t="s">
        <v>155</v>
      </c>
      <c r="AU13" t="str">
        <f>IF(AND($Q13&gt;=6,AVERAGE($S13:$T13)&gt;=6),"Likely",IF(OR($Q13&gt;6,AND($Q13=6,AVERAGE($S13:$T13)&gt;=3),AND($Q13&gt;=5,AVERAGE($S13:$T13)&gt;=5),AVERAGE($Q13,$S13:$T13)&gt;5),"Possible","Unlikely"))</f>
        <v>Likely</v>
      </c>
      <c r="AW13" t="str">
        <f>IF(VLOOKUP($B13,'Draft List'!$D$4:$AB$2598,AW$3,FALSE)&lt;&gt;0,VLOOKUP($B13,'Draft List'!$D$4:$AB$2598,AW$3,FALSE),"")</f>
        <v/>
      </c>
      <c r="AX13" t="str">
        <f>IF(VLOOKUP($B13,'Draft List'!$D$4:$AB$2598,AX$3,FALSE)&lt;&gt;0,VLOOKUP($B13,'Draft List'!$D$4:$AB$2598,AX$3,FALSE),"")</f>
        <v/>
      </c>
      <c r="AY13" t="str">
        <f>IF(VLOOKUP($B13,'Draft List'!$D$4:$AB$2598,AY$3,FALSE)&lt;&gt;0,VLOOKUP($B13,'Draft List'!$D$4:$AB$2598,AY$3,FALSE),"")</f>
        <v/>
      </c>
    </row>
    <row r="14" spans="1:51">
      <c r="A14" t="str">
        <f>IF(C14="C","C-",C14)&amp;D14&amp;E14</f>
        <v>CFKing Bailey21</v>
      </c>
      <c r="B14">
        <f>VLOOKUP($A14,draft_listing_batters_stats!$A$1:$B$1324,2,FALSE)</f>
        <v>8302</v>
      </c>
      <c r="C14" s="1" t="s">
        <v>2079</v>
      </c>
      <c r="D14" s="1" t="s">
        <v>1415</v>
      </c>
      <c r="E14" s="1">
        <v>21</v>
      </c>
      <c r="F14" s="1" t="s">
        <v>2022</v>
      </c>
      <c r="G14" s="1" t="s">
        <v>2022</v>
      </c>
      <c r="H14" s="1" t="s">
        <v>2033</v>
      </c>
      <c r="I14" s="1" t="s">
        <v>2043</v>
      </c>
      <c r="J14" s="1" t="s">
        <v>2025</v>
      </c>
      <c r="K14" s="1" t="s">
        <v>2040</v>
      </c>
      <c r="L14" s="1">
        <v>4</v>
      </c>
      <c r="M14" s="1">
        <v>5</v>
      </c>
      <c r="N14" s="1">
        <v>3</v>
      </c>
      <c r="O14" s="1">
        <v>3</v>
      </c>
      <c r="P14" s="1">
        <v>3</v>
      </c>
      <c r="Q14" s="1">
        <v>6</v>
      </c>
      <c r="R14" s="1">
        <v>7</v>
      </c>
      <c r="S14" s="1">
        <v>6</v>
      </c>
      <c r="T14" s="1">
        <v>6</v>
      </c>
      <c r="U14" s="1">
        <v>5</v>
      </c>
      <c r="V14" s="1">
        <v>1</v>
      </c>
      <c r="W14" s="1">
        <v>6</v>
      </c>
      <c r="X14" s="1">
        <v>2</v>
      </c>
      <c r="Y14" s="1" t="s">
        <v>2027</v>
      </c>
      <c r="Z14" s="1" t="s">
        <v>2027</v>
      </c>
      <c r="AA14" s="1" t="s">
        <v>2027</v>
      </c>
      <c r="AB14" s="1" t="s">
        <v>2027</v>
      </c>
      <c r="AC14" s="1" t="s">
        <v>2027</v>
      </c>
      <c r="AD14" s="1">
        <v>4</v>
      </c>
      <c r="AE14" s="1">
        <v>10</v>
      </c>
      <c r="AF14" s="1">
        <v>6</v>
      </c>
      <c r="AG14" s="1">
        <v>10</v>
      </c>
      <c r="AH14" s="1">
        <v>10</v>
      </c>
      <c r="AI14" s="1">
        <v>7</v>
      </c>
      <c r="AJ14" s="52">
        <v>5500000</v>
      </c>
      <c r="AK14" s="9">
        <f>($L$3*(L14-$Q$1)/$Q$2+$M$3*(M14-$R$1)/$R$2+$N$3*(N14-$S$1)/$S$2+$O$3*(O14-$T$1)/$T$2+$P$3*(P14-$U$1)/$U$2)/(SUM($L$3:$P$3))</f>
        <v>-0.48686155504360185</v>
      </c>
      <c r="AL14" s="9">
        <f>($L$3*(Q14-$Q$1)/$Q$2+$M$3*(R14-$R$1)/$R$2+$N$3*(S14-$S$1)/$S$2+$O$3*(T14-$T$1)/$T$2+$P$3*(U14-$U$1)/$U$2)/(SUM($L$3:$P$3))</f>
        <v>0.8587156883337691</v>
      </c>
      <c r="AM14">
        <f>IF(AVERAGE(AG14:AH14)&gt;9,1,0)+IF(AVERAGE(AG14:AH14)&gt;7,1,0)+IF(AG14&gt;7,1,0)+IF(AH14&gt;7,1,0)+IF(AI14&gt;8,1,0)+IF(AI14&gt;6,1,0)</f>
        <v>5</v>
      </c>
      <c r="AN14" s="6">
        <f>MIN(2,IF(OR(Y14="-",X14&lt;5),0,1+IF(Y14&gt;7,1+IF(X14&gt;7,0.25,0),IF(Y14&gt;4,0.5+IF(X14&gt;7,0.25,0),0+IF(X14&gt;7,0.25))))+IF(Z14="-",0,IF(Z14&gt;9,0.5,IF(Z14&gt;7,0.25,0)))+IF(AA14="-",0,IF(AA14&gt;7,1.1,IF(AA14&gt;4,0.6,0)))+IF(OR(AB14="-",V14&lt;5),0,IF(AB14&gt;7,1+IF(V14&gt;7,0.25,0),IF(AB14&gt;4,0.5+IF(V14&gt;7,0.25,0),0)))+IF(AC14="-",0,IF(AC14&gt;7,1.5,IF(AC14&gt;4,1,0)))+IF(AD14="-",0,IF(AD14&gt;9,0.5,IF(AD14&gt;7,0.25,0)))+IF(AE14="-",0,IF(AE14&gt;7,1.25,IF(AE14&gt;4,0.75,0)))+IF(OR(AF14="-",W14&lt;4),0,IF(AF14&gt;7,1+IF(W14&gt;7,0.15,0),IF(AF14&gt;4,0.5+IF(W14&gt;7,0.15,0),0))))</f>
        <v>1.75</v>
      </c>
      <c r="AO14" s="9">
        <f>($AK$3*AK14+$AL$3*AL14+$AM$3*AM14+$AN$3*AN14)+$J$3*VLOOKUP(J14,COND!$A$2:$C$7,2,FALSE)+$K$3*VLOOKUP(K14,COND!$A$2:$C$7,3,FALSE)</f>
        <v>22.339235437834205</v>
      </c>
      <c r="AP14" s="37">
        <f>STANDARDIZE(AO14,AVERAGE($AO$5:$AO$1295),STDEVP($AO$5:$AO$1295))</f>
        <v>1.6216177475932361</v>
      </c>
      <c r="AQ14" t="str">
        <f>IF(AND(Y14&lt;&gt;"-",X14&gt;1),"C",IF(AA14=MAX(AA14:AC14),"2B",IF(AC14=MAX(AA14:AC14),"SS",IF(OR(AB14=MAX(Z14:AC14),AND(AB14&lt;&gt;"-",AB14&gt;4,V14&gt;5)),"3B",IF(AE14=MAX(AD14:AF14),"CF",IF(AND(AF14=MAX(AD14,AF14),AND(W14&gt;5,AD14&lt;&gt;"-")),"RF",IF(AD14&lt;&gt;"-","LF",IF(Z14&lt;&gt;"-","1B","DH"))))))))</f>
        <v>CF</v>
      </c>
      <c r="AR14">
        <v>10</v>
      </c>
      <c r="AT14" t="s">
        <v>154</v>
      </c>
      <c r="AU14" t="str">
        <f>IF(AND($Q14&gt;=6,AVERAGE($S14:$T14)&gt;=6),"Likely",IF(OR($Q14&gt;6,AND($Q14=6,AVERAGE($S14:$T14)&gt;=3),AND($Q14&gt;=5,AVERAGE($S14:$T14)&gt;=5),AVERAGE($Q14,$S14:$T14)&gt;5),"Possible","Unlikely"))</f>
        <v>Likely</v>
      </c>
      <c r="AW14" t="str">
        <f>IF(VLOOKUP($B14,'Draft List'!$D$4:$AB$2598,AW$3,FALSE)&lt;&gt;0,VLOOKUP($B14,'Draft List'!$D$4:$AB$2598,AW$3,FALSE),"")</f>
        <v/>
      </c>
      <c r="AX14" t="str">
        <f>IF(VLOOKUP($B14,'Draft List'!$D$4:$AB$2598,AX$3,FALSE)&lt;&gt;0,VLOOKUP($B14,'Draft List'!$D$4:$AB$2598,AX$3,FALSE),"")</f>
        <v/>
      </c>
      <c r="AY14" t="str">
        <f>IF(VLOOKUP($B14,'Draft List'!$D$4:$AB$2598,AY$3,FALSE)&lt;&gt;0,VLOOKUP($B14,'Draft List'!$D$4:$AB$2598,AY$3,FALSE),"")</f>
        <v/>
      </c>
    </row>
    <row r="15" spans="1:51">
      <c r="A15" t="str">
        <f>IF(C15="C","C-",C15)&amp;D15&amp;E15</f>
        <v>3BGordon Fuller21</v>
      </c>
      <c r="B15">
        <f>VLOOKUP($A15,draft_listing_batters_stats!$A$1:$B$1324,2,FALSE)</f>
        <v>2882</v>
      </c>
      <c r="C15" s="1" t="s">
        <v>2061</v>
      </c>
      <c r="D15" s="1" t="s">
        <v>1424</v>
      </c>
      <c r="E15" s="1">
        <v>21</v>
      </c>
      <c r="F15" s="1" t="s">
        <v>2022</v>
      </c>
      <c r="G15" s="1" t="s">
        <v>2022</v>
      </c>
      <c r="H15" s="1" t="s">
        <v>2033</v>
      </c>
      <c r="I15" s="1" t="s">
        <v>2023</v>
      </c>
      <c r="J15" s="1" t="s">
        <v>2030</v>
      </c>
      <c r="K15" s="1" t="s">
        <v>2030</v>
      </c>
      <c r="L15" s="1">
        <v>5</v>
      </c>
      <c r="M15" s="1">
        <v>5</v>
      </c>
      <c r="N15" s="1">
        <v>4</v>
      </c>
      <c r="O15" s="1">
        <v>4</v>
      </c>
      <c r="P15" s="1">
        <v>3</v>
      </c>
      <c r="Q15" s="1">
        <v>7</v>
      </c>
      <c r="R15" s="1">
        <v>8</v>
      </c>
      <c r="S15" s="1">
        <v>7</v>
      </c>
      <c r="T15" s="1">
        <v>6</v>
      </c>
      <c r="U15" s="1">
        <v>5</v>
      </c>
      <c r="V15" s="1">
        <v>8</v>
      </c>
      <c r="W15" s="1">
        <v>1</v>
      </c>
      <c r="X15" s="1">
        <v>1</v>
      </c>
      <c r="Y15" s="1" t="s">
        <v>2027</v>
      </c>
      <c r="Z15" s="1" t="s">
        <v>2027</v>
      </c>
      <c r="AA15" s="1">
        <v>1</v>
      </c>
      <c r="AB15" s="1">
        <v>7</v>
      </c>
      <c r="AC15" s="1" t="s">
        <v>2027</v>
      </c>
      <c r="AD15" s="1" t="s">
        <v>2027</v>
      </c>
      <c r="AE15" s="1" t="s">
        <v>2027</v>
      </c>
      <c r="AF15" s="1" t="s">
        <v>2027</v>
      </c>
      <c r="AG15" s="1">
        <v>5</v>
      </c>
      <c r="AH15" s="1">
        <v>5</v>
      </c>
      <c r="AI15" s="1">
        <v>5</v>
      </c>
      <c r="AJ15" s="52">
        <v>1700000</v>
      </c>
      <c r="AK15" s="9">
        <f>($L$3*(L15-$Q$1)/$Q$2+$M$3*(M15-$R$1)/$R$2+$N$3*(N15-$S$1)/$S$2+$O$3*(O15-$T$1)/$T$2+$P$3*(P15-$U$1)/$U$2)/(SUM($L$3:$P$3))</f>
        <v>8.4653251925553771E-3</v>
      </c>
      <c r="AL15" s="9">
        <f>($L$3*(Q15-$Q$1)/$Q$2+$M$3*(R15-$R$1)/$R$2+$N$3*(S15-$S$1)/$S$2+$O$3*(T15-$T$1)/$T$2+$P$3*(U15-$U$1)/$U$2)/(SUM($L$3:$P$3))</f>
        <v>1.3153928981790488</v>
      </c>
      <c r="AM15">
        <f>IF(AVERAGE(AG15:AH15)&gt;9,1,0)+IF(AVERAGE(AG15:AH15)&gt;7,1,0)+IF(AG15&gt;7,1,0)+IF(AH15&gt;7,1,0)+IF(AI15&gt;8,1,0)+IF(AI15&gt;6,1,0)</f>
        <v>0</v>
      </c>
      <c r="AN15" s="6">
        <f>MIN(2,IF(OR(Y15="-",X15&lt;5),0,1+IF(Y15&gt;7,1+IF(X15&gt;7,0.25,0),IF(Y15&gt;4,0.5+IF(X15&gt;7,0.25,0),0+IF(X15&gt;7,0.25))))+IF(Z15="-",0,IF(Z15&gt;9,0.5,IF(Z15&gt;7,0.25,0)))+IF(AA15="-",0,IF(AA15&gt;7,1.1,IF(AA15&gt;4,0.6,0)))+IF(OR(AB15="-",V15&lt;5),0,IF(AB15&gt;7,1+IF(V15&gt;7,0.25,0),IF(AB15&gt;4,0.5+IF(V15&gt;7,0.25,0),0)))+IF(AC15="-",0,IF(AC15&gt;7,1.5,IF(AC15&gt;4,1,0)))+IF(AD15="-",0,IF(AD15&gt;9,0.5,IF(AD15&gt;7,0.25,0)))+IF(AE15="-",0,IF(AE15&gt;7,1.25,IF(AE15&gt;4,0.75,0)))+IF(OR(AF15="-",W15&lt;4),0,IF(AF15&gt;7,1+IF(W15&gt;7,0.15,0),IF(AF15&gt;4,0.5+IF(W15&gt;7,0.15,0),0))))</f>
        <v>0.75</v>
      </c>
      <c r="AO15" s="9">
        <f>($AK$3*AK15+$AL$3*AL15+$AM$3*AM15+$AN$3*AN15)+$J$3*VLOOKUP(J15,COND!$A$2:$C$7,2,FALSE)+$K$3*VLOOKUP(K15,COND!$A$2:$C$7,3,FALSE)</f>
        <v>26.735561310667848</v>
      </c>
      <c r="AP15" s="37">
        <f>STANDARDIZE(AO15,AVERAGE($AO$5:$AO$1295),STDEVP($AO$5:$AO$1295))</f>
        <v>2.2323713971342185</v>
      </c>
      <c r="AQ15" t="str">
        <f>IF(AND(Y15&lt;&gt;"-",X15&gt;1),"C",IF(AA15=MAX(AA15:AC15),"2B",IF(AC15=MAX(AA15:AC15),"SS",IF(OR(AB15=MAX(Z15:AC15),AND(AB15&lt;&gt;"-",AB15&gt;4,V15&gt;5)),"3B",IF(AE15=MAX(AD15:AF15),"CF",IF(AND(AF15=MAX(AD15,AF15),AND(W15&gt;5,AD15&lt;&gt;"-")),"RF",IF(AD15&lt;&gt;"-","LF",IF(Z15&lt;&gt;"-","1B","DH"))))))))</f>
        <v>3B</v>
      </c>
      <c r="AR15">
        <v>11</v>
      </c>
      <c r="AT15" t="s">
        <v>154</v>
      </c>
      <c r="AU15" t="str">
        <f>IF(AND($Q15&gt;=6,AVERAGE($S15:$T15)&gt;=6),"Likely",IF(OR($Q15&gt;6,AND($Q15=6,AVERAGE($S15:$T15)&gt;=3),AND($Q15&gt;=5,AVERAGE($S15:$T15)&gt;=5),AVERAGE($Q15,$S15:$T15)&gt;5),"Possible","Unlikely"))</f>
        <v>Likely</v>
      </c>
      <c r="AW15" t="str">
        <f>IF(VLOOKUP($B15,'Draft List'!$D$4:$AB$2598,AW$3,FALSE)&lt;&gt;0,VLOOKUP($B15,'Draft List'!$D$4:$AB$2598,AW$3,FALSE),"")</f>
        <v/>
      </c>
      <c r="AX15" t="str">
        <f>IF(VLOOKUP($B15,'Draft List'!$D$4:$AB$2598,AX$3,FALSE)&lt;&gt;0,VLOOKUP($B15,'Draft List'!$D$4:$AB$2598,AX$3,FALSE),"")</f>
        <v/>
      </c>
      <c r="AY15" t="str">
        <f>IF(VLOOKUP($B15,'Draft List'!$D$4:$AB$2598,AY$3,FALSE)&lt;&gt;0,VLOOKUP($B15,'Draft List'!$D$4:$AB$2598,AY$3,FALSE),"")</f>
        <v/>
      </c>
    </row>
    <row r="16" spans="1:51">
      <c r="A16" t="str">
        <f>IF(C16="C","C-",C16)&amp;D16&amp;E16</f>
        <v>LFGabriel Martínez21</v>
      </c>
      <c r="B16" t="e">
        <f>VLOOKUP($A16,draft_listing_batters_stats!$A$1:$B$1324,2,FALSE)</f>
        <v>#N/A</v>
      </c>
      <c r="C16" s="1" t="s">
        <v>2035</v>
      </c>
      <c r="D16" s="1" t="s">
        <v>1421</v>
      </c>
      <c r="E16" s="1">
        <v>21</v>
      </c>
      <c r="F16" s="1" t="s">
        <v>2038</v>
      </c>
      <c r="G16" s="1" t="s">
        <v>2038</v>
      </c>
      <c r="H16" s="1" t="s">
        <v>2033</v>
      </c>
      <c r="I16" s="1" t="s">
        <v>2052</v>
      </c>
      <c r="J16" s="1" t="s">
        <v>2036</v>
      </c>
      <c r="K16" s="1" t="s">
        <v>2025</v>
      </c>
      <c r="L16" s="1">
        <v>5</v>
      </c>
      <c r="M16" s="1">
        <v>5</v>
      </c>
      <c r="N16" s="1">
        <v>4</v>
      </c>
      <c r="O16" s="1">
        <v>4</v>
      </c>
      <c r="P16" s="1">
        <v>5</v>
      </c>
      <c r="Q16" s="1">
        <v>8</v>
      </c>
      <c r="R16" s="1">
        <v>8</v>
      </c>
      <c r="S16" s="1">
        <v>7</v>
      </c>
      <c r="T16" s="1">
        <v>6</v>
      </c>
      <c r="U16" s="1">
        <v>6</v>
      </c>
      <c r="V16" s="1">
        <v>1</v>
      </c>
      <c r="W16" s="1">
        <v>6</v>
      </c>
      <c r="X16" s="1">
        <v>1</v>
      </c>
      <c r="Y16" s="1" t="s">
        <v>2027</v>
      </c>
      <c r="Z16" s="1" t="s">
        <v>2027</v>
      </c>
      <c r="AA16" s="1" t="s">
        <v>2027</v>
      </c>
      <c r="AB16" s="1" t="s">
        <v>2027</v>
      </c>
      <c r="AC16" s="1" t="s">
        <v>2027</v>
      </c>
      <c r="AD16" s="1">
        <v>7</v>
      </c>
      <c r="AE16" s="1" t="s">
        <v>2027</v>
      </c>
      <c r="AF16" s="1">
        <v>4</v>
      </c>
      <c r="AG16" s="1">
        <v>5</v>
      </c>
      <c r="AH16" s="1">
        <v>7</v>
      </c>
      <c r="AI16" s="1">
        <v>8</v>
      </c>
      <c r="AJ16" s="52">
        <v>2400000</v>
      </c>
      <c r="AK16" s="9">
        <f>($L$3*(L16-$Q$1)/$Q$2+$M$3*(M16-$R$1)/$R$2+$N$3*(N16-$S$1)/$S$2+$O$3*(O16-$T$1)/$T$2+$P$3*(P16-$U$1)/$U$2)/(SUM($L$3:$P$3))</f>
        <v>8.8498004826722279E-2</v>
      </c>
      <c r="AL16" s="9">
        <f>($L$3*(Q16-$Q$1)/$Q$2+$M$3*(R16-$R$1)/$R$2+$N$3*(S16-$S$1)/$S$2+$O$3*(T16-$T$1)/$T$2+$P$3*(U16-$U$1)/$U$2)/(SUM($L$3:$P$3))</f>
        <v>1.677965074198807</v>
      </c>
      <c r="AM16">
        <f>IF(AVERAGE(AG16:AH16)&gt;9,1,0)+IF(AVERAGE(AG16:AH16)&gt;7,1,0)+IF(AG16&gt;7,1,0)+IF(AH16&gt;7,1,0)+IF(AI16&gt;8,1,0)+IF(AI16&gt;6,1,0)</f>
        <v>1</v>
      </c>
      <c r="AN16" s="6">
        <f>MIN(2,IF(OR(Y16="-",X16&lt;5),0,1+IF(Y16&gt;7,1+IF(X16&gt;7,0.25,0),IF(Y16&gt;4,0.5+IF(X16&gt;7,0.25,0),0+IF(X16&gt;7,0.25))))+IF(Z16="-",0,IF(Z16&gt;9,0.5,IF(Z16&gt;7,0.25,0)))+IF(AA16="-",0,IF(AA16&gt;7,1.1,IF(AA16&gt;4,0.6,0)))+IF(OR(AB16="-",V16&lt;5),0,IF(AB16&gt;7,1+IF(V16&gt;7,0.25,0),IF(AB16&gt;4,0.5+IF(V16&gt;7,0.25,0),0)))+IF(AC16="-",0,IF(AC16&gt;7,1.5,IF(AC16&gt;4,1,0)))+IF(AD16="-",0,IF(AD16&gt;9,0.5,IF(AD16&gt;7,0.25,0)))+IF(AE16="-",0,IF(AE16&gt;7,1.25,IF(AE16&gt;4,0.75,0)))+IF(OR(AF16="-",W16&lt;4),0,IF(AF16&gt;7,1+IF(W16&gt;7,0.15,0),IF(AF16&gt;4,0.5+IF(W16&gt;7,0.15,0),0))))</f>
        <v>0</v>
      </c>
      <c r="AO16" s="9">
        <f>($AK$3*AK16+$AL$3*AL16+$AM$3*AM16+$AN$3*AN16)+$J$3*VLOOKUP(J16,COND!$A$2:$C$7,2,FALSE)+$K$3*VLOOKUP(K16,COND!$A$2:$C$7,3,FALSE)</f>
        <v>30.561097357535022</v>
      </c>
      <c r="AP16" s="37">
        <f>STANDARDIZE(AO16,AVERAGE($AO$5:$AO$1295),STDEVP($AO$5:$AO$1295))</f>
        <v>2.7638288390205146</v>
      </c>
      <c r="AQ16" t="str">
        <f>IF(AND(Y16&lt;&gt;"-",X16&gt;1),"C",IF(AA16=MAX(AA16:AC16),"2B",IF(AC16=MAX(AA16:AC16),"SS",IF(OR(AB16=MAX(Z16:AC16),AND(AB16&lt;&gt;"-",AB16&gt;4,V16&gt;5)),"3B",IF(AE16=MAX(AD16:AF16),"CF",IF(AND(AF16=MAX(AD16,AF16),AND(W16&gt;5,AD16&lt;&gt;"-")),"RF",IF(AD16&lt;&gt;"-","LF",IF(Z16&lt;&gt;"-","1B","DH"))))))))</f>
        <v>LF</v>
      </c>
      <c r="AR16">
        <v>12</v>
      </c>
      <c r="AT16" t="s">
        <v>155</v>
      </c>
      <c r="AU16" t="str">
        <f>IF(AND($Q16&gt;=6,AVERAGE($S16:$T16)&gt;=6),"Likely",IF(OR($Q16&gt;6,AND($Q16=6,AVERAGE($S16:$T16)&gt;=3),AND($Q16&gt;=5,AVERAGE($S16:$T16)&gt;=5),AVERAGE($Q16,$S16:$T16)&gt;5),"Possible","Unlikely"))</f>
        <v>Likely</v>
      </c>
      <c r="AW16" t="e">
        <f>IF(VLOOKUP($B16,'Draft List'!$D$4:$AB$2598,AW$3,FALSE)&lt;&gt;0,VLOOKUP($B16,'Draft List'!$D$4:$AB$2598,AW$3,FALSE),"")</f>
        <v>#N/A</v>
      </c>
      <c r="AX16" t="e">
        <f>IF(VLOOKUP($B16,'Draft List'!$D$4:$AB$2598,AX$3,FALSE)&lt;&gt;0,VLOOKUP($B16,'Draft List'!$D$4:$AB$2598,AX$3,FALSE),"")</f>
        <v>#N/A</v>
      </c>
      <c r="AY16" t="e">
        <f>IF(VLOOKUP($B16,'Draft List'!$D$4:$AB$2598,AY$3,FALSE)&lt;&gt;0,VLOOKUP($B16,'Draft List'!$D$4:$AB$2598,AY$3,FALSE),"")</f>
        <v>#N/A</v>
      </c>
    </row>
    <row r="17" spans="1:51">
      <c r="A17" t="str">
        <f>IF(C17="C","C-",C17)&amp;D17&amp;E17</f>
        <v>C-John Klinger21</v>
      </c>
      <c r="B17">
        <f>VLOOKUP($A17,draft_listing_batters_stats!$A$1:$B$1324,2,FALSE)</f>
        <v>8370</v>
      </c>
      <c r="C17" s="1" t="s">
        <v>2091</v>
      </c>
      <c r="D17" s="1" t="s">
        <v>1338</v>
      </c>
      <c r="E17" s="1">
        <v>21</v>
      </c>
      <c r="F17" s="1" t="s">
        <v>2022</v>
      </c>
      <c r="G17" s="1" t="s">
        <v>2022</v>
      </c>
      <c r="H17" s="1" t="s">
        <v>2033</v>
      </c>
      <c r="I17" s="1" t="s">
        <v>2033</v>
      </c>
      <c r="J17" s="1" t="s">
        <v>2025</v>
      </c>
      <c r="K17" s="1" t="s">
        <v>2025</v>
      </c>
      <c r="L17" s="1">
        <v>3</v>
      </c>
      <c r="M17" s="1">
        <v>4</v>
      </c>
      <c r="N17" s="1">
        <v>2</v>
      </c>
      <c r="O17" s="1">
        <v>3</v>
      </c>
      <c r="P17" s="1">
        <v>2</v>
      </c>
      <c r="Q17" s="1">
        <v>5</v>
      </c>
      <c r="R17" s="1">
        <v>8</v>
      </c>
      <c r="S17" s="1">
        <v>7</v>
      </c>
      <c r="T17" s="1">
        <v>5</v>
      </c>
      <c r="U17" s="1">
        <v>5</v>
      </c>
      <c r="V17" s="1">
        <v>6</v>
      </c>
      <c r="W17" s="1">
        <v>6</v>
      </c>
      <c r="X17" s="1">
        <v>8</v>
      </c>
      <c r="Y17" s="1">
        <v>6</v>
      </c>
      <c r="Z17" s="1" t="s">
        <v>2027</v>
      </c>
      <c r="AA17" s="1" t="s">
        <v>2027</v>
      </c>
      <c r="AB17" s="1" t="s">
        <v>2027</v>
      </c>
      <c r="AC17" s="1" t="s">
        <v>2027</v>
      </c>
      <c r="AD17" s="1" t="s">
        <v>2027</v>
      </c>
      <c r="AE17" s="1" t="s">
        <v>2027</v>
      </c>
      <c r="AF17" s="1" t="s">
        <v>2027</v>
      </c>
      <c r="AG17" s="1">
        <v>5</v>
      </c>
      <c r="AH17" s="1">
        <v>4</v>
      </c>
      <c r="AI17" s="1">
        <v>3</v>
      </c>
      <c r="AJ17" s="52" t="s">
        <v>2029</v>
      </c>
      <c r="AK17" s="9">
        <f>($L$3*(L17-$Q$1)/$Q$2+$M$3*(M17-$R$1)/$R$2+$N$3*(N17-$S$1)/$S$2+$O$3*(O17-$T$1)/$T$2+$P$3*(P17-$U$1)/$U$2)/(SUM($L$3:$P$3))</f>
        <v>-0.98355510470596508</v>
      </c>
      <c r="AL17" s="9">
        <f>($L$3*(Q17-$Q$1)/$Q$2+$M$3*(R17-$R$1)/$R$2+$N$3*(S17-$S$1)/$S$2+$O$3*(T17-$T$1)/$T$2+$P$3*(U17-$U$1)/$U$2)/(SUM($L$3:$P$3))</f>
        <v>0.58057167576411828</v>
      </c>
      <c r="AM17">
        <f>IF(AVERAGE(AG17:AH17)&gt;9,1,0)+IF(AVERAGE(AG17:AH17)&gt;7,1,0)+IF(AG17&gt;7,1,0)+IF(AH17&gt;7,1,0)+IF(AI17&gt;8,1,0)+IF(AI17&gt;6,1,0)</f>
        <v>0</v>
      </c>
      <c r="AN17" s="6">
        <f>MIN(2,IF(OR(Y17="-",X17&lt;5),0,1+IF(Y17&gt;7,1+IF(X17&gt;7,0.25,0),IF(Y17&gt;4,0.5+IF(X17&gt;7,0.25,0),0+IF(X17&gt;7,0.25))))+IF(Z17="-",0,IF(Z17&gt;9,0.5,IF(Z17&gt;7,0.25,0)))+IF(AA17="-",0,IF(AA17&gt;7,1.1,IF(AA17&gt;4,0.6,0)))+IF(OR(AB17="-",V17&lt;5),0,IF(AB17&gt;7,1+IF(V17&gt;7,0.25,0),IF(AB17&gt;4,0.5+IF(V17&gt;7,0.25,0),0)))+IF(AC17="-",0,IF(AC17&gt;7,1.5,IF(AC17&gt;4,1,0)))+IF(AD17="-",0,IF(AD17&gt;9,0.5,IF(AD17&gt;7,0.25,0)))+IF(AE17="-",0,IF(AE17&gt;7,1.25,IF(AE17&gt;4,0.75,0)))+IF(OR(AF17="-",W17&lt;4),0,IF(AF17&gt;7,1+IF(W17&gt;7,0.15,0),IF(AF17&gt;4,0.5+IF(W17&gt;7,0.15,0),0))))</f>
        <v>1.75</v>
      </c>
      <c r="AO17" s="9">
        <f>($AK$3*AK17+$AL$3*AL17+$AM$3*AM17+$AN$3*AN17)+$J$3*VLOOKUP(J17,COND!$A$2:$C$7,2,FALSE)+$K$3*VLOOKUP(K17,COND!$A$2:$C$7,3,FALSE)</f>
        <v>18.618504598698824</v>
      </c>
      <c r="AP17" s="37">
        <f>STANDARDIZE(AO17,AVERAGE($AO$5:$AO$1295),STDEVP($AO$5:$AO$1295))</f>
        <v>1.1047202280067474</v>
      </c>
      <c r="AQ17" t="str">
        <f>IF(AND(Y17&lt;&gt;"-",X17&gt;1),"C",IF(AA17=MAX(AA17:AC17),"2B",IF(AC17=MAX(AA17:AC17),"SS",IF(OR(AB17=MAX(Z17:AC17),AND(AB17&lt;&gt;"-",AB17&gt;4,V17&gt;5)),"3B",IF(AE17=MAX(AD17:AF17),"CF",IF(AND(AF17=MAX(AD17,AF17),AND(W17&gt;5,AD17&lt;&gt;"-")),"RF",IF(AD17&lt;&gt;"-","LF",IF(Z17&lt;&gt;"-","1B","DH"))))))))</f>
        <v>C</v>
      </c>
      <c r="AR17">
        <v>13</v>
      </c>
      <c r="AT17" t="s">
        <v>154</v>
      </c>
      <c r="AU17" t="str">
        <f>IF(AND($Q17&gt;=6,AVERAGE($S17:$T17)&gt;=6),"Likely",IF(OR($Q17&gt;6,AND($Q17=6,AVERAGE($S17:$T17)&gt;=3),AND($Q17&gt;=5,AVERAGE($S17:$T17)&gt;=5),AVERAGE($Q17,$S17:$T17)&gt;5),"Possible","Unlikely"))</f>
        <v>Possible</v>
      </c>
      <c r="AW17" t="str">
        <f>IF(VLOOKUP($B17,'Draft List'!$D$4:$AB$2598,AW$3,FALSE)&lt;&gt;0,VLOOKUP($B17,'Draft List'!$D$4:$AB$2598,AW$3,FALSE),"")</f>
        <v/>
      </c>
      <c r="AX17" t="str">
        <f>IF(VLOOKUP($B17,'Draft List'!$D$4:$AB$2598,AX$3,FALSE)&lt;&gt;0,VLOOKUP($B17,'Draft List'!$D$4:$AB$2598,AX$3,FALSE),"")</f>
        <v/>
      </c>
      <c r="AY17" t="str">
        <f>IF(VLOOKUP($B17,'Draft List'!$D$4:$AB$2598,AY$3,FALSE)&lt;&gt;0,VLOOKUP($B17,'Draft List'!$D$4:$AB$2598,AY$3,FALSE),"")</f>
        <v/>
      </c>
    </row>
    <row r="18" spans="1:51">
      <c r="A18" t="str">
        <f>IF(C18="C","C-",C18)&amp;D18&amp;E18</f>
        <v>RFMichael Gray22</v>
      </c>
      <c r="B18">
        <f>VLOOKUP($A18,draft_listing_batters_stats!$A$1:$B$1324,2,FALSE)</f>
        <v>5718</v>
      </c>
      <c r="C18" s="1" t="s">
        <v>2057</v>
      </c>
      <c r="D18" s="1" t="s">
        <v>2097</v>
      </c>
      <c r="E18" s="1">
        <v>22</v>
      </c>
      <c r="F18" s="1" t="s">
        <v>2022</v>
      </c>
      <c r="G18" s="1" t="s">
        <v>2038</v>
      </c>
      <c r="H18" s="1" t="s">
        <v>2033</v>
      </c>
      <c r="I18" s="1" t="s">
        <v>2023</v>
      </c>
      <c r="J18" s="1" t="s">
        <v>2026</v>
      </c>
      <c r="K18" s="1" t="s">
        <v>2025</v>
      </c>
      <c r="L18" s="1">
        <v>4</v>
      </c>
      <c r="M18" s="1">
        <v>5</v>
      </c>
      <c r="N18" s="1">
        <v>3</v>
      </c>
      <c r="O18" s="1">
        <v>3</v>
      </c>
      <c r="P18" s="1">
        <v>3</v>
      </c>
      <c r="Q18" s="1">
        <v>7</v>
      </c>
      <c r="R18" s="1">
        <v>8</v>
      </c>
      <c r="S18" s="1">
        <v>7</v>
      </c>
      <c r="T18" s="1">
        <v>6</v>
      </c>
      <c r="U18" s="1">
        <v>7</v>
      </c>
      <c r="V18" s="1">
        <v>1</v>
      </c>
      <c r="W18" s="1">
        <v>4</v>
      </c>
      <c r="X18" s="1">
        <v>1</v>
      </c>
      <c r="Y18" s="1" t="s">
        <v>2027</v>
      </c>
      <c r="Z18" s="1" t="s">
        <v>2027</v>
      </c>
      <c r="AA18" s="1" t="s">
        <v>2027</v>
      </c>
      <c r="AB18" s="1" t="s">
        <v>2027</v>
      </c>
      <c r="AC18" s="1" t="s">
        <v>2027</v>
      </c>
      <c r="AD18" s="1">
        <v>4</v>
      </c>
      <c r="AE18" s="1">
        <v>2</v>
      </c>
      <c r="AF18" s="1">
        <v>3</v>
      </c>
      <c r="AG18" s="1">
        <v>8</v>
      </c>
      <c r="AH18" s="1">
        <v>8</v>
      </c>
      <c r="AI18" s="1">
        <v>8</v>
      </c>
      <c r="AJ18" s="52">
        <v>2400000</v>
      </c>
      <c r="AK18" s="9">
        <f>($L$3*(L18-$Q$1)/$Q$2+$M$3*(M18-$R$1)/$R$2+$N$3*(N18-$S$1)/$S$2+$O$3*(O18-$T$1)/$T$2+$P$3*(P18-$U$1)/$U$2)/(SUM($L$3:$P$3))</f>
        <v>-0.48686155504360185</v>
      </c>
      <c r="AL18" s="9">
        <f>($L$3*(Q18-$Q$1)/$Q$2+$M$3*(R18-$R$1)/$R$2+$N$3*(S18-$S$1)/$S$2+$O$3*(T18-$T$1)/$T$2+$P$3*(U18-$U$1)/$U$2)/(SUM($L$3:$P$3))</f>
        <v>1.3954255778132156</v>
      </c>
      <c r="AM18">
        <f>IF(AVERAGE(AG18:AH18)&gt;9,1,0)+IF(AVERAGE(AG18:AH18)&gt;7,1,0)+IF(AG18&gt;7,1,0)+IF(AH18&gt;7,1,0)+IF(AI18&gt;8,1,0)+IF(AI18&gt;6,1,0)</f>
        <v>4</v>
      </c>
      <c r="AN18" s="6">
        <f>MIN(2,IF(OR(Y18="-",X18&lt;5),0,1+IF(Y18&gt;7,1+IF(X18&gt;7,0.25,0),IF(Y18&gt;4,0.5+IF(X18&gt;7,0.25,0),0+IF(X18&gt;7,0.25))))+IF(Z18="-",0,IF(Z18&gt;9,0.5,IF(Z18&gt;7,0.25,0)))+IF(AA18="-",0,IF(AA18&gt;7,1.1,IF(AA18&gt;4,0.6,0)))+IF(OR(AB18="-",V18&lt;5),0,IF(AB18&gt;7,1+IF(V18&gt;7,0.25,0),IF(AB18&gt;4,0.5+IF(V18&gt;7,0.25,0),0)))+IF(AC18="-",0,IF(AC18&gt;7,1.5,IF(AC18&gt;4,1,0)))+IF(AD18="-",0,IF(AD18&gt;9,0.5,IF(AD18&gt;7,0.25,0)))+IF(AE18="-",0,IF(AE18&gt;7,1.25,IF(AE18&gt;4,0.75,0)))+IF(OR(AF18="-",W18&lt;4),0,IF(AF18&gt;7,1+IF(W18&gt;7,0.15,0),IF(AF18&gt;4,0.5+IF(W18&gt;7,0.15,0),0))))</f>
        <v>0</v>
      </c>
      <c r="AO18" s="9">
        <f>($AK$3*AK18+$AL$3*AL18+$AM$3*AM18+$AN$3*AN18)+$J$3*VLOOKUP(J18,COND!$A$2:$C$7,2,FALSE)+$K$3*VLOOKUP(K18,COND!$A$2:$C$7,3,FALSE)</f>
        <v>27.263087444920899</v>
      </c>
      <c r="AP18" s="37">
        <f>STANDARDIZE(AO18,AVERAGE($AO$5:$AO$1295),STDEVP($AO$5:$AO$1295))</f>
        <v>2.3056572546986467</v>
      </c>
      <c r="AQ18" t="str">
        <f>IF(AND(Y18&lt;&gt;"-",X18&gt;1),"C",IF(AA18=MAX(AA18:AC18),"2B",IF(AC18=MAX(AA18:AC18),"SS",IF(OR(AB18=MAX(Z18:AC18),AND(AB18&lt;&gt;"-",AB18&gt;4,V18&gt;5)),"3B",IF(AE18=MAX(AD18:AF18),"CF",IF(AND(AF18=MAX(AD18,AF18),AND(W18&gt;5,AD18&lt;&gt;"-")),"RF",IF(AD18&lt;&gt;"-","LF",IF(Z18&lt;&gt;"-","1B","DH"))))))))</f>
        <v>LF</v>
      </c>
      <c r="AR18">
        <v>14</v>
      </c>
      <c r="AT18" t="s">
        <v>158</v>
      </c>
      <c r="AU18" t="str">
        <f>IF(AND($Q18&gt;=6,AVERAGE($S18:$T18)&gt;=6),"Likely",IF(OR($Q18&gt;6,AND($Q18=6,AVERAGE($S18:$T18)&gt;=3),AND($Q18&gt;=5,AVERAGE($S18:$T18)&gt;=5),AVERAGE($Q18,$S18:$T18)&gt;5),"Possible","Unlikely"))</f>
        <v>Likely</v>
      </c>
      <c r="AW18" t="str">
        <f>IF(VLOOKUP($B18,'Draft List'!$D$4:$AB$2598,AW$3,FALSE)&lt;&gt;0,VLOOKUP($B18,'Draft List'!$D$4:$AB$2598,AW$3,FALSE),"")</f>
        <v/>
      </c>
      <c r="AX18" t="str">
        <f>IF(VLOOKUP($B18,'Draft List'!$D$4:$AB$2598,AX$3,FALSE)&lt;&gt;0,VLOOKUP($B18,'Draft List'!$D$4:$AB$2598,AX$3,FALSE),"")</f>
        <v/>
      </c>
      <c r="AY18" t="str">
        <f>IF(VLOOKUP($B18,'Draft List'!$D$4:$AB$2598,AY$3,FALSE)&lt;&gt;0,VLOOKUP($B18,'Draft List'!$D$4:$AB$2598,AY$3,FALSE),"")</f>
        <v/>
      </c>
    </row>
    <row r="19" spans="1:51">
      <c r="A19" t="str">
        <f>IF(C19="C","C-",C19)&amp;D19&amp;E19</f>
        <v>SSMichael Manley21</v>
      </c>
      <c r="B19">
        <f>VLOOKUP($A19,draft_listing_batters_stats!$A$1:$B$1324,2,FALSE)</f>
        <v>8953</v>
      </c>
      <c r="C19" s="1" t="s">
        <v>2074</v>
      </c>
      <c r="D19" s="1" t="s">
        <v>1435</v>
      </c>
      <c r="E19" s="1">
        <v>21</v>
      </c>
      <c r="F19" s="1" t="s">
        <v>2022</v>
      </c>
      <c r="G19" s="1" t="s">
        <v>2022</v>
      </c>
      <c r="H19" s="1" t="s">
        <v>2033</v>
      </c>
      <c r="I19" s="1" t="s">
        <v>2023</v>
      </c>
      <c r="J19" s="1" t="s">
        <v>2026</v>
      </c>
      <c r="K19" s="1" t="s">
        <v>2030</v>
      </c>
      <c r="L19" s="1">
        <v>4</v>
      </c>
      <c r="M19" s="1">
        <v>4</v>
      </c>
      <c r="N19" s="1">
        <v>1</v>
      </c>
      <c r="O19" s="1">
        <v>3</v>
      </c>
      <c r="P19" s="1">
        <v>2</v>
      </c>
      <c r="Q19" s="1">
        <v>8</v>
      </c>
      <c r="R19" s="1">
        <v>6</v>
      </c>
      <c r="S19" s="1">
        <v>2</v>
      </c>
      <c r="T19" s="1">
        <v>5</v>
      </c>
      <c r="U19" s="1">
        <v>7</v>
      </c>
      <c r="V19" s="1">
        <v>6</v>
      </c>
      <c r="W19" s="1">
        <v>3</v>
      </c>
      <c r="X19" s="1">
        <v>1</v>
      </c>
      <c r="Y19" s="1" t="s">
        <v>2027</v>
      </c>
      <c r="Z19" s="1" t="s">
        <v>2027</v>
      </c>
      <c r="AA19" s="1">
        <v>1</v>
      </c>
      <c r="AB19" s="1">
        <v>4</v>
      </c>
      <c r="AC19" s="1">
        <v>8</v>
      </c>
      <c r="AD19" s="1" t="s">
        <v>2027</v>
      </c>
      <c r="AE19" s="1" t="s">
        <v>2027</v>
      </c>
      <c r="AF19" s="1" t="s">
        <v>2027</v>
      </c>
      <c r="AG19" s="1">
        <v>7</v>
      </c>
      <c r="AH19" s="1">
        <v>5</v>
      </c>
      <c r="AI19" s="1">
        <v>6</v>
      </c>
      <c r="AJ19" s="52" t="s">
        <v>2029</v>
      </c>
      <c r="AK19" s="9">
        <f>($L$3*(L19-$Q$1)/$Q$2+$M$3*(M19-$R$1)/$R$2+$N$3*(N19-$S$1)/$S$2+$O$3*(O19-$T$1)/$T$2+$P$3*(P19-$U$1)/$U$2)/(SUM($L$3:$P$3))</f>
        <v>-0.74406076252719189</v>
      </c>
      <c r="AL19" s="9">
        <f>($L$3*(Q19-$Q$1)/$Q$2+$M$3*(R19-$R$1)/$R$2+$N$3*(S19-$S$1)/$S$2+$O$3*(T19-$T$1)/$T$2+$P$3*(U19-$U$1)/$U$2)/(SUM($L$3:$P$3))</f>
        <v>1.1108446346493948</v>
      </c>
      <c r="AM19">
        <f>IF(AVERAGE(AG19:AH19)&gt;9,1,0)+IF(AVERAGE(AG19:AH19)&gt;7,1,0)+IF(AG19&gt;7,1,0)+IF(AH19&gt;7,1,0)+IF(AI19&gt;8,1,0)+IF(AI19&gt;6,1,0)</f>
        <v>0</v>
      </c>
      <c r="AN19" s="6">
        <f>MIN(2,IF(OR(Y19="-",X19&lt;5),0,1+IF(Y19&gt;7,1+IF(X19&gt;7,0.25,0),IF(Y19&gt;4,0.5+IF(X19&gt;7,0.25,0),0+IF(X19&gt;7,0.25))))+IF(Z19="-",0,IF(Z19&gt;9,0.5,IF(Z19&gt;7,0.25,0)))+IF(AA19="-",0,IF(AA19&gt;7,1.1,IF(AA19&gt;4,0.6,0)))+IF(OR(AB19="-",V19&lt;5),0,IF(AB19&gt;7,1+IF(V19&gt;7,0.25,0),IF(AB19&gt;4,0.5+IF(V19&gt;7,0.25,0),0)))+IF(AC19="-",0,IF(AC19&gt;7,1.5,IF(AC19&gt;4,1,0)))+IF(AD19="-",0,IF(AD19&gt;9,0.5,IF(AD19&gt;7,0.25,0)))+IF(AE19="-",0,IF(AE19&gt;7,1.25,IF(AE19&gt;4,0.75,0)))+IF(OR(AF19="-",W19&lt;4),0,IF(AF19&gt;7,1+IF(W19&gt;7,0.15,0),IF(AF19&gt;4,0.5+IF(W19&gt;7,0.15,0),0))))</f>
        <v>1.5</v>
      </c>
      <c r="AO19" s="9">
        <f>($AK$3*AK19+$AL$3*AL19+$AM$3*AM19+$AN$3*AN19)+$J$3*VLOOKUP(J19,COND!$A$2:$C$7,2,FALSE)+$K$3*VLOOKUP(K19,COND!$A$2:$C$7,3,FALSE)</f>
        <v>24.75572953954002</v>
      </c>
      <c r="AP19" s="37">
        <f>STANDARDIZE(AO19,AVERAGE($AO$5:$AO$1295),STDEVP($AO$5:$AO$1295))</f>
        <v>1.957325935385013</v>
      </c>
      <c r="AQ19" t="str">
        <f>IF(AND(Y19&lt;&gt;"-",X19&gt;1),"C",IF(AA19=MAX(AA19:AC19),"2B",IF(AC19=MAX(AA19:AC19),"SS",IF(OR(AB19=MAX(Z19:AC19),AND(AB19&lt;&gt;"-",AB19&gt;4,V19&gt;5)),"3B",IF(AE19=MAX(AD19:AF19),"CF",IF(AND(AF19=MAX(AD19,AF19),AND(W19&gt;5,AD19&lt;&gt;"-")),"RF",IF(AD19&lt;&gt;"-","LF",IF(Z19&lt;&gt;"-","1B","DH"))))))))</f>
        <v>SS</v>
      </c>
      <c r="AR19">
        <v>15</v>
      </c>
      <c r="AT19" t="s">
        <v>154</v>
      </c>
      <c r="AU19" t="str">
        <f>IF(AND($Q19&gt;=6,AVERAGE($S19:$T19)&gt;=6),"Likely",IF(OR($Q19&gt;6,AND($Q19=6,AVERAGE($S19:$T19)&gt;=3),AND($Q19&gt;=5,AVERAGE($S19:$T19)&gt;=5),AVERAGE($Q19,$S19:$T19)&gt;5),"Possible","Unlikely"))</f>
        <v>Possible</v>
      </c>
      <c r="AW19" t="str">
        <f>IF(VLOOKUP($B19,'Draft List'!$D$4:$AB$2598,AW$3,FALSE)&lt;&gt;0,VLOOKUP($B19,'Draft List'!$D$4:$AB$2598,AW$3,FALSE),"")</f>
        <v/>
      </c>
      <c r="AX19" t="str">
        <f>IF(VLOOKUP($B19,'Draft List'!$D$4:$AB$2598,AX$3,FALSE)&lt;&gt;0,VLOOKUP($B19,'Draft List'!$D$4:$AB$2598,AX$3,FALSE),"")</f>
        <v/>
      </c>
      <c r="AY19" t="str">
        <f>IF(VLOOKUP($B19,'Draft List'!$D$4:$AB$2598,AY$3,FALSE)&lt;&gt;0,VLOOKUP($B19,'Draft List'!$D$4:$AB$2598,AY$3,FALSE),"")</f>
        <v/>
      </c>
    </row>
    <row r="20" spans="1:51">
      <c r="A20" t="str">
        <f>IF(C20="C","C-",C20)&amp;D20&amp;E20</f>
        <v>1BJesús López21</v>
      </c>
      <c r="B20" t="e">
        <f>VLOOKUP($A20,draft_listing_batters_stats!$A$1:$B$1324,2,FALSE)</f>
        <v>#N/A</v>
      </c>
      <c r="C20" s="1" t="s">
        <v>2092</v>
      </c>
      <c r="D20" s="1" t="s">
        <v>2101</v>
      </c>
      <c r="E20" s="1">
        <v>21</v>
      </c>
      <c r="F20" s="1" t="s">
        <v>2022</v>
      </c>
      <c r="G20" s="1" t="s">
        <v>2022</v>
      </c>
      <c r="H20" s="1" t="s">
        <v>2033</v>
      </c>
      <c r="I20" s="1" t="s">
        <v>2023</v>
      </c>
      <c r="J20" s="1" t="s">
        <v>2040</v>
      </c>
      <c r="K20" s="1" t="s">
        <v>2036</v>
      </c>
      <c r="L20" s="1">
        <v>4</v>
      </c>
      <c r="M20" s="1">
        <v>3</v>
      </c>
      <c r="N20" s="1">
        <v>2</v>
      </c>
      <c r="O20" s="1">
        <v>3</v>
      </c>
      <c r="P20" s="1">
        <v>3</v>
      </c>
      <c r="Q20" s="1">
        <v>7</v>
      </c>
      <c r="R20" s="1">
        <v>5</v>
      </c>
      <c r="S20" s="1">
        <v>7</v>
      </c>
      <c r="T20" s="1">
        <v>6</v>
      </c>
      <c r="U20" s="1">
        <v>7</v>
      </c>
      <c r="V20" s="1">
        <v>7</v>
      </c>
      <c r="W20" s="1">
        <v>4</v>
      </c>
      <c r="X20" s="1">
        <v>2</v>
      </c>
      <c r="Y20" s="1" t="s">
        <v>2027</v>
      </c>
      <c r="Z20" s="1">
        <v>4</v>
      </c>
      <c r="AA20" s="1" t="s">
        <v>2027</v>
      </c>
      <c r="AB20" s="1">
        <v>5</v>
      </c>
      <c r="AC20" s="1" t="s">
        <v>2027</v>
      </c>
      <c r="AD20" s="1" t="s">
        <v>2027</v>
      </c>
      <c r="AE20" s="1" t="s">
        <v>2027</v>
      </c>
      <c r="AF20" s="1" t="s">
        <v>2027</v>
      </c>
      <c r="AG20" s="1">
        <v>2</v>
      </c>
      <c r="AH20" s="1">
        <v>2</v>
      </c>
      <c r="AI20" s="1">
        <v>4</v>
      </c>
      <c r="AJ20" s="52" t="s">
        <v>2029</v>
      </c>
      <c r="AK20" s="9">
        <f>($L$3*(L20-$Q$1)/$Q$2+$M$3*(M20-$R$1)/$R$2+$N$3*(N20-$S$1)/$S$2+$O$3*(O20-$T$1)/$T$2+$P$3*(P20-$U$1)/$U$2)/(SUM($L$3:$P$3))</f>
        <v>-0.67204280830491037</v>
      </c>
      <c r="AL20" s="9">
        <f>($L$3*(Q20-$Q$1)/$Q$2+$M$3*(R20-$R$1)/$R$2+$N$3*(S20-$S$1)/$S$2+$O$3*(T20-$T$1)/$T$2+$P$3*(U20-$U$1)/$U$2)/(SUM($L$3:$P$3))</f>
        <v>1.2422459389571052</v>
      </c>
      <c r="AM20">
        <f>IF(AVERAGE(AG20:AH20)&gt;9,1,0)+IF(AVERAGE(AG20:AH20)&gt;7,1,0)+IF(AG20&gt;7,1,0)+IF(AH20&gt;7,1,0)+IF(AI20&gt;8,1,0)+IF(AI20&gt;6,1,0)</f>
        <v>0</v>
      </c>
      <c r="AN20" s="6">
        <f>MIN(2,IF(OR(Y20="-",X20&lt;5),0,1+IF(Y20&gt;7,1+IF(X20&gt;7,0.25,0),IF(Y20&gt;4,0.5+IF(X20&gt;7,0.25,0),0+IF(X20&gt;7,0.25))))+IF(Z20="-",0,IF(Z20&gt;9,0.5,IF(Z20&gt;7,0.25,0)))+IF(AA20="-",0,IF(AA20&gt;7,1.1,IF(AA20&gt;4,0.6,0)))+IF(OR(AB20="-",V20&lt;5),0,IF(AB20&gt;7,1+IF(V20&gt;7,0.25,0),IF(AB20&gt;4,0.5+IF(V20&gt;7,0.25,0),0)))+IF(AC20="-",0,IF(AC20&gt;7,1.5,IF(AC20&gt;4,1,0)))+IF(AD20="-",0,IF(AD20&gt;9,0.5,IF(AD20&gt;7,0.25,0)))+IF(AE20="-",0,IF(AE20&gt;7,1.25,IF(AE20&gt;4,0.75,0)))+IF(OR(AF20="-",W20&lt;4),0,IF(AF20&gt;7,1+IF(W20&gt;7,0.15,0),IF(AF20&gt;4,0.5+IF(W20&gt;7,0.15,0),0))))</f>
        <v>0.5</v>
      </c>
      <c r="AO20" s="9">
        <f>($AK$3*AK20+$AL$3*AL20+$AM$3*AM20+$AN$3*AN20)+$J$3*VLOOKUP(J20,COND!$A$2:$C$7,2,FALSE)+$K$3*VLOOKUP(K20,COND!$A$2:$C$7,3,FALSE)</f>
        <v>25.08974698665477</v>
      </c>
      <c r="AP20" s="37">
        <f>STANDARDIZE(AO20,AVERAGE($AO$5:$AO$1295),STDEVP($AO$5:$AO$1295))</f>
        <v>2.0037288592665874</v>
      </c>
      <c r="AQ20" t="str">
        <f>IF(AND(Y20&lt;&gt;"-",X20&gt;1),"C",IF(AA20=MAX(AA20:AC20),"2B",IF(AC20=MAX(AA20:AC20),"SS",IF(OR(AB20=MAX(Z20:AC20),AND(AB20&lt;&gt;"-",AB20&gt;4,V20&gt;5)),"3B",IF(AE20=MAX(AD20:AF20),"CF",IF(AND(AF20=MAX(AD20,AF20),AND(W20&gt;5,AD20&lt;&gt;"-")),"RF",IF(AD20&lt;&gt;"-","LF",IF(Z20&lt;&gt;"-","1B","DH"))))))))</f>
        <v>3B</v>
      </c>
      <c r="AR20">
        <v>16</v>
      </c>
      <c r="AT20" t="s">
        <v>156</v>
      </c>
      <c r="AU20" t="str">
        <f>IF(AND($Q20&gt;=6,AVERAGE($S20:$T20)&gt;=6),"Likely",IF(OR($Q20&gt;6,AND($Q20=6,AVERAGE($S20:$T20)&gt;=3),AND($Q20&gt;=5,AVERAGE($S20:$T20)&gt;=5),AVERAGE($Q20,$S20:$T20)&gt;5),"Possible","Unlikely"))</f>
        <v>Likely</v>
      </c>
      <c r="AW20" t="e">
        <f>IF(VLOOKUP($B20,'Draft List'!$D$4:$AB$2598,AW$3,FALSE)&lt;&gt;0,VLOOKUP($B20,'Draft List'!$D$4:$AB$2598,AW$3,FALSE),"")</f>
        <v>#N/A</v>
      </c>
      <c r="AX20" t="e">
        <f>IF(VLOOKUP($B20,'Draft List'!$D$4:$AB$2598,AX$3,FALSE)&lt;&gt;0,VLOOKUP($B20,'Draft List'!$D$4:$AB$2598,AX$3,FALSE),"")</f>
        <v>#N/A</v>
      </c>
      <c r="AY20" t="e">
        <f>IF(VLOOKUP($B20,'Draft List'!$D$4:$AB$2598,AY$3,FALSE)&lt;&gt;0,VLOOKUP($B20,'Draft List'!$D$4:$AB$2598,AY$3,FALSE),"")</f>
        <v>#N/A</v>
      </c>
    </row>
    <row r="21" spans="1:51">
      <c r="A21" t="str">
        <f>IF(C21="C","C-",C21)&amp;D21&amp;E21</f>
        <v>3BMarcos Sánchez18</v>
      </c>
      <c r="B21" t="e">
        <f>VLOOKUP($A21,draft_listing_batters_stats!$A$1:$B$1324,2,FALSE)</f>
        <v>#N/A</v>
      </c>
      <c r="C21" s="1" t="s">
        <v>2061</v>
      </c>
      <c r="D21" s="1" t="s">
        <v>1413</v>
      </c>
      <c r="E21" s="1">
        <v>18</v>
      </c>
      <c r="F21" s="1" t="s">
        <v>2049</v>
      </c>
      <c r="G21" s="1" t="s">
        <v>2022</v>
      </c>
      <c r="H21" s="1" t="s">
        <v>2033</v>
      </c>
      <c r="I21" s="1" t="s">
        <v>2043</v>
      </c>
      <c r="J21" s="1" t="s">
        <v>2036</v>
      </c>
      <c r="K21" s="1" t="s">
        <v>2026</v>
      </c>
      <c r="L21" s="1">
        <v>1</v>
      </c>
      <c r="M21" s="1">
        <v>2</v>
      </c>
      <c r="N21" s="1">
        <v>2</v>
      </c>
      <c r="O21" s="1">
        <v>1</v>
      </c>
      <c r="P21" s="1">
        <v>1</v>
      </c>
      <c r="Q21" s="1">
        <v>8</v>
      </c>
      <c r="R21" s="1">
        <v>7</v>
      </c>
      <c r="S21" s="1">
        <v>8</v>
      </c>
      <c r="T21" s="1">
        <v>6</v>
      </c>
      <c r="U21" s="1">
        <v>5</v>
      </c>
      <c r="V21" s="1">
        <v>9</v>
      </c>
      <c r="W21" s="1">
        <v>3</v>
      </c>
      <c r="X21" s="1">
        <v>1</v>
      </c>
      <c r="Y21" s="1" t="s">
        <v>2027</v>
      </c>
      <c r="Z21" s="1" t="s">
        <v>2027</v>
      </c>
      <c r="AA21" s="1" t="s">
        <v>2027</v>
      </c>
      <c r="AB21" s="1">
        <v>2</v>
      </c>
      <c r="AC21" s="1" t="s">
        <v>2027</v>
      </c>
      <c r="AD21" s="1" t="s">
        <v>2027</v>
      </c>
      <c r="AE21" s="1" t="s">
        <v>2027</v>
      </c>
      <c r="AF21" s="1" t="s">
        <v>2027</v>
      </c>
      <c r="AG21" s="1">
        <v>4</v>
      </c>
      <c r="AH21" s="1">
        <v>8</v>
      </c>
      <c r="AI21" s="1">
        <v>9</v>
      </c>
      <c r="AJ21" s="52">
        <v>6000000</v>
      </c>
      <c r="AK21" s="9">
        <f>($L$3*(L21-$Q$1)/$Q$2+$M$3*(M21-$R$1)/$R$2+$N$3*(N21-$S$1)/$S$2+$O$3*(O21-$T$1)/$T$2+$P$3*(P21-$U$1)/$U$2)/(SUM($L$3:$P$3))</f>
        <v>-1.9502219761849671</v>
      </c>
      <c r="AL21" s="9">
        <f>($L$3*(Q21-$Q$1)/$Q$2+$M$3*(R21-$R$1)/$R$2+$N$3*(S21-$S$1)/$S$2+$O$3*(T21-$T$1)/$T$2+$P$3*(U21-$U$1)/$U$2)/(SUM($L$3:$P$3))</f>
        <v>1.6699503487869214</v>
      </c>
      <c r="AM21">
        <f>IF(AVERAGE(AG21:AH21)&gt;9,1,0)+IF(AVERAGE(AG21:AH21)&gt;7,1,0)+IF(AG21&gt;7,1,0)+IF(AH21&gt;7,1,0)+IF(AI21&gt;8,1,0)+IF(AI21&gt;6,1,0)</f>
        <v>3</v>
      </c>
      <c r="AN21" s="6">
        <f>MIN(2,IF(OR(Y21="-",X21&lt;5),0,1+IF(Y21&gt;7,1+IF(X21&gt;7,0.25,0),IF(Y21&gt;4,0.5+IF(X21&gt;7,0.25,0),0+IF(X21&gt;7,0.25))))+IF(Z21="-",0,IF(Z21&gt;9,0.5,IF(Z21&gt;7,0.25,0)))+IF(AA21="-",0,IF(AA21&gt;7,1.1,IF(AA21&gt;4,0.6,0)))+IF(OR(AB21="-",V21&lt;5),0,IF(AB21&gt;7,1+IF(V21&gt;7,0.25,0),IF(AB21&gt;4,0.5+IF(V21&gt;7,0.25,0),0)))+IF(AC21="-",0,IF(AC21&gt;7,1.5,IF(AC21&gt;4,1,0)))+IF(AD21="-",0,IF(AD21&gt;9,0.5,IF(AD21&gt;7,0.25,0)))+IF(AE21="-",0,IF(AE21&gt;7,1.25,IF(AE21&gt;4,0.75,0)))+IF(OR(AF21="-",W21&lt;4),0,IF(AF21&gt;7,1+IF(W21&gt;7,0.15,0),IF(AF21&gt;4,0.5+IF(W21&gt;7,0.15,0),0))))</f>
        <v>0</v>
      </c>
      <c r="AO21" s="9">
        <f>($AK$3*AK21+$AL$3*AL21+$AM$3*AM21+$AN$3*AN21)+$J$3*VLOOKUP(J21,COND!$A$2:$C$7,2,FALSE)+$K$3*VLOOKUP(K21,COND!$A$2:$C$7,3,FALSE)</f>
        <v>30.494381987824561</v>
      </c>
      <c r="AP21" s="37">
        <f>STANDARDIZE(AO21,AVERAGE($AO$5:$AO$1295),STDEVP($AO$5:$AO$1295))</f>
        <v>2.7545604961565506</v>
      </c>
      <c r="AQ21" t="str">
        <f>IF(AND(Y21&lt;&gt;"-",X21&gt;1),"C",IF(AA21=MAX(AA21:AC21),"2B",IF(AC21=MAX(AA21:AC21),"SS",IF(OR(AB21=MAX(Z21:AC21),AND(AB21&lt;&gt;"-",AB21&gt;4,V21&gt;5)),"3B",IF(AE21=MAX(AD21:AF21),"CF",IF(AND(AF21=MAX(AD21,AF21),AND(W21&gt;5,AD21&lt;&gt;"-")),"RF",IF(AD21&lt;&gt;"-","LF",IF(Z21&lt;&gt;"-","1B","DH"))))))))</f>
        <v>3B</v>
      </c>
      <c r="AR21">
        <v>17</v>
      </c>
      <c r="AT21" t="s">
        <v>154</v>
      </c>
      <c r="AU21" t="str">
        <f>IF(AND($Q21&gt;=6,AVERAGE($S21:$T21)&gt;=6),"Likely",IF(OR($Q21&gt;6,AND($Q21=6,AVERAGE($S21:$T21)&gt;=3),AND($Q21&gt;=5,AVERAGE($S21:$T21)&gt;=5),AVERAGE($Q21,$S21:$T21)&gt;5),"Possible","Unlikely"))</f>
        <v>Likely</v>
      </c>
      <c r="AW21" t="e">
        <f>IF(VLOOKUP($B21,'Draft List'!$D$4:$AB$2598,AW$3,FALSE)&lt;&gt;0,VLOOKUP($B21,'Draft List'!$D$4:$AB$2598,AW$3,FALSE),"")</f>
        <v>#N/A</v>
      </c>
      <c r="AX21" t="e">
        <f>IF(VLOOKUP($B21,'Draft List'!$D$4:$AB$2598,AX$3,FALSE)&lt;&gt;0,VLOOKUP($B21,'Draft List'!$D$4:$AB$2598,AX$3,FALSE),"")</f>
        <v>#N/A</v>
      </c>
      <c r="AY21" t="e">
        <f>IF(VLOOKUP($B21,'Draft List'!$D$4:$AB$2598,AY$3,FALSE)&lt;&gt;0,VLOOKUP($B21,'Draft List'!$D$4:$AB$2598,AY$3,FALSE),"")</f>
        <v>#N/A</v>
      </c>
    </row>
    <row r="22" spans="1:51">
      <c r="A22" t="str">
        <f>IF(C22="C","C-",C22)&amp;D22&amp;E22</f>
        <v>CFRubén Jiménez18</v>
      </c>
      <c r="B22" t="e">
        <f>VLOOKUP($A22,draft_listing_batters_stats!$A$1:$B$1324,2,FALSE)</f>
        <v>#N/A</v>
      </c>
      <c r="C22" s="1" t="s">
        <v>2079</v>
      </c>
      <c r="D22" s="1" t="s">
        <v>1410</v>
      </c>
      <c r="E22" s="1">
        <v>18</v>
      </c>
      <c r="F22" s="1" t="s">
        <v>2022</v>
      </c>
      <c r="G22" s="1" t="s">
        <v>2022</v>
      </c>
      <c r="H22" s="1" t="s">
        <v>2033</v>
      </c>
      <c r="I22" s="1" t="s">
        <v>2024</v>
      </c>
      <c r="J22" s="1" t="s">
        <v>2025</v>
      </c>
      <c r="K22" s="1" t="s">
        <v>2025</v>
      </c>
      <c r="L22" s="1">
        <v>2</v>
      </c>
      <c r="M22" s="1">
        <v>3</v>
      </c>
      <c r="N22" s="1">
        <v>1</v>
      </c>
      <c r="O22" s="1">
        <v>2</v>
      </c>
      <c r="P22" s="1">
        <v>2</v>
      </c>
      <c r="Q22" s="1">
        <v>8</v>
      </c>
      <c r="R22" s="1">
        <v>7</v>
      </c>
      <c r="S22" s="1">
        <v>4</v>
      </c>
      <c r="T22" s="1">
        <v>10</v>
      </c>
      <c r="U22" s="1">
        <v>7</v>
      </c>
      <c r="V22" s="1">
        <v>1</v>
      </c>
      <c r="W22" s="1">
        <v>6</v>
      </c>
      <c r="X22" s="1">
        <v>1</v>
      </c>
      <c r="Y22" s="1" t="s">
        <v>2027</v>
      </c>
      <c r="Z22" s="1" t="s">
        <v>2027</v>
      </c>
      <c r="AA22" s="1" t="s">
        <v>2027</v>
      </c>
      <c r="AB22" s="1" t="s">
        <v>2027</v>
      </c>
      <c r="AC22" s="1" t="s">
        <v>2027</v>
      </c>
      <c r="AD22" s="1">
        <v>1</v>
      </c>
      <c r="AE22" s="1">
        <v>3</v>
      </c>
      <c r="AF22" s="1">
        <v>1</v>
      </c>
      <c r="AG22" s="1">
        <v>8</v>
      </c>
      <c r="AH22" s="1">
        <v>7</v>
      </c>
      <c r="AI22" s="1">
        <v>8</v>
      </c>
      <c r="AJ22" s="52">
        <v>7000000</v>
      </c>
      <c r="AK22" s="9">
        <f>($L$3*(L22-$Q$1)/$Q$2+$M$3*(M22-$R$1)/$R$2+$N$3*(N22-$S$1)/$S$2+$O$3*(O22-$T$1)/$T$2+$P$3*(P22-$U$1)/$U$2)/(SUM($L$3:$P$3))</f>
        <v>-1.5299418645608258</v>
      </c>
      <c r="AL22" s="9">
        <f>($L$3*(Q22-$Q$1)/$Q$2+$M$3*(R22-$R$1)/$R$2+$N$3*(S22-$S$1)/$S$2+$O$3*(T22-$T$1)/$T$2+$P$3*(U22-$U$1)/$U$2)/(SUM($L$3:$P$3))</f>
        <v>1.7765752523638063</v>
      </c>
      <c r="AM22">
        <f>IF(AVERAGE(AG22:AH22)&gt;9,1,0)+IF(AVERAGE(AG22:AH22)&gt;7,1,0)+IF(AG22&gt;7,1,0)+IF(AH22&gt;7,1,0)+IF(AI22&gt;8,1,0)+IF(AI22&gt;6,1,0)</f>
        <v>3</v>
      </c>
      <c r="AN22" s="6">
        <f>MIN(2,IF(OR(Y22="-",X22&lt;5),0,1+IF(Y22&gt;7,1+IF(X22&gt;7,0.25,0),IF(Y22&gt;4,0.5+IF(X22&gt;7,0.25,0),0+IF(X22&gt;7,0.25))))+IF(Z22="-",0,IF(Z22&gt;9,0.5,IF(Z22&gt;7,0.25,0)))+IF(AA22="-",0,IF(AA22&gt;7,1.1,IF(AA22&gt;4,0.6,0)))+IF(OR(AB22="-",V22&lt;5),0,IF(AB22&gt;7,1+IF(V22&gt;7,0.25,0),IF(AB22&gt;4,0.5+IF(V22&gt;7,0.25,0),0)))+IF(AC22="-",0,IF(AC22&gt;7,1.5,IF(AC22&gt;4,1,0)))+IF(AD22="-",0,IF(AD22&gt;9,0.5,IF(AD22&gt;7,0.25,0)))+IF(AE22="-",0,IF(AE22&gt;7,1.25,IF(AE22&gt;4,0.75,0)))+IF(OR(AF22="-",W22&lt;4),0,IF(AF22&gt;7,1+IF(W22&gt;7,0.15,0),IF(AF22&gt;4,0.5+IF(W22&gt;7,0.15,0),0))))</f>
        <v>0</v>
      </c>
      <c r="AO22" s="9">
        <f>($AK$3*AK22+$AL$3*AL22+$AM$3*AM22+$AN$3*AN22)+$J$3*VLOOKUP(J22,COND!$A$2:$C$7,2,FALSE)+$K$3*VLOOKUP(K22,COND!$A$2:$C$7,3,FALSE)</f>
        <v>31.665908841909591</v>
      </c>
      <c r="AP22" s="37">
        <f>STANDARDIZE(AO22,AVERAGE($AO$5:$AO$1295),STDEVP($AO$5:$AO$1295))</f>
        <v>2.9173132861826718</v>
      </c>
      <c r="AQ22" t="str">
        <f>IF(AND(Y22&lt;&gt;"-",X22&gt;1),"C",IF(AA22=MAX(AA22:AC22),"2B",IF(AC22=MAX(AA22:AC22),"SS",IF(OR(AB22=MAX(Z22:AC22),AND(AB22&lt;&gt;"-",AB22&gt;4,V22&gt;5)),"3B",IF(AE22=MAX(AD22:AF22),"CF",IF(AND(AF22=MAX(AD22,AF22),AND(W22&gt;5,AD22&lt;&gt;"-")),"RF",IF(AD22&lt;&gt;"-","LF",IF(Z22&lt;&gt;"-","1B","DH"))))))))</f>
        <v>CF</v>
      </c>
      <c r="AR22">
        <v>18</v>
      </c>
      <c r="AT22" t="s">
        <v>155</v>
      </c>
      <c r="AU22" t="str">
        <f>IF(AND($Q22&gt;=6,AVERAGE($S22:$T22)&gt;=6),"Likely",IF(OR($Q22&gt;6,AND($Q22=6,AVERAGE($S22:$T22)&gt;=3),AND($Q22&gt;=5,AVERAGE($S22:$T22)&gt;=5),AVERAGE($Q22,$S22:$T22)&gt;5),"Possible","Unlikely"))</f>
        <v>Likely</v>
      </c>
      <c r="AW22" t="e">
        <f>IF(VLOOKUP($B22,'Draft List'!$D$4:$AB$2598,AW$3,FALSE)&lt;&gt;0,VLOOKUP($B22,'Draft List'!$D$4:$AB$2598,AW$3,FALSE),"")</f>
        <v>#N/A</v>
      </c>
      <c r="AX22" t="e">
        <f>IF(VLOOKUP($B22,'Draft List'!$D$4:$AB$2598,AX$3,FALSE)&lt;&gt;0,VLOOKUP($B22,'Draft List'!$D$4:$AB$2598,AX$3,FALSE),"")</f>
        <v>#N/A</v>
      </c>
      <c r="AY22" t="e">
        <f>IF(VLOOKUP($B22,'Draft List'!$D$4:$AB$2598,AY$3,FALSE)&lt;&gt;0,VLOOKUP($B22,'Draft List'!$D$4:$AB$2598,AY$3,FALSE),"")</f>
        <v>#N/A</v>
      </c>
    </row>
    <row r="23" spans="1:51">
      <c r="A23" t="str">
        <f>IF(C23="C","C-",C23)&amp;D23&amp;E23</f>
        <v>LFMiguel Campoy21</v>
      </c>
      <c r="B23">
        <f>VLOOKUP($A23,draft_listing_batters_stats!$A$1:$B$1324,2,FALSE)</f>
        <v>2903</v>
      </c>
      <c r="C23" s="1" t="s">
        <v>2035</v>
      </c>
      <c r="D23" s="1" t="s">
        <v>1431</v>
      </c>
      <c r="E23" s="1">
        <v>21</v>
      </c>
      <c r="F23" s="1" t="s">
        <v>2038</v>
      </c>
      <c r="G23" s="1" t="s">
        <v>2022</v>
      </c>
      <c r="H23" s="1" t="s">
        <v>2033</v>
      </c>
      <c r="I23" s="1" t="s">
        <v>2023</v>
      </c>
      <c r="J23" s="1" t="s">
        <v>2030</v>
      </c>
      <c r="K23" s="1" t="s">
        <v>2026</v>
      </c>
      <c r="L23" s="1">
        <v>4</v>
      </c>
      <c r="M23" s="1">
        <v>3</v>
      </c>
      <c r="N23" s="1">
        <v>1</v>
      </c>
      <c r="O23" s="1">
        <v>4</v>
      </c>
      <c r="P23" s="1">
        <v>3</v>
      </c>
      <c r="Q23" s="1">
        <v>6</v>
      </c>
      <c r="R23" s="1">
        <v>7</v>
      </c>
      <c r="S23" s="1">
        <v>6</v>
      </c>
      <c r="T23" s="1">
        <v>7</v>
      </c>
      <c r="U23" s="1">
        <v>4</v>
      </c>
      <c r="V23" s="1">
        <v>1</v>
      </c>
      <c r="W23" s="1">
        <v>8</v>
      </c>
      <c r="X23" s="1">
        <v>1</v>
      </c>
      <c r="Y23" s="1" t="s">
        <v>2027</v>
      </c>
      <c r="Z23" s="1" t="s">
        <v>2027</v>
      </c>
      <c r="AA23" s="1" t="s">
        <v>2027</v>
      </c>
      <c r="AB23" s="1" t="s">
        <v>2027</v>
      </c>
      <c r="AC23" s="1" t="s">
        <v>2027</v>
      </c>
      <c r="AD23" s="1">
        <v>6</v>
      </c>
      <c r="AE23" s="1" t="s">
        <v>2027</v>
      </c>
      <c r="AF23" s="1">
        <v>3</v>
      </c>
      <c r="AG23" s="1">
        <v>7</v>
      </c>
      <c r="AH23" s="1">
        <v>9</v>
      </c>
      <c r="AI23" s="1">
        <v>6</v>
      </c>
      <c r="AJ23" s="52" t="s">
        <v>2029</v>
      </c>
      <c r="AK23" s="9">
        <f>($L$3*(L23-$Q$1)/$Q$2+$M$3*(M23-$R$1)/$R$2+$N$3*(N23-$S$1)/$S$2+$O$3*(O23-$T$1)/$T$2+$P$3*(P23-$U$1)/$U$2)/(SUM($L$3:$P$3))</f>
        <v>-0.66539475231923073</v>
      </c>
      <c r="AL23" s="9">
        <f>($L$3*(Q23-$Q$1)/$Q$2+$M$3*(R23-$R$1)/$R$2+$N$3*(S23-$S$1)/$S$2+$O$3*(T23-$T$1)/$T$2+$P$3*(U23-$U$1)/$U$2)/(SUM($L$3:$P$3))</f>
        <v>0.90840889852626661</v>
      </c>
      <c r="AM23">
        <f>IF(AVERAGE(AG23:AH23)&gt;9,1,0)+IF(AVERAGE(AG23:AH23)&gt;7,1,0)+IF(AG23&gt;7,1,0)+IF(AH23&gt;7,1,0)+IF(AI23&gt;8,1,0)+IF(AI23&gt;6,1,0)</f>
        <v>2</v>
      </c>
      <c r="AN23" s="6">
        <f>MIN(2,IF(OR(Y23="-",X23&lt;5),0,1+IF(Y23&gt;7,1+IF(X23&gt;7,0.25,0),IF(Y23&gt;4,0.5+IF(X23&gt;7,0.25,0),0+IF(X23&gt;7,0.25))))+IF(Z23="-",0,IF(Z23&gt;9,0.5,IF(Z23&gt;7,0.25,0)))+IF(AA23="-",0,IF(AA23&gt;7,1.1,IF(AA23&gt;4,0.6,0)))+IF(OR(AB23="-",V23&lt;5),0,IF(AB23&gt;7,1+IF(V23&gt;7,0.25,0),IF(AB23&gt;4,0.5+IF(V23&gt;7,0.25,0),0)))+IF(AC23="-",0,IF(AC23&gt;7,1.5,IF(AC23&gt;4,1,0)))+IF(AD23="-",0,IF(AD23&gt;9,0.5,IF(AD23&gt;7,0.25,0)))+IF(AE23="-",0,IF(AE23&gt;7,1.25,IF(AE23&gt;4,0.75,0)))+IF(OR(AF23="-",W23&lt;4),0,IF(AF23&gt;7,1+IF(W23&gt;7,0.15,0),IF(AF23&gt;4,0.5+IF(W23&gt;7,0.15,0),0))))</f>
        <v>0</v>
      </c>
      <c r="AO23" s="9">
        <f>($AK$3*AK23+$AL$3*AL23+$AM$3*AM23+$AN$3*AN23)+$J$3*VLOOKUP(J23,COND!$A$2:$C$7,2,FALSE)+$K$3*VLOOKUP(K23,COND!$A$2:$C$7,3,FALSE)</f>
        <v>21.167700640416612</v>
      </c>
      <c r="AP23" s="37">
        <f>STANDARDIZE(AO23,AVERAGE($AO$5:$AO$1295),STDEVP($AO$5:$AO$1295))</f>
        <v>1.4588638540503394</v>
      </c>
      <c r="AQ23" t="str">
        <f>IF(AND(Y23&lt;&gt;"-",X23&gt;1),"C",IF(AA23=MAX(AA23:AC23),"2B",IF(AC23=MAX(AA23:AC23),"SS",IF(OR(AB23=MAX(Z23:AC23),AND(AB23&lt;&gt;"-",AB23&gt;4,V23&gt;5)),"3B",IF(AE23=MAX(AD23:AF23),"CF",IF(AND(AF23=MAX(AD23,AF23),AND(W23&gt;5,AD23&lt;&gt;"-")),"RF",IF(AD23&lt;&gt;"-","LF",IF(Z23&lt;&gt;"-","1B","DH"))))))))</f>
        <v>LF</v>
      </c>
      <c r="AR23">
        <v>19</v>
      </c>
      <c r="AT23" t="s">
        <v>32</v>
      </c>
      <c r="AU23" t="str">
        <f>IF(AND($Q23&gt;=6,AVERAGE($S23:$T23)&gt;=6),"Likely",IF(OR($Q23&gt;6,AND($Q23=6,AVERAGE($S23:$T23)&gt;=3),AND($Q23&gt;=5,AVERAGE($S23:$T23)&gt;=5),AVERAGE($Q23,$S23:$T23)&gt;5),"Possible","Unlikely"))</f>
        <v>Likely</v>
      </c>
      <c r="AW23" t="str">
        <f>IF(VLOOKUP($B23,'Draft List'!$D$4:$AB$2598,AW$3,FALSE)&lt;&gt;0,VLOOKUP($B23,'Draft List'!$D$4:$AB$2598,AW$3,FALSE),"")</f>
        <v/>
      </c>
      <c r="AX23" t="str">
        <f>IF(VLOOKUP($B23,'Draft List'!$D$4:$AB$2598,AX$3,FALSE)&lt;&gt;0,VLOOKUP($B23,'Draft List'!$D$4:$AB$2598,AX$3,FALSE),"")</f>
        <v/>
      </c>
      <c r="AY23" t="str">
        <f>IF(VLOOKUP($B23,'Draft List'!$D$4:$AB$2598,AY$3,FALSE)&lt;&gt;0,VLOOKUP($B23,'Draft List'!$D$4:$AB$2598,AY$3,FALSE),"")</f>
        <v/>
      </c>
    </row>
    <row r="24" spans="1:51">
      <c r="A24" t="str">
        <f>IF(C24="C","C-",C24)&amp;D24&amp;E24</f>
        <v>RFDonald Mitchell21</v>
      </c>
      <c r="B24">
        <f>VLOOKUP($A24,draft_listing_batters_stats!$A$1:$B$1324,2,FALSE)</f>
        <v>2074</v>
      </c>
      <c r="C24" s="1" t="s">
        <v>2057</v>
      </c>
      <c r="D24" s="1" t="s">
        <v>1436</v>
      </c>
      <c r="E24" s="1">
        <v>21</v>
      </c>
      <c r="F24" s="1" t="s">
        <v>2022</v>
      </c>
      <c r="G24" s="1" t="s">
        <v>2022</v>
      </c>
      <c r="H24" s="1" t="s">
        <v>2033</v>
      </c>
      <c r="I24" s="1" t="s">
        <v>2023</v>
      </c>
      <c r="J24" s="1" t="s">
        <v>2036</v>
      </c>
      <c r="K24" s="1" t="s">
        <v>2026</v>
      </c>
      <c r="L24" s="1">
        <v>4</v>
      </c>
      <c r="M24" s="1">
        <v>4</v>
      </c>
      <c r="N24" s="1">
        <v>3</v>
      </c>
      <c r="O24" s="1">
        <v>3</v>
      </c>
      <c r="P24" s="1">
        <v>2</v>
      </c>
      <c r="Q24" s="1">
        <v>6</v>
      </c>
      <c r="R24" s="1">
        <v>7</v>
      </c>
      <c r="S24" s="1">
        <v>6</v>
      </c>
      <c r="T24" s="1">
        <v>7</v>
      </c>
      <c r="U24" s="1">
        <v>4</v>
      </c>
      <c r="V24" s="1">
        <v>1</v>
      </c>
      <c r="W24" s="1">
        <v>6</v>
      </c>
      <c r="X24" s="1">
        <v>1</v>
      </c>
      <c r="Y24" s="1" t="s">
        <v>2027</v>
      </c>
      <c r="Z24" s="1" t="s">
        <v>2027</v>
      </c>
      <c r="AA24" s="1" t="s">
        <v>2027</v>
      </c>
      <c r="AB24" s="1" t="s">
        <v>2027</v>
      </c>
      <c r="AC24" s="1" t="s">
        <v>2027</v>
      </c>
      <c r="AD24" s="1">
        <v>2</v>
      </c>
      <c r="AE24" s="1">
        <v>3</v>
      </c>
      <c r="AF24" s="1">
        <v>4</v>
      </c>
      <c r="AG24" s="1">
        <v>8</v>
      </c>
      <c r="AH24" s="1">
        <v>9</v>
      </c>
      <c r="AI24" s="1">
        <v>8</v>
      </c>
      <c r="AJ24" s="52" t="s">
        <v>2029</v>
      </c>
      <c r="AK24" s="9">
        <f>($L$3*(L24-$Q$1)/$Q$2+$M$3*(M24-$R$1)/$R$2+$N$3*(N24-$S$1)/$S$2+$O$3*(O24-$T$1)/$T$2+$P$3*(P24-$U$1)/$U$2)/(SUM($L$3:$P$3))</f>
        <v>-0.57793777447938877</v>
      </c>
      <c r="AL24" s="9">
        <f>($L$3*(Q24-$Q$1)/$Q$2+$M$3*(R24-$R$1)/$R$2+$N$3*(S24-$S$1)/$S$2+$O$3*(T24-$T$1)/$T$2+$P$3*(U24-$U$1)/$U$2)/(SUM($L$3:$P$3))</f>
        <v>0.90840889852626661</v>
      </c>
      <c r="AM24">
        <f>IF(AVERAGE(AG24:AH24)&gt;9,1,0)+IF(AVERAGE(AG24:AH24)&gt;7,1,0)+IF(AG24&gt;7,1,0)+IF(AH24&gt;7,1,0)+IF(AI24&gt;8,1,0)+IF(AI24&gt;6,1,0)</f>
        <v>4</v>
      </c>
      <c r="AN24" s="6">
        <f>MIN(2,IF(OR(Y24="-",X24&lt;5),0,1+IF(Y24&gt;7,1+IF(X24&gt;7,0.25,0),IF(Y24&gt;4,0.5+IF(X24&gt;7,0.25,0),0+IF(X24&gt;7,0.25))))+IF(Z24="-",0,IF(Z24&gt;9,0.5,IF(Z24&gt;7,0.25,0)))+IF(AA24="-",0,IF(AA24&gt;7,1.1,IF(AA24&gt;4,0.6,0)))+IF(OR(AB24="-",V24&lt;5),0,IF(AB24&gt;7,1+IF(V24&gt;7,0.25,0),IF(AB24&gt;4,0.5+IF(V24&gt;7,0.25,0),0)))+IF(AC24="-",0,IF(AC24&gt;7,1.5,IF(AC24&gt;4,1,0)))+IF(AD24="-",0,IF(AD24&gt;9,0.5,IF(AD24&gt;7,0.25,0)))+IF(AE24="-",0,IF(AE24&gt;7,1.25,IF(AE24&gt;4,0.75,0)))+IF(OR(AF24="-",W24&lt;4),0,IF(AF24&gt;7,1+IF(W24&gt;7,0.15,0),IF(AF24&gt;4,0.5+IF(W24&gt;7,0.15,0),0))))</f>
        <v>0</v>
      </c>
      <c r="AO24" s="9">
        <f>($AK$3*AK24+$AL$3*AL24+$AM$3*AM24+$AN$3*AN24)+$J$3*VLOOKUP(J24,COND!$A$2:$C$7,2,FALSE)+$K$3*VLOOKUP(K24,COND!$A$2:$C$7,3,FALSE)</f>
        <v>21.659779671533926</v>
      </c>
      <c r="AP24" s="37">
        <f>STANDARDIZE(AO24,AVERAGE($AO$5:$AO$1295),STDEVP($AO$5:$AO$1295))</f>
        <v>1.527225270562846</v>
      </c>
      <c r="AQ24" t="str">
        <f>IF(AND(Y24&lt;&gt;"-",X24&gt;1),"C",IF(AA24=MAX(AA24:AC24),"2B",IF(AC24=MAX(AA24:AC24),"SS",IF(OR(AB24=MAX(Z24:AC24),AND(AB24&lt;&gt;"-",AB24&gt;4,V24&gt;5)),"3B",IF(AE24=MAX(AD24:AF24),"CF",IF(AND(AF24=MAX(AD24,AF24),AND(W24&gt;5,AD24&lt;&gt;"-")),"RF",IF(AD24&lt;&gt;"-","LF",IF(Z24&lt;&gt;"-","1B","DH"))))))))</f>
        <v>RF</v>
      </c>
      <c r="AR24">
        <v>20</v>
      </c>
      <c r="AT24" t="s">
        <v>157</v>
      </c>
      <c r="AU24" t="str">
        <f>IF(AND($Q24&gt;=6,AVERAGE($S24:$T24)&gt;=6),"Likely",IF(OR($Q24&gt;6,AND($Q24=6,AVERAGE($S24:$T24)&gt;=3),AND($Q24&gt;=5,AVERAGE($S24:$T24)&gt;=5),AVERAGE($Q24,$S24:$T24)&gt;5),"Possible","Unlikely"))</f>
        <v>Likely</v>
      </c>
      <c r="AW24" t="str">
        <f>IF(VLOOKUP($B24,'Draft List'!$D$4:$AB$2598,AW$3,FALSE)&lt;&gt;0,VLOOKUP($B24,'Draft List'!$D$4:$AB$2598,AW$3,FALSE),"")</f>
        <v/>
      </c>
      <c r="AX24" t="str">
        <f>IF(VLOOKUP($B24,'Draft List'!$D$4:$AB$2598,AX$3,FALSE)&lt;&gt;0,VLOOKUP($B24,'Draft List'!$D$4:$AB$2598,AX$3,FALSE),"")</f>
        <v/>
      </c>
      <c r="AY24" t="str">
        <f>IF(VLOOKUP($B24,'Draft List'!$D$4:$AB$2598,AY$3,FALSE)&lt;&gt;0,VLOOKUP($B24,'Draft List'!$D$4:$AB$2598,AY$3,FALSE),"")</f>
        <v/>
      </c>
    </row>
    <row r="25" spans="1:51">
      <c r="A25" t="str">
        <f>IF(C25="C","C-",C25)&amp;D25&amp;E25</f>
        <v>1BGabriel McIntyre21</v>
      </c>
      <c r="B25">
        <f>VLOOKUP($A25,draft_listing_batters_stats!$A$1:$B$1324,2,FALSE)</f>
        <v>3375</v>
      </c>
      <c r="C25" s="1" t="s">
        <v>2092</v>
      </c>
      <c r="D25" s="1" t="s">
        <v>1428</v>
      </c>
      <c r="E25" s="1">
        <v>21</v>
      </c>
      <c r="F25" s="1" t="s">
        <v>2022</v>
      </c>
      <c r="G25" s="1" t="s">
        <v>2022</v>
      </c>
      <c r="H25" s="1" t="s">
        <v>2033</v>
      </c>
      <c r="I25" s="1" t="s">
        <v>2023</v>
      </c>
      <c r="J25" s="1" t="s">
        <v>2025</v>
      </c>
      <c r="K25" s="1" t="s">
        <v>2040</v>
      </c>
      <c r="L25" s="1">
        <v>5</v>
      </c>
      <c r="M25" s="1">
        <v>3</v>
      </c>
      <c r="N25" s="1">
        <v>1</v>
      </c>
      <c r="O25" s="1">
        <v>4</v>
      </c>
      <c r="P25" s="1">
        <v>4</v>
      </c>
      <c r="Q25" s="1">
        <v>8</v>
      </c>
      <c r="R25" s="1">
        <v>5</v>
      </c>
      <c r="S25" s="1">
        <v>3</v>
      </c>
      <c r="T25" s="1">
        <v>7</v>
      </c>
      <c r="U25" s="1">
        <v>10</v>
      </c>
      <c r="V25" s="1">
        <v>4</v>
      </c>
      <c r="W25" s="1">
        <v>2</v>
      </c>
      <c r="X25" s="1">
        <v>1</v>
      </c>
      <c r="Y25" s="1" t="s">
        <v>2027</v>
      </c>
      <c r="Z25" s="1">
        <v>10</v>
      </c>
      <c r="AA25" s="1">
        <v>6</v>
      </c>
      <c r="AB25" s="1">
        <v>5</v>
      </c>
      <c r="AC25" s="1">
        <v>5</v>
      </c>
      <c r="AD25" s="1" t="s">
        <v>2027</v>
      </c>
      <c r="AE25" s="1" t="s">
        <v>2027</v>
      </c>
      <c r="AF25" s="1" t="s">
        <v>2027</v>
      </c>
      <c r="AG25" s="1">
        <v>5</v>
      </c>
      <c r="AH25" s="1">
        <v>6</v>
      </c>
      <c r="AI25" s="1">
        <v>7</v>
      </c>
      <c r="AJ25" s="52">
        <v>2000000</v>
      </c>
      <c r="AK25" s="9">
        <f>($L$3*(L25-$Q$1)/$Q$2+$M$3*(M25-$R$1)/$R$2+$N$3*(N25-$S$1)/$S$2+$O$3*(O25-$T$1)/$T$2+$P$3*(P25-$U$1)/$U$2)/(SUM($L$3:$P$3))</f>
        <v>-0.30282257629947268</v>
      </c>
      <c r="AL25" s="9">
        <f>($L$3*(Q25-$Q$1)/$Q$2+$M$3*(R25-$R$1)/$R$2+$N$3*(S25-$S$1)/$S$2+$O$3*(T25-$T$1)/$T$2+$P$3*(U25-$U$1)/$U$2)/(SUM($L$3:$P$3))</f>
        <v>1.4423143685250053</v>
      </c>
      <c r="AM25">
        <f>IF(AVERAGE(AG25:AH25)&gt;9,1,0)+IF(AVERAGE(AG25:AH25)&gt;7,1,0)+IF(AG25&gt;7,1,0)+IF(AH25&gt;7,1,0)+IF(AI25&gt;8,1,0)+IF(AI25&gt;6,1,0)</f>
        <v>1</v>
      </c>
      <c r="AN25" s="6">
        <f>MIN(2,IF(OR(Y25="-",X25&lt;5),0,1+IF(Y25&gt;7,1+IF(X25&gt;7,0.25,0),IF(Y25&gt;4,0.5+IF(X25&gt;7,0.25,0),0+IF(X25&gt;7,0.25))))+IF(Z25="-",0,IF(Z25&gt;9,0.5,IF(Z25&gt;7,0.25,0)))+IF(AA25="-",0,IF(AA25&gt;7,1.1,IF(AA25&gt;4,0.6,0)))+IF(OR(AB25="-",V25&lt;5),0,IF(AB25&gt;7,1+IF(V25&gt;7,0.25,0),IF(AB25&gt;4,0.5+IF(V25&gt;7,0.25,0),0)))+IF(AC25="-",0,IF(AC25&gt;7,1.5,IF(AC25&gt;4,1,0)))+IF(AD25="-",0,IF(AD25&gt;9,0.5,IF(AD25&gt;7,0.25,0)))+IF(AE25="-",0,IF(AE25&gt;7,1.25,IF(AE25&gt;4,0.75,0)))+IF(OR(AF25="-",W25&lt;4),0,IF(AF25&gt;7,1+IF(W25&gt;7,0.15,0),IF(AF25&gt;4,0.5+IF(W25&gt;7,0.15,0),0))))</f>
        <v>2</v>
      </c>
      <c r="AO25" s="9">
        <f>($AK$3*AK25+$AL$3*AL25+$AM$3*AM25+$AN$3*AN25)+$J$3*VLOOKUP(J25,COND!$A$2:$C$7,2,FALSE)+$K$3*VLOOKUP(K25,COND!$A$2:$C$7,3,FALSE)</f>
        <v>28.944156831336784</v>
      </c>
      <c r="AP25" s="37">
        <f>STANDARDIZE(AO25,AVERAGE($AO$5:$AO$1295),STDEVP($AO$5:$AO$1295))</f>
        <v>2.5391975546180774</v>
      </c>
      <c r="AQ25" t="str">
        <f>IF(AND(Y25&lt;&gt;"-",X25&gt;1),"C",IF(AA25=MAX(AA25:AC25),"2B",IF(AC25=MAX(AA25:AC25),"SS",IF(OR(AB25=MAX(Z25:AC25),AND(AB25&lt;&gt;"-",AB25&gt;4,V25&gt;5)),"3B",IF(AE25=MAX(AD25:AF25),"CF",IF(AND(AF25=MAX(AD25,AF25),AND(W25&gt;5,AD25&lt;&gt;"-")),"RF",IF(AD25&lt;&gt;"-","LF",IF(Z25&lt;&gt;"-","1B","DH"))))))))</f>
        <v>2B</v>
      </c>
      <c r="AR25">
        <v>21</v>
      </c>
      <c r="AT25" t="s">
        <v>155</v>
      </c>
      <c r="AU25" t="str">
        <f>IF(AND($Q25&gt;=6,AVERAGE($S25:$T25)&gt;=6),"Likely",IF(OR($Q25&gt;6,AND($Q25=6,AVERAGE($S25:$T25)&gt;=3),AND($Q25&gt;=5,AVERAGE($S25:$T25)&gt;=5),AVERAGE($Q25,$S25:$T25)&gt;5),"Possible","Unlikely"))</f>
        <v>Possible</v>
      </c>
      <c r="AW25" t="str">
        <f>IF(VLOOKUP($B25,'Draft List'!$D$4:$AB$2598,AW$3,FALSE)&lt;&gt;0,VLOOKUP($B25,'Draft List'!$D$4:$AB$2598,AW$3,FALSE),"")</f>
        <v/>
      </c>
      <c r="AX25" t="str">
        <f>IF(VLOOKUP($B25,'Draft List'!$D$4:$AB$2598,AX$3,FALSE)&lt;&gt;0,VLOOKUP($B25,'Draft List'!$D$4:$AB$2598,AX$3,FALSE),"")</f>
        <v/>
      </c>
      <c r="AY25" t="str">
        <f>IF(VLOOKUP($B25,'Draft List'!$D$4:$AB$2598,AY$3,FALSE)&lt;&gt;0,VLOOKUP($B25,'Draft List'!$D$4:$AB$2598,AY$3,FALSE),"")</f>
        <v/>
      </c>
    </row>
    <row r="26" spans="1:51">
      <c r="A26" t="str">
        <f>IF(C26="C","C-",C26)&amp;D26&amp;E26</f>
        <v>1BDominic Maye21</v>
      </c>
      <c r="B26">
        <f>VLOOKUP($A26,draft_listing_batters_stats!$A$1:$B$1324,2,FALSE)</f>
        <v>3923</v>
      </c>
      <c r="C26" s="1" t="s">
        <v>2092</v>
      </c>
      <c r="D26" s="1" t="s">
        <v>1427</v>
      </c>
      <c r="E26" s="1">
        <v>21</v>
      </c>
      <c r="F26" s="1" t="s">
        <v>2038</v>
      </c>
      <c r="G26" s="1" t="s">
        <v>2038</v>
      </c>
      <c r="H26" s="1" t="s">
        <v>2033</v>
      </c>
      <c r="I26" s="1" t="s">
        <v>2023</v>
      </c>
      <c r="J26" s="1" t="s">
        <v>2030</v>
      </c>
      <c r="K26" s="1" t="s">
        <v>2040</v>
      </c>
      <c r="L26" s="1">
        <v>5</v>
      </c>
      <c r="M26" s="1">
        <v>7</v>
      </c>
      <c r="N26" s="1">
        <v>4</v>
      </c>
      <c r="O26" s="1">
        <v>5</v>
      </c>
      <c r="P26" s="1">
        <v>3</v>
      </c>
      <c r="Q26" s="1">
        <v>8</v>
      </c>
      <c r="R26" s="1">
        <v>7</v>
      </c>
      <c r="S26" s="1">
        <v>7</v>
      </c>
      <c r="T26" s="1">
        <v>5</v>
      </c>
      <c r="U26" s="1">
        <v>5</v>
      </c>
      <c r="V26" s="1">
        <v>3</v>
      </c>
      <c r="W26" s="1">
        <v>2</v>
      </c>
      <c r="X26" s="1">
        <v>1</v>
      </c>
      <c r="Y26" s="1" t="s">
        <v>2027</v>
      </c>
      <c r="Z26" s="1">
        <v>8</v>
      </c>
      <c r="AA26" s="1" t="s">
        <v>2027</v>
      </c>
      <c r="AB26" s="1" t="s">
        <v>2027</v>
      </c>
      <c r="AC26" s="1" t="s">
        <v>2027</v>
      </c>
      <c r="AD26" s="1" t="s">
        <v>2027</v>
      </c>
      <c r="AE26" s="1" t="s">
        <v>2027</v>
      </c>
      <c r="AF26" s="1" t="s">
        <v>2027</v>
      </c>
      <c r="AG26" s="1">
        <v>2</v>
      </c>
      <c r="AH26" s="1">
        <v>4</v>
      </c>
      <c r="AI26" s="1">
        <v>3</v>
      </c>
      <c r="AJ26" s="52">
        <v>1600000</v>
      </c>
      <c r="AK26" s="9">
        <f>($L$3*(L26-$Q$1)/$Q$2+$M$3*(M26-$R$1)/$R$2+$N$3*(N26-$S$1)/$S$2+$O$3*(O26-$T$1)/$T$2+$P$3*(P26-$U$1)/$U$2)/(SUM($L$3:$P$3))</f>
        <v>0.20029463443954343</v>
      </c>
      <c r="AL26" s="9">
        <f>($L$3*(Q26-$Q$1)/$Q$2+$M$3*(R26-$R$1)/$R$2+$N$3*(S26-$S$1)/$S$2+$O$3*(T26-$T$1)/$T$2+$P$3*(U26-$U$1)/$U$2)/(SUM($L$3:$P$3))</f>
        <v>1.497179304753439</v>
      </c>
      <c r="AM26">
        <f>IF(AVERAGE(AG26:AH26)&gt;9,1,0)+IF(AVERAGE(AG26:AH26)&gt;7,1,0)+IF(AG26&gt;7,1,0)+IF(AH26&gt;7,1,0)+IF(AI26&gt;8,1,0)+IF(AI26&gt;6,1,0)</f>
        <v>0</v>
      </c>
      <c r="AN26" s="6">
        <f>MIN(2,IF(OR(Y26="-",X26&lt;5),0,1+IF(Y26&gt;7,1+IF(X26&gt;7,0.25,0),IF(Y26&gt;4,0.5+IF(X26&gt;7,0.25,0),0+IF(X26&gt;7,0.25))))+IF(Z26="-",0,IF(Z26&gt;9,0.5,IF(Z26&gt;7,0.25,0)))+IF(AA26="-",0,IF(AA26&gt;7,1.1,IF(AA26&gt;4,0.6,0)))+IF(OR(AB26="-",V26&lt;5),0,IF(AB26&gt;7,1+IF(V26&gt;7,0.25,0),IF(AB26&gt;4,0.5+IF(V26&gt;7,0.25,0),0)))+IF(AC26="-",0,IF(AC26&gt;7,1.5,IF(AC26&gt;4,1,0)))+IF(AD26="-",0,IF(AD26&gt;9,0.5,IF(AD26&gt;7,0.25,0)))+IF(AE26="-",0,IF(AE26&gt;7,1.25,IF(AE26&gt;4,0.75,0)))+IF(OR(AF26="-",W26&lt;4),0,IF(AF26&gt;7,1+IF(W26&gt;7,0.15,0),IF(AF26&gt;4,0.5+IF(W26&gt;7,0.15,0),0))))</f>
        <v>0.25</v>
      </c>
      <c r="AO26" s="9">
        <f>($AK$3*AK26+$AL$3*AL26+$AM$3*AM26+$AN$3*AN26)+$J$3*VLOOKUP(J26,COND!$A$2:$C$7,2,FALSE)+$K$3*VLOOKUP(K26,COND!$A$2:$C$7,3,FALSE)</f>
        <v>27.836181120485222</v>
      </c>
      <c r="AP26" s="37">
        <f>STANDARDIZE(AO26,AVERAGE($AO$5:$AO$1295),STDEVP($AO$5:$AO$1295))</f>
        <v>2.3852735215551708</v>
      </c>
      <c r="AQ26" t="str">
        <f>IF(AND(Y26&lt;&gt;"-",X26&gt;1),"C",IF(AA26=MAX(AA26:AC26),"2B",IF(AC26=MAX(AA26:AC26),"SS",IF(OR(AB26=MAX(Z26:AC26),AND(AB26&lt;&gt;"-",AB26&gt;4,V26&gt;5)),"3B",IF(AE26=MAX(AD26:AF26),"CF",IF(AND(AF26=MAX(AD26,AF26),AND(W26&gt;5,AD26&lt;&gt;"-")),"RF",IF(AD26&lt;&gt;"-","LF",IF(Z26&lt;&gt;"-","1B","DH"))))))))</f>
        <v>1B</v>
      </c>
      <c r="AR26">
        <v>22</v>
      </c>
      <c r="AT26" t="s">
        <v>155</v>
      </c>
      <c r="AU26" t="str">
        <f>IF(AND($Q26&gt;=6,AVERAGE($S26:$T26)&gt;=6),"Likely",IF(OR($Q26&gt;6,AND($Q26=6,AVERAGE($S26:$T26)&gt;=3),AND($Q26&gt;=5,AVERAGE($S26:$T26)&gt;=5),AVERAGE($Q26,$S26:$T26)&gt;5),"Possible","Unlikely"))</f>
        <v>Likely</v>
      </c>
      <c r="AW26" t="str">
        <f>IF(VLOOKUP($B26,'Draft List'!$D$4:$AB$2598,AW$3,FALSE)&lt;&gt;0,VLOOKUP($B26,'Draft List'!$D$4:$AB$2598,AW$3,FALSE),"")</f>
        <v/>
      </c>
      <c r="AX26" t="str">
        <f>IF(VLOOKUP($B26,'Draft List'!$D$4:$AB$2598,AX$3,FALSE)&lt;&gt;0,VLOOKUP($B26,'Draft List'!$D$4:$AB$2598,AX$3,FALSE),"")</f>
        <v/>
      </c>
      <c r="AY26" t="str">
        <f>IF(VLOOKUP($B26,'Draft List'!$D$4:$AB$2598,AY$3,FALSE)&lt;&gt;0,VLOOKUP($B26,'Draft List'!$D$4:$AB$2598,AY$3,FALSE),"")</f>
        <v/>
      </c>
    </row>
    <row r="27" spans="1:51">
      <c r="A27" t="str">
        <f>IF(C27="C","C-",C27)&amp;D27&amp;E27</f>
        <v>1BSherwood Alldritt21</v>
      </c>
      <c r="B27">
        <f>VLOOKUP($A27,draft_listing_batters_stats!$A$1:$B$1324,2,FALSE)</f>
        <v>2633</v>
      </c>
      <c r="C27" s="1" t="s">
        <v>2092</v>
      </c>
      <c r="D27" s="1" t="s">
        <v>1445</v>
      </c>
      <c r="E27" s="1">
        <v>21</v>
      </c>
      <c r="F27" s="1" t="s">
        <v>2038</v>
      </c>
      <c r="G27" s="1" t="s">
        <v>2022</v>
      </c>
      <c r="H27" s="1" t="s">
        <v>2033</v>
      </c>
      <c r="I27" s="1" t="s">
        <v>2033</v>
      </c>
      <c r="J27" s="1" t="s">
        <v>2040</v>
      </c>
      <c r="K27" s="1" t="s">
        <v>2025</v>
      </c>
      <c r="L27" s="1">
        <v>5</v>
      </c>
      <c r="M27" s="1">
        <v>2</v>
      </c>
      <c r="N27" s="1">
        <v>2</v>
      </c>
      <c r="O27" s="1">
        <v>4</v>
      </c>
      <c r="P27" s="1">
        <v>3</v>
      </c>
      <c r="Q27" s="1">
        <v>7</v>
      </c>
      <c r="R27" s="1">
        <v>5</v>
      </c>
      <c r="S27" s="1">
        <v>5</v>
      </c>
      <c r="T27" s="1">
        <v>6</v>
      </c>
      <c r="U27" s="1">
        <v>6</v>
      </c>
      <c r="V27" s="1">
        <v>4</v>
      </c>
      <c r="W27" s="1">
        <v>2</v>
      </c>
      <c r="X27" s="1">
        <v>1</v>
      </c>
      <c r="Y27" s="1" t="s">
        <v>2027</v>
      </c>
      <c r="Z27" s="1">
        <v>7</v>
      </c>
      <c r="AA27" s="1" t="s">
        <v>2027</v>
      </c>
      <c r="AB27" s="1" t="s">
        <v>2027</v>
      </c>
      <c r="AC27" s="1" t="s">
        <v>2027</v>
      </c>
      <c r="AD27" s="1" t="s">
        <v>2027</v>
      </c>
      <c r="AE27" s="1" t="s">
        <v>2027</v>
      </c>
      <c r="AF27" s="1" t="s">
        <v>2027</v>
      </c>
      <c r="AG27" s="1">
        <v>4</v>
      </c>
      <c r="AH27" s="1">
        <v>3</v>
      </c>
      <c r="AI27" s="1">
        <v>2</v>
      </c>
      <c r="AJ27" s="52" t="s">
        <v>2029</v>
      </c>
      <c r="AK27" s="9">
        <f>($L$3*(L27-$Q$1)/$Q$2+$M$3*(M27-$R$1)/$R$2+$N$3*(N27-$S$1)/$S$2+$O$3*(O27-$T$1)/$T$2+$P$3*(P27-$U$1)/$U$2)/(SUM($L$3:$P$3))</f>
        <v>-0.31083730171135809</v>
      </c>
      <c r="AL27" s="9">
        <f>($L$3*(Q27-$Q$1)/$Q$2+$M$3*(R27-$R$1)/$R$2+$N$3*(S27-$S$1)/$S$2+$O$3*(T27-$T$1)/$T$2+$P$3*(U27-$U$1)/$U$2)/(SUM($L$3:$P$3))</f>
        <v>1.0361066110922188</v>
      </c>
      <c r="AM27">
        <f>IF(AVERAGE(AG27:AH27)&gt;9,1,0)+IF(AVERAGE(AG27:AH27)&gt;7,1,0)+IF(AG27&gt;7,1,0)+IF(AH27&gt;7,1,0)+IF(AI27&gt;8,1,0)+IF(AI27&gt;6,1,0)</f>
        <v>0</v>
      </c>
      <c r="AN27" s="6">
        <f>MIN(2,IF(OR(Y27="-",X27&lt;5),0,1+IF(Y27&gt;7,1+IF(X27&gt;7,0.25,0),IF(Y27&gt;4,0.5+IF(X27&gt;7,0.25,0),0+IF(X27&gt;7,0.25))))+IF(Z27="-",0,IF(Z27&gt;9,0.5,IF(Z27&gt;7,0.25,0)))+IF(AA27="-",0,IF(AA27&gt;7,1.1,IF(AA27&gt;4,0.6,0)))+IF(OR(AB27="-",V27&lt;5),0,IF(AB27&gt;7,1+IF(V27&gt;7,0.25,0),IF(AB27&gt;4,0.5+IF(V27&gt;7,0.25,0),0)))+IF(AC27="-",0,IF(AC27&gt;7,1.5,IF(AC27&gt;4,1,0)))+IF(AD27="-",0,IF(AD27&gt;9,0.5,IF(AD27&gt;7,0.25,0)))+IF(AE27="-",0,IF(AE27&gt;7,1.25,IF(AE27&gt;4,0.75,0)))+IF(OR(AF27="-",W27&lt;4),0,IF(AF27&gt;7,1+IF(W27&gt;7,0.15,0),IF(AF27&gt;4,0.5+IF(W27&gt;7,0.15,0),0))))</f>
        <v>0</v>
      </c>
      <c r="AO27" s="9">
        <f>($AK$3*AK27+$AL$3*AL27+$AM$3*AM27+$AN$3*AN27)+$J$3*VLOOKUP(J27,COND!$A$2:$C$7,2,FALSE)+$K$3*VLOOKUP(K27,COND!$A$2:$C$7,3,FALSE)</f>
        <v>21.902195602935489</v>
      </c>
      <c r="AP27" s="37">
        <f>STANDARDIZE(AO27,AVERAGE($AO$5:$AO$1295),STDEVP($AO$5:$AO$1295))</f>
        <v>1.560902577271448</v>
      </c>
      <c r="AQ27" t="str">
        <f>IF(AND(Y27&lt;&gt;"-",X27&gt;1),"C",IF(AA27=MAX(AA27:AC27),"2B",IF(AC27=MAX(AA27:AC27),"SS",IF(OR(AB27=MAX(Z27:AC27),AND(AB27&lt;&gt;"-",AB27&gt;4,V27&gt;5)),"3B",IF(AE27=MAX(AD27:AF27),"CF",IF(AND(AF27=MAX(AD27,AF27),AND(W27&gt;5,AD27&lt;&gt;"-")),"RF",IF(AD27&lt;&gt;"-","LF",IF(Z27&lt;&gt;"-","1B","DH"))))))))</f>
        <v>1B</v>
      </c>
      <c r="AR27">
        <v>23</v>
      </c>
      <c r="AT27" t="s">
        <v>157</v>
      </c>
      <c r="AU27" t="str">
        <f>IF(AND($Q27&gt;=6,AVERAGE($S27:$T27)&gt;=6),"Likely",IF(OR($Q27&gt;6,AND($Q27=6,AVERAGE($S27:$T27)&gt;=3),AND($Q27&gt;=5,AVERAGE($S27:$T27)&gt;=5),AVERAGE($Q27,$S27:$T27)&gt;5),"Possible","Unlikely"))</f>
        <v>Possible</v>
      </c>
      <c r="AW27" t="str">
        <f>IF(VLOOKUP($B27,'Draft List'!$D$4:$AB$2598,AW$3,FALSE)&lt;&gt;0,VLOOKUP($B27,'Draft List'!$D$4:$AB$2598,AW$3,FALSE),"")</f>
        <v/>
      </c>
      <c r="AX27" t="str">
        <f>IF(VLOOKUP($B27,'Draft List'!$D$4:$AB$2598,AX$3,FALSE)&lt;&gt;0,VLOOKUP($B27,'Draft List'!$D$4:$AB$2598,AX$3,FALSE),"")</f>
        <v/>
      </c>
      <c r="AY27" t="str">
        <f>IF(VLOOKUP($B27,'Draft List'!$D$4:$AB$2598,AY$3,FALSE)&lt;&gt;0,VLOOKUP($B27,'Draft List'!$D$4:$AB$2598,AY$3,FALSE),"")</f>
        <v/>
      </c>
    </row>
    <row r="28" spans="1:51">
      <c r="A28" t="str">
        <f>IF(C28="C","C-",C28)&amp;D28&amp;E28</f>
        <v>SSGreg Dundee21</v>
      </c>
      <c r="B28">
        <f>VLOOKUP($A28,draft_listing_batters_stats!$A$1:$B$1324,2,FALSE)</f>
        <v>2844</v>
      </c>
      <c r="C28" s="1" t="s">
        <v>2074</v>
      </c>
      <c r="D28" s="1" t="s">
        <v>1488</v>
      </c>
      <c r="E28" s="1">
        <v>21</v>
      </c>
      <c r="F28" s="1" t="s">
        <v>2038</v>
      </c>
      <c r="G28" s="1" t="s">
        <v>2022</v>
      </c>
      <c r="H28" s="1" t="s">
        <v>2033</v>
      </c>
      <c r="I28" s="1" t="s">
        <v>2033</v>
      </c>
      <c r="J28" s="1" t="s">
        <v>2026</v>
      </c>
      <c r="K28" s="1" t="s">
        <v>2030</v>
      </c>
      <c r="L28" s="1">
        <v>3</v>
      </c>
      <c r="M28" s="1">
        <v>4</v>
      </c>
      <c r="N28" s="1">
        <v>2</v>
      </c>
      <c r="O28" s="1">
        <v>4</v>
      </c>
      <c r="P28" s="1">
        <v>3</v>
      </c>
      <c r="Q28" s="1">
        <v>5</v>
      </c>
      <c r="R28" s="1">
        <v>6</v>
      </c>
      <c r="S28" s="1">
        <v>5</v>
      </c>
      <c r="T28" s="1">
        <v>6</v>
      </c>
      <c r="U28" s="1">
        <v>4</v>
      </c>
      <c r="V28" s="1">
        <v>7</v>
      </c>
      <c r="W28" s="1">
        <v>1</v>
      </c>
      <c r="X28" s="1">
        <v>1</v>
      </c>
      <c r="Y28" s="1" t="s">
        <v>2027</v>
      </c>
      <c r="Z28" s="1">
        <v>8</v>
      </c>
      <c r="AA28" s="1">
        <v>6</v>
      </c>
      <c r="AB28" s="1">
        <v>5</v>
      </c>
      <c r="AC28" s="1">
        <v>9</v>
      </c>
      <c r="AD28" s="1" t="s">
        <v>2027</v>
      </c>
      <c r="AE28" s="1" t="s">
        <v>2027</v>
      </c>
      <c r="AF28" s="1" t="s">
        <v>2027</v>
      </c>
      <c r="AG28" s="1">
        <v>4</v>
      </c>
      <c r="AH28" s="1">
        <v>3</v>
      </c>
      <c r="AI28" s="1">
        <v>4</v>
      </c>
      <c r="AJ28" s="52" t="s">
        <v>2029</v>
      </c>
      <c r="AK28" s="9">
        <f>($L$3*(L28-$Q$1)/$Q$2+$M$3*(M28-$R$1)/$R$2+$N$3*(N28-$S$1)/$S$2+$O$3*(O28-$T$1)/$T$2+$P$3*(P28-$U$1)/$U$2)/(SUM($L$3:$P$3))</f>
        <v>-0.85382921487930052</v>
      </c>
      <c r="AL28" s="9">
        <f>($L$3*(Q28-$Q$1)/$Q$2+$M$3*(R28-$R$1)/$R$2+$N$3*(S28-$S$1)/$S$2+$O$3*(T28-$T$1)/$T$2+$P$3*(U28-$U$1)/$U$2)/(SUM($L$3:$P$3))</f>
        <v>0.36202213867140592</v>
      </c>
      <c r="AM28">
        <f>IF(AVERAGE(AG28:AH28)&gt;9,1,0)+IF(AVERAGE(AG28:AH28)&gt;7,1,0)+IF(AG28&gt;7,1,0)+IF(AH28&gt;7,1,0)+IF(AI28&gt;8,1,0)+IF(AI28&gt;6,1,0)</f>
        <v>0</v>
      </c>
      <c r="AN28" s="6">
        <f>MIN(2,IF(OR(Y28="-",X28&lt;5),0,1+IF(Y28&gt;7,1+IF(X28&gt;7,0.25,0),IF(Y28&gt;4,0.5+IF(X28&gt;7,0.25,0),0+IF(X28&gt;7,0.25))))+IF(Z28="-",0,IF(Z28&gt;9,0.5,IF(Z28&gt;7,0.25,0)))+IF(AA28="-",0,IF(AA28&gt;7,1.1,IF(AA28&gt;4,0.6,0)))+IF(OR(AB28="-",V28&lt;5),0,IF(AB28&gt;7,1+IF(V28&gt;7,0.25,0),IF(AB28&gt;4,0.5+IF(V28&gt;7,0.25,0),0)))+IF(AC28="-",0,IF(AC28&gt;7,1.5,IF(AC28&gt;4,1,0)))+IF(AD28="-",0,IF(AD28&gt;9,0.5,IF(AD28&gt;7,0.25,0)))+IF(AE28="-",0,IF(AE28&gt;7,1.25,IF(AE28&gt;4,0.75,0)))+IF(OR(AF28="-",W28&lt;4),0,IF(AF28&gt;7,1+IF(W28&gt;7,0.15,0),IF(AF28&gt;4,0.5+IF(W28&gt;7,0.15,0),0))))</f>
        <v>2</v>
      </c>
      <c r="AO28" s="9">
        <f>($AK$3*AK28+$AL$3*AL28+$AM$3*AM28+$AN$3*AN28)+$J$3*VLOOKUP(J28,COND!$A$2:$C$7,2,FALSE)+$K$3*VLOOKUP(K28,COND!$A$2:$C$7,3,FALSE)</f>
        <v>16.258882742568943</v>
      </c>
      <c r="AP28" s="37">
        <f>STANDARDIZE(AO28,AVERAGE($AO$5:$AO$1295),STDEVP($AO$5:$AO$1295))</f>
        <v>0.77691294031833469</v>
      </c>
      <c r="AQ28" t="str">
        <f>IF(AND(Y28&lt;&gt;"-",X28&gt;1),"C",IF(AA28=MAX(AA28:AC28),"2B",IF(AC28=MAX(AA28:AC28),"SS",IF(OR(AB28=MAX(Z28:AC28),AND(AB28&lt;&gt;"-",AB28&gt;4,V28&gt;5)),"3B",IF(AE28=MAX(AD28:AF28),"CF",IF(AND(AF28=MAX(AD28,AF28),AND(W28&gt;5,AD28&lt;&gt;"-")),"RF",IF(AD28&lt;&gt;"-","LF",IF(Z28&lt;&gt;"-","1B","DH"))))))))</f>
        <v>SS</v>
      </c>
      <c r="AR28">
        <v>24</v>
      </c>
      <c r="AT28" t="s">
        <v>156</v>
      </c>
      <c r="AU28" t="str">
        <f>IF(AND($Q28&gt;=6,AVERAGE($S28:$T28)&gt;=6),"Likely",IF(OR($Q28&gt;6,AND($Q28=6,AVERAGE($S28:$T28)&gt;=3),AND($Q28&gt;=5,AVERAGE($S28:$T28)&gt;=5),AVERAGE($Q28,$S28:$T28)&gt;5),"Possible","Unlikely"))</f>
        <v>Possible</v>
      </c>
      <c r="AW28" t="str">
        <f>IF(VLOOKUP($B28,'Draft List'!$D$4:$AB$2598,AW$3,FALSE)&lt;&gt;0,VLOOKUP($B28,'Draft List'!$D$4:$AB$2598,AW$3,FALSE),"")</f>
        <v/>
      </c>
      <c r="AX28" t="str">
        <f>IF(VLOOKUP($B28,'Draft List'!$D$4:$AB$2598,AX$3,FALSE)&lt;&gt;0,VLOOKUP($B28,'Draft List'!$D$4:$AB$2598,AX$3,FALSE),"")</f>
        <v/>
      </c>
      <c r="AY28" t="str">
        <f>IF(VLOOKUP($B28,'Draft List'!$D$4:$AB$2598,AY$3,FALSE)&lt;&gt;0,VLOOKUP($B28,'Draft List'!$D$4:$AB$2598,AY$3,FALSE),"")</f>
        <v/>
      </c>
    </row>
    <row r="29" spans="1:51">
      <c r="A29" t="str">
        <f>IF(C29="C","C-",C29)&amp;D29&amp;E29</f>
        <v>RFPhil Carter21</v>
      </c>
      <c r="B29">
        <f>VLOOKUP($A29,draft_listing_batters_stats!$A$1:$B$1324,2,FALSE)</f>
        <v>5243</v>
      </c>
      <c r="C29" s="1" t="s">
        <v>2057</v>
      </c>
      <c r="D29" s="1" t="s">
        <v>1437</v>
      </c>
      <c r="E29" s="1">
        <v>21</v>
      </c>
      <c r="F29" s="1" t="s">
        <v>2038</v>
      </c>
      <c r="G29" s="1" t="s">
        <v>2038</v>
      </c>
      <c r="H29" s="1" t="s">
        <v>2033</v>
      </c>
      <c r="I29" s="1" t="s">
        <v>2033</v>
      </c>
      <c r="J29" s="1" t="s">
        <v>2025</v>
      </c>
      <c r="K29" s="1" t="s">
        <v>2036</v>
      </c>
      <c r="L29" s="1">
        <v>4</v>
      </c>
      <c r="M29" s="1">
        <v>6</v>
      </c>
      <c r="N29" s="1">
        <v>5</v>
      </c>
      <c r="O29" s="1">
        <v>3</v>
      </c>
      <c r="P29" s="1">
        <v>2</v>
      </c>
      <c r="Q29" s="1">
        <v>5</v>
      </c>
      <c r="R29" s="1">
        <v>7</v>
      </c>
      <c r="S29" s="1">
        <v>8</v>
      </c>
      <c r="T29" s="1">
        <v>5</v>
      </c>
      <c r="U29" s="1">
        <v>4</v>
      </c>
      <c r="V29" s="1">
        <v>1</v>
      </c>
      <c r="W29" s="1">
        <v>5</v>
      </c>
      <c r="X29" s="1">
        <v>1</v>
      </c>
      <c r="Y29" s="1" t="s">
        <v>2027</v>
      </c>
      <c r="Z29" s="1" t="s">
        <v>2027</v>
      </c>
      <c r="AA29" s="1" t="s">
        <v>2027</v>
      </c>
      <c r="AB29" s="1" t="s">
        <v>2027</v>
      </c>
      <c r="AC29" s="1" t="s">
        <v>2027</v>
      </c>
      <c r="AD29" s="1">
        <v>4</v>
      </c>
      <c r="AE29" s="1">
        <v>2</v>
      </c>
      <c r="AF29" s="1">
        <v>7</v>
      </c>
      <c r="AG29" s="1">
        <v>8</v>
      </c>
      <c r="AH29" s="1">
        <v>9</v>
      </c>
      <c r="AI29" s="1">
        <v>6</v>
      </c>
      <c r="AJ29" s="52" t="s">
        <v>2029</v>
      </c>
      <c r="AK29" s="9">
        <f>($L$3*(L29-$Q$1)/$Q$2+$M$3*(M29-$R$1)/$R$2+$N$3*(N29-$S$1)/$S$2+$O$3*(O29-$T$1)/$T$2+$P$3*(P29-$U$1)/$U$2)/(SUM($L$3:$P$3))</f>
        <v>-0.3096950271941788</v>
      </c>
      <c r="AL29" s="9">
        <f>($L$3*(Q29-$Q$1)/$Q$2+$M$3*(R29-$R$1)/$R$2+$N$3*(S29-$S$1)/$S$2+$O$3*(T29-$T$1)/$T$2+$P$3*(U29-$U$1)/$U$2)/(SUM($L$3:$P$3))</f>
        <v>0.57255695035223286</v>
      </c>
      <c r="AM29">
        <f>IF(AVERAGE(AG29:AH29)&gt;9,1,0)+IF(AVERAGE(AG29:AH29)&gt;7,1,0)+IF(AG29&gt;7,1,0)+IF(AH29&gt;7,1,0)+IF(AI29&gt;8,1,0)+IF(AI29&gt;6,1,0)</f>
        <v>3</v>
      </c>
      <c r="AN29" s="6">
        <f>MIN(2,IF(OR(Y29="-",X29&lt;5),0,1+IF(Y29&gt;7,1+IF(X29&gt;7,0.25,0),IF(Y29&gt;4,0.5+IF(X29&gt;7,0.25,0),0+IF(X29&gt;7,0.25))))+IF(Z29="-",0,IF(Z29&gt;9,0.5,IF(Z29&gt;7,0.25,0)))+IF(AA29="-",0,IF(AA29&gt;7,1.1,IF(AA29&gt;4,0.6,0)))+IF(OR(AB29="-",V29&lt;5),0,IF(AB29&gt;7,1+IF(V29&gt;7,0.25,0),IF(AB29&gt;4,0.5+IF(V29&gt;7,0.25,0),0)))+IF(AC29="-",0,IF(AC29&gt;7,1.5,IF(AC29&gt;4,1,0)))+IF(AD29="-",0,IF(AD29&gt;9,0.5,IF(AD29&gt;7,0.25,0)))+IF(AE29="-",0,IF(AE29&gt;7,1.25,IF(AE29&gt;4,0.75,0)))+IF(OR(AF29="-",W29&lt;4),0,IF(AF29&gt;7,1+IF(W29&gt;7,0.15,0),IF(AF29&gt;4,0.5+IF(W29&gt;7,0.15,0),0))))</f>
        <v>0.5</v>
      </c>
      <c r="AO29" s="9">
        <f>($AK$3*AK29+$AL$3*AL29+$AM$3*AM29+$AN$3*AN29)+$J$3*VLOOKUP(J29,COND!$A$2:$C$7,2,FALSE)+$K$3*VLOOKUP(K29,COND!$A$2:$C$7,3,FALSE)</f>
        <v>18.089713901507377</v>
      </c>
      <c r="AP29" s="37">
        <f>STANDARDIZE(AO29,AVERAGE($AO$5:$AO$1295),STDEVP($AO$5:$AO$1295))</f>
        <v>1.0312586927396103</v>
      </c>
      <c r="AQ29" t="str">
        <f>IF(AND(Y29&lt;&gt;"-",X29&gt;1),"C",IF(AA29=MAX(AA29:AC29),"2B",IF(AC29=MAX(AA29:AC29),"SS",IF(OR(AB29=MAX(Z29:AC29),AND(AB29&lt;&gt;"-",AB29&gt;4,V29&gt;5)),"3B",IF(AE29=MAX(AD29:AF29),"CF",IF(AND(AF29=MAX(AD29,AF29),AND(W29&gt;5,AD29&lt;&gt;"-")),"RF",IF(AD29&lt;&gt;"-","LF",IF(Z29&lt;&gt;"-","1B","DH"))))))))</f>
        <v>LF</v>
      </c>
      <c r="AR29">
        <v>25</v>
      </c>
      <c r="AT29" t="s">
        <v>154</v>
      </c>
      <c r="AU29" t="str">
        <f>IF(AND($Q29&gt;=6,AVERAGE($S29:$T29)&gt;=6),"Likely",IF(OR($Q29&gt;6,AND($Q29=6,AVERAGE($S29:$T29)&gt;=3),AND($Q29&gt;=5,AVERAGE($S29:$T29)&gt;=5),AVERAGE($Q29,$S29:$T29)&gt;5),"Possible","Unlikely"))</f>
        <v>Possible</v>
      </c>
      <c r="AW29" t="str">
        <f>IF(VLOOKUP($B29,'Draft List'!$D$4:$AB$2598,AW$3,FALSE)&lt;&gt;0,VLOOKUP($B29,'Draft List'!$D$4:$AB$2598,AW$3,FALSE),"")</f>
        <v/>
      </c>
      <c r="AX29" t="str">
        <f>IF(VLOOKUP($B29,'Draft List'!$D$4:$AB$2598,AX$3,FALSE)&lt;&gt;0,VLOOKUP($B29,'Draft List'!$D$4:$AB$2598,AX$3,FALSE),"")</f>
        <v/>
      </c>
      <c r="AY29" t="str">
        <f>IF(VLOOKUP($B29,'Draft List'!$D$4:$AB$2598,AY$3,FALSE)&lt;&gt;0,VLOOKUP($B29,'Draft List'!$D$4:$AB$2598,AY$3,FALSE),"")</f>
        <v/>
      </c>
    </row>
    <row r="30" spans="1:51">
      <c r="A30" t="str">
        <f>IF(C30="C","C-",C30)&amp;D30&amp;E30</f>
        <v>2BLou Bell22</v>
      </c>
      <c r="B30">
        <f>VLOOKUP($A30,draft_listing_batters_stats!$A$1:$B$1324,2,FALSE)</f>
        <v>2812</v>
      </c>
      <c r="C30" s="1" t="s">
        <v>2069</v>
      </c>
      <c r="D30" s="1" t="s">
        <v>2098</v>
      </c>
      <c r="E30" s="1">
        <v>22</v>
      </c>
      <c r="F30" s="1" t="s">
        <v>2022</v>
      </c>
      <c r="G30" s="1" t="s">
        <v>2022</v>
      </c>
      <c r="H30" s="1" t="s">
        <v>2033</v>
      </c>
      <c r="I30" s="1" t="s">
        <v>2023</v>
      </c>
      <c r="J30" s="1" t="s">
        <v>2025</v>
      </c>
      <c r="K30" s="1" t="s">
        <v>2025</v>
      </c>
      <c r="L30" s="1">
        <v>5</v>
      </c>
      <c r="M30" s="1">
        <v>8</v>
      </c>
      <c r="N30" s="1">
        <v>2</v>
      </c>
      <c r="O30" s="1">
        <v>3</v>
      </c>
      <c r="P30" s="1">
        <v>5</v>
      </c>
      <c r="Q30" s="1">
        <v>7</v>
      </c>
      <c r="R30" s="1">
        <v>10</v>
      </c>
      <c r="S30" s="1">
        <v>4</v>
      </c>
      <c r="T30" s="1">
        <v>5</v>
      </c>
      <c r="U30" s="1">
        <v>7</v>
      </c>
      <c r="V30" s="1">
        <v>4</v>
      </c>
      <c r="W30" s="1">
        <v>1</v>
      </c>
      <c r="X30" s="1">
        <v>1</v>
      </c>
      <c r="Y30" s="1" t="s">
        <v>2027</v>
      </c>
      <c r="Z30" s="1">
        <v>6</v>
      </c>
      <c r="AA30" s="1">
        <v>5</v>
      </c>
      <c r="AB30" s="1">
        <v>3</v>
      </c>
      <c r="AC30" s="1">
        <v>2</v>
      </c>
      <c r="AD30" s="1" t="s">
        <v>2027</v>
      </c>
      <c r="AE30" s="1" t="s">
        <v>2027</v>
      </c>
      <c r="AF30" s="1" t="s">
        <v>2027</v>
      </c>
      <c r="AG30" s="1">
        <v>6</v>
      </c>
      <c r="AH30" s="1">
        <v>9</v>
      </c>
      <c r="AI30" s="1">
        <v>8</v>
      </c>
      <c r="AJ30" s="52" t="s">
        <v>2029</v>
      </c>
      <c r="AK30" s="9">
        <f>($L$3*(L30-$Q$1)/$Q$2+$M$3*(M30-$R$1)/$R$2+$N$3*(N30-$S$1)/$S$2+$O$3*(O30-$T$1)/$T$2+$P$3*(P30-$U$1)/$U$2)/(SUM($L$3:$P$3))</f>
        <v>-1.4154894374551294E-2</v>
      </c>
      <c r="AL30" s="9">
        <f>($L$3*(Q30-$Q$1)/$Q$2+$M$3*(R30-$R$1)/$R$2+$N$3*(S30-$S$1)/$S$2+$O$3*(T30-$T$1)/$T$2+$P$3*(U30-$U$1)/$U$2)/(SUM($L$3:$P$3))</f>
        <v>1.158651304969337</v>
      </c>
      <c r="AM30">
        <f>IF(AVERAGE(AG30:AH30)&gt;9,1,0)+IF(AVERAGE(AG30:AH30)&gt;7,1,0)+IF(AG30&gt;7,1,0)+IF(AH30&gt;7,1,0)+IF(AI30&gt;8,1,0)+IF(AI30&gt;6,1,0)</f>
        <v>3</v>
      </c>
      <c r="AN30" s="6">
        <f>MIN(2,IF(OR(Y30="-",X30&lt;5),0,1+IF(Y30&gt;7,1+IF(X30&gt;7,0.25,0),IF(Y30&gt;4,0.5+IF(X30&gt;7,0.25,0),0+IF(X30&gt;7,0.25))))+IF(Z30="-",0,IF(Z30&gt;9,0.5,IF(Z30&gt;7,0.25,0)))+IF(AA30="-",0,IF(AA30&gt;7,1.1,IF(AA30&gt;4,0.6,0)))+IF(OR(AB30="-",V30&lt;5),0,IF(AB30&gt;7,1+IF(V30&gt;7,0.25,0),IF(AB30&gt;4,0.5+IF(V30&gt;7,0.25,0),0)))+IF(AC30="-",0,IF(AC30&gt;7,1.5,IF(AC30&gt;4,1,0)))+IF(AD30="-",0,IF(AD30&gt;9,0.5,IF(AD30&gt;7,0.25,0)))+IF(AE30="-",0,IF(AE30&gt;7,1.25,IF(AE30&gt;4,0.75,0)))+IF(OR(AF30="-",W30&lt;4),0,IF(AF30&gt;7,1+IF(W30&gt;7,0.15,0),IF(AF30&gt;4,0.5+IF(W30&gt;7,0.15,0),0))))</f>
        <v>0.6</v>
      </c>
      <c r="AO30" s="9">
        <f>($AK$3*AK30+$AL$3*AL30+$AM$3*AM30+$AN$3*AN30)+$J$3*VLOOKUP(J30,COND!$A$2:$C$7,2,FALSE)+$K$3*VLOOKUP(K30,COND!$A$2:$C$7,3,FALSE)</f>
        <v>25.002400170194591</v>
      </c>
      <c r="AP30" s="37">
        <f>STANDARDIZE(AO30,AVERAGE($AO$5:$AO$1295),STDEVP($AO$5:$AO$1295))</f>
        <v>1.9915943204557836</v>
      </c>
      <c r="AQ30" t="str">
        <f>IF(AND(Y30&lt;&gt;"-",X30&gt;1),"C",IF(AA30=MAX(AA30:AC30),"2B",IF(AC30=MAX(AA30:AC30),"SS",IF(OR(AB30=MAX(Z30:AC30),AND(AB30&lt;&gt;"-",AB30&gt;4,V30&gt;5)),"3B",IF(AE30=MAX(AD30:AF30),"CF",IF(AND(AF30=MAX(AD30,AF30),AND(W30&gt;5,AD30&lt;&gt;"-")),"RF",IF(AD30&lt;&gt;"-","LF",IF(Z30&lt;&gt;"-","1B","DH"))))))))</f>
        <v>2B</v>
      </c>
      <c r="AR30">
        <v>26</v>
      </c>
      <c r="AT30" t="s">
        <v>158</v>
      </c>
      <c r="AU30" t="str">
        <f>IF(AND($Q30&gt;=6,AVERAGE($S30:$T30)&gt;=6),"Likely",IF(OR($Q30&gt;6,AND($Q30=6,AVERAGE($S30:$T30)&gt;=3),AND($Q30&gt;=5,AVERAGE($S30:$T30)&gt;=5),AVERAGE($Q30,$S30:$T30)&gt;5),"Possible","Unlikely"))</f>
        <v>Possible</v>
      </c>
      <c r="AW30" t="str">
        <f>IF(VLOOKUP($B30,'Draft List'!$D$4:$AB$2598,AW$3,FALSE)&lt;&gt;0,VLOOKUP($B30,'Draft List'!$D$4:$AB$2598,AW$3,FALSE),"")</f>
        <v/>
      </c>
      <c r="AX30" t="str">
        <f>IF(VLOOKUP($B30,'Draft List'!$D$4:$AB$2598,AX$3,FALSE)&lt;&gt;0,VLOOKUP($B30,'Draft List'!$D$4:$AB$2598,AX$3,FALSE),"")</f>
        <v/>
      </c>
      <c r="AY30" t="str">
        <f>IF(VLOOKUP($B30,'Draft List'!$D$4:$AB$2598,AY$3,FALSE)&lt;&gt;0,VLOOKUP($B30,'Draft List'!$D$4:$AB$2598,AY$3,FALSE),"")</f>
        <v/>
      </c>
    </row>
    <row r="31" spans="1:51">
      <c r="A31" t="str">
        <f>IF(C31="C","C-",C31)&amp;D31&amp;E31</f>
        <v>LFLuis González21</v>
      </c>
      <c r="B31" t="e">
        <f>VLOOKUP($A31,draft_listing_batters_stats!$A$1:$B$1324,2,FALSE)</f>
        <v>#N/A</v>
      </c>
      <c r="C31" s="1" t="s">
        <v>2035</v>
      </c>
      <c r="D31" s="1" t="s">
        <v>1438</v>
      </c>
      <c r="E31" s="1">
        <v>21</v>
      </c>
      <c r="F31" s="1" t="s">
        <v>2038</v>
      </c>
      <c r="G31" s="1" t="s">
        <v>2038</v>
      </c>
      <c r="H31" s="1" t="s">
        <v>2033</v>
      </c>
      <c r="I31" s="1" t="s">
        <v>2033</v>
      </c>
      <c r="J31" s="1" t="s">
        <v>2036</v>
      </c>
      <c r="K31" s="1" t="s">
        <v>2025</v>
      </c>
      <c r="L31" s="1">
        <v>5</v>
      </c>
      <c r="M31" s="1">
        <v>4</v>
      </c>
      <c r="N31" s="1">
        <v>2</v>
      </c>
      <c r="O31" s="1">
        <v>4</v>
      </c>
      <c r="P31" s="1">
        <v>3</v>
      </c>
      <c r="Q31" s="1">
        <v>7</v>
      </c>
      <c r="R31" s="1">
        <v>6</v>
      </c>
      <c r="S31" s="1">
        <v>4</v>
      </c>
      <c r="T31" s="1">
        <v>6</v>
      </c>
      <c r="U31" s="1">
        <v>7</v>
      </c>
      <c r="V31" s="1">
        <v>1</v>
      </c>
      <c r="W31" s="1">
        <v>9</v>
      </c>
      <c r="X31" s="1">
        <v>1</v>
      </c>
      <c r="Y31" s="1" t="s">
        <v>2027</v>
      </c>
      <c r="Z31" s="1" t="s">
        <v>2027</v>
      </c>
      <c r="AA31" s="1" t="s">
        <v>2027</v>
      </c>
      <c r="AB31" s="1" t="s">
        <v>2027</v>
      </c>
      <c r="AC31" s="1" t="s">
        <v>2027</v>
      </c>
      <c r="AD31" s="1">
        <v>9</v>
      </c>
      <c r="AE31" s="1">
        <v>4</v>
      </c>
      <c r="AF31" s="1">
        <v>4</v>
      </c>
      <c r="AG31" s="1">
        <v>8</v>
      </c>
      <c r="AH31" s="1">
        <v>4</v>
      </c>
      <c r="AI31" s="1">
        <v>3</v>
      </c>
      <c r="AJ31" s="52" t="s">
        <v>2029</v>
      </c>
      <c r="AK31" s="9">
        <f>($L$3*(L31-$Q$1)/$Q$2+$M$3*(M31-$R$1)/$R$2+$N$3*(N31-$S$1)/$S$2+$O$3*(O31-$T$1)/$T$2+$P$3*(P31-$U$1)/$U$2)/(SUM($L$3:$P$3))</f>
        <v>-0.20871754247395111</v>
      </c>
      <c r="AL31" s="9">
        <f>($L$3*(Q31-$Q$1)/$Q$2+$M$3*(R31-$R$1)/$R$2+$N$3*(S31-$S$1)/$S$2+$O$3*(T31-$T$1)/$T$2+$P$3*(U31-$U$1)/$U$2)/(SUM($L$3:$P$3))</f>
        <v>1.0441213365041042</v>
      </c>
      <c r="AM31">
        <f>IF(AVERAGE(AG31:AH31)&gt;9,1,0)+IF(AVERAGE(AG31:AH31)&gt;7,1,0)+IF(AG31&gt;7,1,0)+IF(AH31&gt;7,1,0)+IF(AI31&gt;8,1,0)+IF(AI31&gt;6,1,0)</f>
        <v>1</v>
      </c>
      <c r="AN31" s="6">
        <f>MIN(2,IF(OR(Y31="-",X31&lt;5),0,1+IF(Y31&gt;7,1+IF(X31&gt;7,0.25,0),IF(Y31&gt;4,0.5+IF(X31&gt;7,0.25,0),0+IF(X31&gt;7,0.25))))+IF(Z31="-",0,IF(Z31&gt;9,0.5,IF(Z31&gt;7,0.25,0)))+IF(AA31="-",0,IF(AA31&gt;7,1.1,IF(AA31&gt;4,0.6,0)))+IF(OR(AB31="-",V31&lt;5),0,IF(AB31&gt;7,1+IF(V31&gt;7,0.25,0),IF(AB31&gt;4,0.5+IF(V31&gt;7,0.25,0),0)))+IF(AC31="-",0,IF(AC31&gt;7,1.5,IF(AC31&gt;4,1,0)))+IF(AD31="-",0,IF(AD31&gt;9,0.5,IF(AD31&gt;7,0.25,0)))+IF(AE31="-",0,IF(AE31&gt;7,1.25,IF(AE31&gt;4,0.75,0)))+IF(OR(AF31="-",W31&lt;4),0,IF(AF31&gt;7,1+IF(W31&gt;7,0.15,0),IF(AF31&gt;4,0.5+IF(W31&gt;7,0.15,0),0))))</f>
        <v>0.25</v>
      </c>
      <c r="AO31" s="9">
        <f>($AK$3*AK31+$AL$3*AL31+$AM$3*AM31+$AN$3*AN31)+$J$3*VLOOKUP(J31,COND!$A$2:$C$7,2,FALSE)+$K$3*VLOOKUP(K31,COND!$A$2:$C$7,3,FALSE)</f>
        <v>23.175250950468524</v>
      </c>
      <c r="AP31" s="37">
        <f>STANDARDIZE(AO31,AVERAGE($AO$5:$AO$1295),STDEVP($AO$5:$AO$1295))</f>
        <v>1.7377600764796022</v>
      </c>
      <c r="AQ31" t="str">
        <f>IF(AND(Y31&lt;&gt;"-",X31&gt;1),"C",IF(AA31=MAX(AA31:AC31),"2B",IF(AC31=MAX(AA31:AC31),"SS",IF(OR(AB31=MAX(Z31:AC31),AND(AB31&lt;&gt;"-",AB31&gt;4,V31&gt;5)),"3B",IF(AE31=MAX(AD31:AF31),"CF",IF(AND(AF31=MAX(AD31,AF31),AND(W31&gt;5,AD31&lt;&gt;"-")),"RF",IF(AD31&lt;&gt;"-","LF",IF(Z31&lt;&gt;"-","1B","DH"))))))))</f>
        <v>LF</v>
      </c>
      <c r="AR31">
        <v>27</v>
      </c>
      <c r="AT31" t="s">
        <v>156</v>
      </c>
      <c r="AU31" t="str">
        <f>IF(AND($Q31&gt;=6,AVERAGE($S31:$T31)&gt;=6),"Likely",IF(OR($Q31&gt;6,AND($Q31=6,AVERAGE($S31:$T31)&gt;=3),AND($Q31&gt;=5,AVERAGE($S31:$T31)&gt;=5),AVERAGE($Q31,$S31:$T31)&gt;5),"Possible","Unlikely"))</f>
        <v>Possible</v>
      </c>
      <c r="AW31" t="e">
        <f>IF(VLOOKUP($B31,'Draft List'!$D$4:$AB$2598,AW$3,FALSE)&lt;&gt;0,VLOOKUP($B31,'Draft List'!$D$4:$AB$2598,AW$3,FALSE),"")</f>
        <v>#N/A</v>
      </c>
      <c r="AX31" t="e">
        <f>IF(VLOOKUP($B31,'Draft List'!$D$4:$AB$2598,AX$3,FALSE)&lt;&gt;0,VLOOKUP($B31,'Draft List'!$D$4:$AB$2598,AX$3,FALSE),"")</f>
        <v>#N/A</v>
      </c>
      <c r="AY31" t="e">
        <f>IF(VLOOKUP($B31,'Draft List'!$D$4:$AB$2598,AY$3,FALSE)&lt;&gt;0,VLOOKUP($B31,'Draft List'!$D$4:$AB$2598,AY$3,FALSE),"")</f>
        <v>#N/A</v>
      </c>
    </row>
    <row r="32" spans="1:51">
      <c r="A32" t="str">
        <f>IF(C32="C","C-",C32)&amp;D32&amp;E32</f>
        <v>3BManuel Rivera21</v>
      </c>
      <c r="B32">
        <f>VLOOKUP($A32,draft_listing_batters_stats!$A$1:$B$1324,2,FALSE)</f>
        <v>7639</v>
      </c>
      <c r="C32" s="1" t="s">
        <v>2061</v>
      </c>
      <c r="D32" s="1" t="s">
        <v>1203</v>
      </c>
      <c r="E32" s="1">
        <v>21</v>
      </c>
      <c r="F32" s="1" t="s">
        <v>2038</v>
      </c>
      <c r="G32" s="1" t="s">
        <v>2022</v>
      </c>
      <c r="H32" s="1" t="s">
        <v>2033</v>
      </c>
      <c r="I32" s="1" t="s">
        <v>2033</v>
      </c>
      <c r="J32" s="1" t="s">
        <v>2025</v>
      </c>
      <c r="K32" s="1" t="s">
        <v>2030</v>
      </c>
      <c r="L32" s="1">
        <v>5</v>
      </c>
      <c r="M32" s="1">
        <v>4</v>
      </c>
      <c r="N32" s="1">
        <v>4</v>
      </c>
      <c r="O32" s="1">
        <v>2</v>
      </c>
      <c r="P32" s="1">
        <v>2</v>
      </c>
      <c r="Q32" s="1">
        <v>5</v>
      </c>
      <c r="R32" s="1">
        <v>5</v>
      </c>
      <c r="S32" s="1">
        <v>6</v>
      </c>
      <c r="T32" s="1">
        <v>5</v>
      </c>
      <c r="U32" s="1">
        <v>4</v>
      </c>
      <c r="V32" s="1">
        <v>6</v>
      </c>
      <c r="W32" s="1">
        <v>1</v>
      </c>
      <c r="X32" s="1">
        <v>1</v>
      </c>
      <c r="Y32" s="1" t="s">
        <v>2027</v>
      </c>
      <c r="Z32" s="1">
        <v>6</v>
      </c>
      <c r="AA32" s="1" t="s">
        <v>2027</v>
      </c>
      <c r="AB32" s="1">
        <v>8</v>
      </c>
      <c r="AC32" s="1" t="s">
        <v>2027</v>
      </c>
      <c r="AD32" s="1" t="s">
        <v>2027</v>
      </c>
      <c r="AE32" s="1" t="s">
        <v>2027</v>
      </c>
      <c r="AF32" s="1" t="s">
        <v>2027</v>
      </c>
      <c r="AG32" s="1">
        <v>2</v>
      </c>
      <c r="AH32" s="1">
        <v>2</v>
      </c>
      <c r="AI32" s="1">
        <v>2</v>
      </c>
      <c r="AJ32" s="52" t="s">
        <v>2029</v>
      </c>
      <c r="AK32" s="9">
        <f>($L$3*(L32-$Q$1)/$Q$2+$M$3*(M32-$R$1)/$R$2+$N$3*(N32-$S$1)/$S$2+$O$3*(O32-$T$1)/$T$2+$P$3*(P32-$U$1)/$U$2)/(SUM($L$3:$P$3))</f>
        <v>-0.26202999426239365</v>
      </c>
      <c r="AL32" s="9">
        <f>($L$3*(Q32-$Q$1)/$Q$2+$M$3*(R32-$R$1)/$R$2+$N$3*(S32-$S$1)/$S$2+$O$3*(T32-$T$1)/$T$2+$P$3*(U32-$U$1)/$U$2)/(SUM($L$3:$P$3))</f>
        <v>0.30431420306702284</v>
      </c>
      <c r="AM32">
        <f>IF(AVERAGE(AG32:AH32)&gt;9,1,0)+IF(AVERAGE(AG32:AH32)&gt;7,1,0)+IF(AG32&gt;7,1,0)+IF(AH32&gt;7,1,0)+IF(AI32&gt;8,1,0)+IF(AI32&gt;6,1,0)</f>
        <v>0</v>
      </c>
      <c r="AN32" s="6">
        <f>MIN(2,IF(OR(Y32="-",X32&lt;5),0,1+IF(Y32&gt;7,1+IF(X32&gt;7,0.25,0),IF(Y32&gt;4,0.5+IF(X32&gt;7,0.25,0),0+IF(X32&gt;7,0.25))))+IF(Z32="-",0,IF(Z32&gt;9,0.5,IF(Z32&gt;7,0.25,0)))+IF(AA32="-",0,IF(AA32&gt;7,1.1,IF(AA32&gt;4,0.6,0)))+IF(OR(AB32="-",V32&lt;5),0,IF(AB32&gt;7,1+IF(V32&gt;7,0.25,0),IF(AB32&gt;4,0.5+IF(V32&gt;7,0.25,0),0)))+IF(AC32="-",0,IF(AC32&gt;7,1.5,IF(AC32&gt;4,1,0)))+IF(AD32="-",0,IF(AD32&gt;9,0.5,IF(AD32&gt;7,0.25,0)))+IF(AE32="-",0,IF(AE32&gt;7,1.25,IF(AE32&gt;4,0.75,0)))+IF(OR(AF32="-",W32&lt;4),0,IF(AF32&gt;7,1+IF(W32&gt;7,0.15,0),IF(AF32&gt;4,0.5+IF(W32&gt;7,0.15,0),0))))</f>
        <v>1</v>
      </c>
      <c r="AO32" s="9">
        <f>($AK$3*AK32+$AL$3*AL32+$AM$3*AM32+$AN$3*AN32)+$J$3*VLOOKUP(J32,COND!$A$2:$C$7,2,FALSE)+$K$3*VLOOKUP(K32,COND!$A$2:$C$7,3,FALSE)</f>
        <v>14.725567437378034</v>
      </c>
      <c r="AP32" s="37">
        <f>STANDARDIZE(AO32,AVERAGE($AO$5:$AO$1295),STDEVP($AO$5:$AO$1295))</f>
        <v>0.56389917709181858</v>
      </c>
      <c r="AQ32" t="str">
        <f>IF(AND(Y32&lt;&gt;"-",X32&gt;1),"C",IF(AA32=MAX(AA32:AC32),"2B",IF(AC32=MAX(AA32:AC32),"SS",IF(OR(AB32=MAX(Z32:AC32),AND(AB32&lt;&gt;"-",AB32&gt;4,V32&gt;5)),"3B",IF(AE32=MAX(AD32:AF32),"CF",IF(AND(AF32=MAX(AD32,AF32),AND(W32&gt;5,AD32&lt;&gt;"-")),"RF",IF(AD32&lt;&gt;"-","LF",IF(Z32&lt;&gt;"-","1B","DH"))))))))</f>
        <v>3B</v>
      </c>
      <c r="AR32">
        <v>28</v>
      </c>
      <c r="AT32" t="s">
        <v>155</v>
      </c>
      <c r="AU32" t="str">
        <f>IF(AND($Q32&gt;=6,AVERAGE($S32:$T32)&gt;=6),"Likely",IF(OR($Q32&gt;6,AND($Q32=6,AVERAGE($S32:$T32)&gt;=3),AND($Q32&gt;=5,AVERAGE($S32:$T32)&gt;=5),AVERAGE($Q32,$S32:$T32)&gt;5),"Possible","Unlikely"))</f>
        <v>Possible</v>
      </c>
      <c r="AW32" t="str">
        <f>IF(VLOOKUP($B32,'Draft List'!$D$4:$AB$2598,AW$3,FALSE)&lt;&gt;0,VLOOKUP($B32,'Draft List'!$D$4:$AB$2598,AW$3,FALSE),"")</f>
        <v/>
      </c>
      <c r="AX32" t="str">
        <f>IF(VLOOKUP($B32,'Draft List'!$D$4:$AB$2598,AX$3,FALSE)&lt;&gt;0,VLOOKUP($B32,'Draft List'!$D$4:$AB$2598,AX$3,FALSE),"")</f>
        <v/>
      </c>
      <c r="AY32" t="str">
        <f>IF(VLOOKUP($B32,'Draft List'!$D$4:$AB$2598,AY$3,FALSE)&lt;&gt;0,VLOOKUP($B32,'Draft List'!$D$4:$AB$2598,AY$3,FALSE),"")</f>
        <v/>
      </c>
    </row>
    <row r="33" spans="1:51">
      <c r="A33" t="str">
        <f>IF(C33="C","C-",C33)&amp;D33&amp;E33</f>
        <v>1BMarvin Williams21</v>
      </c>
      <c r="B33">
        <f>VLOOKUP($A33,draft_listing_batters_stats!$A$1:$B$1324,2,FALSE)</f>
        <v>7346</v>
      </c>
      <c r="C33" s="1" t="s">
        <v>2092</v>
      </c>
      <c r="D33" s="1" t="s">
        <v>1258</v>
      </c>
      <c r="E33" s="1">
        <v>21</v>
      </c>
      <c r="F33" s="1" t="s">
        <v>2022</v>
      </c>
      <c r="G33" s="1" t="s">
        <v>2022</v>
      </c>
      <c r="H33" s="1" t="s">
        <v>2033</v>
      </c>
      <c r="I33" s="1" t="s">
        <v>2033</v>
      </c>
      <c r="J33" s="1" t="s">
        <v>2026</v>
      </c>
      <c r="K33" s="1" t="s">
        <v>2030</v>
      </c>
      <c r="L33" s="1">
        <v>5</v>
      </c>
      <c r="M33" s="1">
        <v>4</v>
      </c>
      <c r="N33" s="1">
        <v>3</v>
      </c>
      <c r="O33" s="1">
        <v>2</v>
      </c>
      <c r="P33" s="1">
        <v>4</v>
      </c>
      <c r="Q33" s="1">
        <v>7</v>
      </c>
      <c r="R33" s="1">
        <v>6</v>
      </c>
      <c r="S33" s="1">
        <v>5</v>
      </c>
      <c r="T33" s="1">
        <v>5</v>
      </c>
      <c r="U33" s="1">
        <v>6</v>
      </c>
      <c r="V33" s="1">
        <v>3</v>
      </c>
      <c r="W33" s="1">
        <v>3</v>
      </c>
      <c r="X33" s="1">
        <v>1</v>
      </c>
      <c r="Y33" s="1" t="s">
        <v>2027</v>
      </c>
      <c r="Z33" s="1">
        <v>5</v>
      </c>
      <c r="AA33" s="1" t="s">
        <v>2027</v>
      </c>
      <c r="AB33" s="1" t="s">
        <v>2027</v>
      </c>
      <c r="AC33" s="1" t="s">
        <v>2027</v>
      </c>
      <c r="AD33" s="1" t="s">
        <v>2027</v>
      </c>
      <c r="AE33" s="1" t="s">
        <v>2027</v>
      </c>
      <c r="AF33" s="1" t="s">
        <v>2027</v>
      </c>
      <c r="AG33" s="1">
        <v>3</v>
      </c>
      <c r="AH33" s="1">
        <v>2</v>
      </c>
      <c r="AI33" s="1">
        <v>1</v>
      </c>
      <c r="AJ33" s="52" t="s">
        <v>2029</v>
      </c>
      <c r="AK33" s="9">
        <f>($L$3*(L33-$Q$1)/$Q$2+$M$3*(M33-$R$1)/$R$2+$N$3*(N33-$S$1)/$S$2+$O$3*(O33-$T$1)/$T$2+$P$3*(P33-$U$1)/$U$2)/(SUM($L$3:$P$3))</f>
        <v>-0.26505880865212822</v>
      </c>
      <c r="AL33" s="9">
        <f>($L$3*(Q33-$Q$1)/$Q$2+$M$3*(R33-$R$1)/$R$2+$N$3*(S33-$S$1)/$S$2+$O$3*(T33-$T$1)/$T$2+$P$3*(U33-$U$1)/$U$2)/(SUM($L$3:$P$3))</f>
        <v>0.99745694070134105</v>
      </c>
      <c r="AM33">
        <f>IF(AVERAGE(AG33:AH33)&gt;9,1,0)+IF(AVERAGE(AG33:AH33)&gt;7,1,0)+IF(AG33&gt;7,1,0)+IF(AH33&gt;7,1,0)+IF(AI33&gt;8,1,0)+IF(AI33&gt;6,1,0)</f>
        <v>0</v>
      </c>
      <c r="AN33" s="6">
        <f>MIN(2,IF(OR(Y33="-",X33&lt;5),0,1+IF(Y33&gt;7,1+IF(X33&gt;7,0.25,0),IF(Y33&gt;4,0.5+IF(X33&gt;7,0.25,0),0+IF(X33&gt;7,0.25))))+IF(Z33="-",0,IF(Z33&gt;9,0.5,IF(Z33&gt;7,0.25,0)))+IF(AA33="-",0,IF(AA33&gt;7,1.1,IF(AA33&gt;4,0.6,0)))+IF(OR(AB33="-",V33&lt;5),0,IF(AB33&gt;7,1+IF(V33&gt;7,0.25,0),IF(AB33&gt;4,0.5+IF(V33&gt;7,0.25,0),0)))+IF(AC33="-",0,IF(AC33&gt;7,1.5,IF(AC33&gt;4,1,0)))+IF(AD33="-",0,IF(AD33&gt;9,0.5,IF(AD33&gt;7,0.25,0)))+IF(AE33="-",0,IF(AE33&gt;7,1.25,IF(AE33&gt;4,0.75,0)))+IF(OR(AF33="-",W33&lt;4),0,IF(AF33&gt;7,1+IF(W33&gt;7,0.15,0),IF(AF33&gt;4,0.5+IF(W33&gt;7,0.15,0),0))))</f>
        <v>0</v>
      </c>
      <c r="AO33" s="9">
        <f>($AK$3*AK33+$AL$3*AL33+$AM$3*AM33+$AN$3*AN33)+$J$3*VLOOKUP(J33,COND!$A$2:$C$7,2,FALSE)+$K$3*VLOOKUP(K33,COND!$A$2:$C$7,3,FALSE)</f>
        <v>21.942977407550885</v>
      </c>
      <c r="AP33" s="37">
        <f>STANDARDIZE(AO33,AVERAGE($AO$5:$AO$1295),STDEVP($AO$5:$AO$1295))</f>
        <v>1.5665681345399918</v>
      </c>
      <c r="AQ33" t="str">
        <f>IF(AND(Y33&lt;&gt;"-",X33&gt;1),"C",IF(AA33=MAX(AA33:AC33),"2B",IF(AC33=MAX(AA33:AC33),"SS",IF(OR(AB33=MAX(Z33:AC33),AND(AB33&lt;&gt;"-",AB33&gt;4,V33&gt;5)),"3B",IF(AE33=MAX(AD33:AF33),"CF",IF(AND(AF33=MAX(AD33,AF33),AND(W33&gt;5,AD33&lt;&gt;"-")),"RF",IF(AD33&lt;&gt;"-","LF",IF(Z33&lt;&gt;"-","1B","DH"))))))))</f>
        <v>1B</v>
      </c>
      <c r="AR33">
        <v>29</v>
      </c>
      <c r="AT33" t="s">
        <v>157</v>
      </c>
      <c r="AU33" t="str">
        <f>IF(AND($Q33&gt;=6,AVERAGE($S33:$T33)&gt;=6),"Likely",IF(OR($Q33&gt;6,AND($Q33=6,AVERAGE($S33:$T33)&gt;=3),AND($Q33&gt;=5,AVERAGE($S33:$T33)&gt;=5),AVERAGE($Q33,$S33:$T33)&gt;5),"Possible","Unlikely"))</f>
        <v>Possible</v>
      </c>
      <c r="AW33" t="str">
        <f>IF(VLOOKUP($B33,'Draft List'!$D$4:$AB$2598,AW$3,FALSE)&lt;&gt;0,VLOOKUP($B33,'Draft List'!$D$4:$AB$2598,AW$3,FALSE),"")</f>
        <v/>
      </c>
      <c r="AX33" t="str">
        <f>IF(VLOOKUP($B33,'Draft List'!$D$4:$AB$2598,AX$3,FALSE)&lt;&gt;0,VLOOKUP($B33,'Draft List'!$D$4:$AB$2598,AX$3,FALSE),"")</f>
        <v/>
      </c>
      <c r="AY33" t="str">
        <f>IF(VLOOKUP($B33,'Draft List'!$D$4:$AB$2598,AY$3,FALSE)&lt;&gt;0,VLOOKUP($B33,'Draft List'!$D$4:$AB$2598,AY$3,FALSE),"")</f>
        <v/>
      </c>
    </row>
    <row r="34" spans="1:51">
      <c r="A34" t="str">
        <f>IF(C34="C","C-",C34)&amp;D34&amp;E34</f>
        <v>C-Jessie Kimball18</v>
      </c>
      <c r="B34">
        <f>VLOOKUP($A34,draft_listing_batters_stats!$A$1:$B$1324,2,FALSE)</f>
        <v>13832</v>
      </c>
      <c r="C34" s="1" t="s">
        <v>2091</v>
      </c>
      <c r="D34" s="1" t="s">
        <v>1441</v>
      </c>
      <c r="E34" s="1">
        <v>18</v>
      </c>
      <c r="F34" s="1" t="s">
        <v>2022</v>
      </c>
      <c r="G34" s="1" t="s">
        <v>2022</v>
      </c>
      <c r="H34" s="1" t="s">
        <v>2033</v>
      </c>
      <c r="I34" s="1" t="s">
        <v>2033</v>
      </c>
      <c r="J34" s="1" t="s">
        <v>2025</v>
      </c>
      <c r="K34" s="1" t="s">
        <v>2025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5</v>
      </c>
      <c r="R34" s="1">
        <v>7</v>
      </c>
      <c r="S34" s="1">
        <v>9</v>
      </c>
      <c r="T34" s="1">
        <v>4</v>
      </c>
      <c r="U34" s="1">
        <v>4</v>
      </c>
      <c r="V34" s="1">
        <v>8</v>
      </c>
      <c r="W34" s="1">
        <v>8</v>
      </c>
      <c r="X34" s="1">
        <v>7</v>
      </c>
      <c r="Y34" s="1">
        <v>3</v>
      </c>
      <c r="Z34" s="1">
        <v>1</v>
      </c>
      <c r="AA34" s="1" t="s">
        <v>2027</v>
      </c>
      <c r="AB34" s="1" t="s">
        <v>2027</v>
      </c>
      <c r="AC34" s="1" t="s">
        <v>2027</v>
      </c>
      <c r="AD34" s="1" t="s">
        <v>2027</v>
      </c>
      <c r="AE34" s="1" t="s">
        <v>2027</v>
      </c>
      <c r="AF34" s="1" t="s">
        <v>2027</v>
      </c>
      <c r="AG34" s="1">
        <v>6</v>
      </c>
      <c r="AH34" s="1">
        <v>1</v>
      </c>
      <c r="AI34" s="1">
        <v>1</v>
      </c>
      <c r="AJ34" s="52" t="s">
        <v>2029</v>
      </c>
      <c r="AK34" s="9">
        <f>($L$3*(L34-$Q$1)/$Q$2+$M$3*(M34-$R$1)/$R$2+$N$3*(N34-$S$1)/$S$2+$O$3*(O34-$T$1)/$T$2+$P$3*(P34-$U$1)/$U$2)/(SUM($L$3:$P$3))</f>
        <v>-2.0843433498275723</v>
      </c>
      <c r="AL34" s="9">
        <f>($L$3*(Q34-$Q$1)/$Q$2+$M$3*(R34-$R$1)/$R$2+$N$3*(S34-$S$1)/$S$2+$O$3*(T34-$T$1)/$T$2+$P$3*(U34-$U$1)/$U$2)/(SUM($L$3:$P$3))</f>
        <v>0.56590889436655334</v>
      </c>
      <c r="AM34">
        <f>IF(AVERAGE(AG34:AH34)&gt;9,1,0)+IF(AVERAGE(AG34:AH34)&gt;7,1,0)+IF(AG34&gt;7,1,0)+IF(AH34&gt;7,1,0)+IF(AI34&gt;8,1,0)+IF(AI34&gt;6,1,0)</f>
        <v>0</v>
      </c>
      <c r="AN34" s="6">
        <f>MIN(2,IF(OR(Y34="-",X34&lt;5),0,1+IF(Y34&gt;7,1+IF(X34&gt;7,0.25,0),IF(Y34&gt;4,0.5+IF(X34&gt;7,0.25,0),0+IF(X34&gt;7,0.25))))+IF(Z34="-",0,IF(Z34&gt;9,0.5,IF(Z34&gt;7,0.25,0)))+IF(AA34="-",0,IF(AA34&gt;7,1.1,IF(AA34&gt;4,0.6,0)))+IF(OR(AB34="-",V34&lt;5),0,IF(AB34&gt;7,1+IF(V34&gt;7,0.25,0),IF(AB34&gt;4,0.5+IF(V34&gt;7,0.25,0),0)))+IF(AC34="-",0,IF(AC34&gt;7,1.5,IF(AC34&gt;4,1,0)))+IF(AD34="-",0,IF(AD34&gt;9,0.5,IF(AD34&gt;7,0.25,0)))+IF(AE34="-",0,IF(AE34&gt;7,1.25,IF(AE34&gt;4,0.75,0)))+IF(OR(AF34="-",W34&lt;4),0,IF(AF34&gt;7,1+IF(W34&gt;7,0.15,0),IF(AF34&gt;4,0.5+IF(W34&gt;7,0.15,0),0))))</f>
        <v>1</v>
      </c>
      <c r="AO34" s="9">
        <f>($AK$3*AK34+$AL$3*AL34+$AM$3*AM34+$AN$3*AN34)+$J$3*VLOOKUP(J34,COND!$A$2:$C$7,2,FALSE)+$K$3*VLOOKUP(K34,COND!$A$2:$C$7,3,FALSE)</f>
        <v>17.582472397415884</v>
      </c>
      <c r="AP34" s="37">
        <f>STANDARDIZE(AO34,AVERAGE($AO$5:$AO$1295),STDEVP($AO$5:$AO$1295))</f>
        <v>0.9607908500947121</v>
      </c>
      <c r="AQ34" t="str">
        <f>IF(AND(Y34&lt;&gt;"-",X34&gt;1),"C",IF(AA34=MAX(AA34:AC34),"2B",IF(AC34=MAX(AA34:AC34),"SS",IF(OR(AB34=MAX(Z34:AC34),AND(AB34&lt;&gt;"-",AB34&gt;4,V34&gt;5)),"3B",IF(AE34=MAX(AD34:AF34),"CF",IF(AND(AF34=MAX(AD34,AF34),AND(W34&gt;5,AD34&lt;&gt;"-")),"RF",IF(AD34&lt;&gt;"-","LF",IF(Z34&lt;&gt;"-","1B","DH"))))))))</f>
        <v>C</v>
      </c>
      <c r="AR34">
        <v>30</v>
      </c>
      <c r="AT34" t="s">
        <v>157</v>
      </c>
      <c r="AU34" t="str">
        <f>IF(AND($Q34&gt;=6,AVERAGE($S34:$T34)&gt;=6),"Likely",IF(OR($Q34&gt;6,AND($Q34=6,AVERAGE($S34:$T34)&gt;=3),AND($Q34&gt;=5,AVERAGE($S34:$T34)&gt;=5),AVERAGE($Q34,$S34:$T34)&gt;5),"Possible","Unlikely"))</f>
        <v>Possible</v>
      </c>
      <c r="AW34" t="str">
        <f>IF(VLOOKUP($B34,'Draft List'!$D$4:$AB$2598,AW$3,FALSE)&lt;&gt;0,VLOOKUP($B34,'Draft List'!$D$4:$AB$2598,AW$3,FALSE),"")</f>
        <v/>
      </c>
      <c r="AX34" t="str">
        <f>IF(VLOOKUP($B34,'Draft List'!$D$4:$AB$2598,AX$3,FALSE)&lt;&gt;0,VLOOKUP($B34,'Draft List'!$D$4:$AB$2598,AX$3,FALSE),"")</f>
        <v/>
      </c>
      <c r="AY34" t="str">
        <f>IF(VLOOKUP($B34,'Draft List'!$D$4:$AB$2598,AY$3,FALSE)&lt;&gt;0,VLOOKUP($B34,'Draft List'!$D$4:$AB$2598,AY$3,FALSE),"")</f>
        <v/>
      </c>
    </row>
    <row r="35" spans="1:51">
      <c r="A35" t="str">
        <f>IF(C35="C","C-",C35)&amp;D35&amp;E35</f>
        <v>C-Ted Maxwell21</v>
      </c>
      <c r="B35">
        <f>VLOOKUP($A35,draft_listing_batters_stats!$A$1:$B$1324,2,FALSE)</f>
        <v>9278</v>
      </c>
      <c r="C35" s="1" t="s">
        <v>2091</v>
      </c>
      <c r="D35" s="1" t="s">
        <v>1360</v>
      </c>
      <c r="E35" s="1">
        <v>21</v>
      </c>
      <c r="F35" s="1" t="s">
        <v>2022</v>
      </c>
      <c r="G35" s="1" t="s">
        <v>2022</v>
      </c>
      <c r="H35" s="1" t="s">
        <v>2033</v>
      </c>
      <c r="I35" s="1" t="s">
        <v>2033</v>
      </c>
      <c r="J35" s="1" t="s">
        <v>2025</v>
      </c>
      <c r="K35" s="1" t="s">
        <v>2025</v>
      </c>
      <c r="L35" s="1">
        <v>5</v>
      </c>
      <c r="M35" s="1">
        <v>3</v>
      </c>
      <c r="N35" s="1">
        <v>1</v>
      </c>
      <c r="O35" s="1">
        <v>2</v>
      </c>
      <c r="P35" s="1">
        <v>2</v>
      </c>
      <c r="Q35" s="1">
        <v>7</v>
      </c>
      <c r="R35" s="1">
        <v>4</v>
      </c>
      <c r="S35" s="1">
        <v>1</v>
      </c>
      <c r="T35" s="1">
        <v>4</v>
      </c>
      <c r="U35" s="1">
        <v>6</v>
      </c>
      <c r="V35" s="1">
        <v>6</v>
      </c>
      <c r="W35" s="1">
        <v>5</v>
      </c>
      <c r="X35" s="1">
        <v>6</v>
      </c>
      <c r="Y35" s="1">
        <v>5</v>
      </c>
      <c r="Z35" s="1">
        <v>2</v>
      </c>
      <c r="AA35" s="1" t="s">
        <v>2027</v>
      </c>
      <c r="AB35" s="1" t="s">
        <v>2027</v>
      </c>
      <c r="AC35" s="1" t="s">
        <v>2027</v>
      </c>
      <c r="AD35" s="1" t="s">
        <v>2027</v>
      </c>
      <c r="AE35" s="1" t="s">
        <v>2027</v>
      </c>
      <c r="AF35" s="1" t="s">
        <v>2027</v>
      </c>
      <c r="AG35" s="1">
        <v>1</v>
      </c>
      <c r="AH35" s="1">
        <v>3</v>
      </c>
      <c r="AI35" s="1">
        <v>1</v>
      </c>
      <c r="AJ35" s="52" t="s">
        <v>2029</v>
      </c>
      <c r="AK35" s="9">
        <f>($L$3*(L35-$Q$1)/$Q$2+$M$3*(M35-$R$1)/$R$2+$N$3*(N35-$S$1)/$S$2+$O$3*(O35-$T$1)/$T$2+$P$3*(P35-$U$1)/$U$2)/(SUM($L$3:$P$3))</f>
        <v>-0.56227435595280173</v>
      </c>
      <c r="AL35" s="9">
        <f>($L$3*(Q35-$Q$1)/$Q$2+$M$3*(R35-$R$1)/$R$2+$N$3*(S35-$S$1)/$S$2+$O$3*(T35-$T$1)/$T$2+$P$3*(U35-$U$1)/$U$2)/(SUM($L$3:$P$3))</f>
        <v>0.47338165535874716</v>
      </c>
      <c r="AM35">
        <f>IF(AVERAGE(AG35:AH35)&gt;9,1,0)+IF(AVERAGE(AG35:AH35)&gt;7,1,0)+IF(AG35&gt;7,1,0)+IF(AH35&gt;7,1,0)+IF(AI35&gt;8,1,0)+IF(AI35&gt;6,1,0)</f>
        <v>0</v>
      </c>
      <c r="AN35" s="6">
        <f>MIN(2,IF(OR(Y35="-",X35&lt;5),0,1+IF(Y35&gt;7,1+IF(X35&gt;7,0.25,0),IF(Y35&gt;4,0.5+IF(X35&gt;7,0.25,0),0+IF(X35&gt;7,0.25))))+IF(Z35="-",0,IF(Z35&gt;9,0.5,IF(Z35&gt;7,0.25,0)))+IF(AA35="-",0,IF(AA35&gt;7,1.1,IF(AA35&gt;4,0.6,0)))+IF(OR(AB35="-",V35&lt;5),0,IF(AB35&gt;7,1+IF(V35&gt;7,0.25,0),IF(AB35&gt;4,0.5+IF(V35&gt;7,0.25,0),0)))+IF(AC35="-",0,IF(AC35&gt;7,1.5,IF(AC35&gt;4,1,0)))+IF(AD35="-",0,IF(AD35&gt;9,0.5,IF(AD35&gt;7,0.25,0)))+IF(AE35="-",0,IF(AE35&gt;7,1.25,IF(AE35&gt;4,0.75,0)))+IF(OR(AF35="-",W35&lt;4),0,IF(AF35&gt;7,1+IF(W35&gt;7,0.15,0),IF(AF35&gt;4,0.5+IF(W35&gt;7,0.15,0),0))))</f>
        <v>1.5</v>
      </c>
      <c r="AO35" s="9">
        <f>($AK$3*AK35+$AL$3*AL35+$AM$3*AM35+$AN$3*AN35)+$J$3*VLOOKUP(J35,COND!$A$2:$C$7,2,FALSE)+$K$3*VLOOKUP(K35,COND!$A$2:$C$7,3,FALSE)</f>
        <v>17.124352428709685</v>
      </c>
      <c r="AP35" s="37">
        <f>STANDARDIZE(AO35,AVERAGE($AO$5:$AO$1295),STDEVP($AO$5:$AO$1295))</f>
        <v>0.89714715058101602</v>
      </c>
      <c r="AQ35" t="str">
        <f>IF(AND(Y35&lt;&gt;"-",X35&gt;1),"C",IF(AA35=MAX(AA35:AC35),"2B",IF(AC35=MAX(AA35:AC35),"SS",IF(OR(AB35=MAX(Z35:AC35),AND(AB35&lt;&gt;"-",AB35&gt;4,V35&gt;5)),"3B",IF(AE35=MAX(AD35:AF35),"CF",IF(AND(AF35=MAX(AD35,AF35),AND(W35&gt;5,AD35&lt;&gt;"-")),"RF",IF(AD35&lt;&gt;"-","LF",IF(Z35&lt;&gt;"-","1B","DH"))))))))</f>
        <v>C</v>
      </c>
      <c r="AR35">
        <v>31</v>
      </c>
      <c r="AT35" t="s">
        <v>36</v>
      </c>
      <c r="AU35" t="str">
        <f>IF(AND($Q35&gt;=6,AVERAGE($S35:$T35)&gt;=6),"Likely",IF(OR($Q35&gt;6,AND($Q35=6,AVERAGE($S35:$T35)&gt;=3),AND($Q35&gt;=5,AVERAGE($S35:$T35)&gt;=5),AVERAGE($Q35,$S35:$T35)&gt;5),"Possible","Unlikely"))</f>
        <v>Possible</v>
      </c>
      <c r="AW35" t="str">
        <f>IF(VLOOKUP($B35,'Draft List'!$D$4:$AB$2598,AW$3,FALSE)&lt;&gt;0,VLOOKUP($B35,'Draft List'!$D$4:$AB$2598,AW$3,FALSE),"")</f>
        <v/>
      </c>
      <c r="AX35" t="str">
        <f>IF(VLOOKUP($B35,'Draft List'!$D$4:$AB$2598,AX$3,FALSE)&lt;&gt;0,VLOOKUP($B35,'Draft List'!$D$4:$AB$2598,AX$3,FALSE),"")</f>
        <v/>
      </c>
      <c r="AY35" t="str">
        <f>IF(VLOOKUP($B35,'Draft List'!$D$4:$AB$2598,AY$3,FALSE)&lt;&gt;0,VLOOKUP($B35,'Draft List'!$D$4:$AB$2598,AY$3,FALSE),"")</f>
        <v/>
      </c>
    </row>
    <row r="36" spans="1:51">
      <c r="A36" t="str">
        <f>IF(C36="C","C-",C36)&amp;D36&amp;E36</f>
        <v>SSStan Phillips22</v>
      </c>
      <c r="B36">
        <f>VLOOKUP($A36,draft_listing_batters_stats!$A$1:$B$1324,2,FALSE)</f>
        <v>2305</v>
      </c>
      <c r="C36" s="1" t="s">
        <v>2074</v>
      </c>
      <c r="D36" s="1" t="s">
        <v>2075</v>
      </c>
      <c r="E36" s="1">
        <v>22</v>
      </c>
      <c r="F36" s="1" t="s">
        <v>2022</v>
      </c>
      <c r="G36" s="1" t="s">
        <v>2022</v>
      </c>
      <c r="H36" s="1" t="s">
        <v>2033</v>
      </c>
      <c r="I36" s="1" t="s">
        <v>2033</v>
      </c>
      <c r="J36" s="1" t="s">
        <v>2036</v>
      </c>
      <c r="K36" s="1" t="s">
        <v>2030</v>
      </c>
      <c r="L36" s="1">
        <v>4</v>
      </c>
      <c r="M36" s="1">
        <v>3</v>
      </c>
      <c r="N36" s="1">
        <v>3</v>
      </c>
      <c r="O36" s="1">
        <v>2</v>
      </c>
      <c r="P36" s="1">
        <v>2</v>
      </c>
      <c r="Q36" s="1">
        <v>5</v>
      </c>
      <c r="R36" s="1">
        <v>4</v>
      </c>
      <c r="S36" s="1">
        <v>7</v>
      </c>
      <c r="T36" s="1">
        <v>4</v>
      </c>
      <c r="U36" s="1">
        <v>4</v>
      </c>
      <c r="V36" s="1">
        <v>7</v>
      </c>
      <c r="W36" s="1">
        <v>5</v>
      </c>
      <c r="X36" s="1">
        <v>1</v>
      </c>
      <c r="Y36" s="1" t="s">
        <v>2027</v>
      </c>
      <c r="Z36" s="1" t="s">
        <v>2027</v>
      </c>
      <c r="AA36" s="1" t="s">
        <v>2027</v>
      </c>
      <c r="AB36" s="1" t="s">
        <v>2027</v>
      </c>
      <c r="AC36" s="1">
        <v>6</v>
      </c>
      <c r="AD36" s="1" t="s">
        <v>2027</v>
      </c>
      <c r="AE36" s="1" t="s">
        <v>2027</v>
      </c>
      <c r="AF36" s="1" t="s">
        <v>2027</v>
      </c>
      <c r="AG36" s="1">
        <v>10</v>
      </c>
      <c r="AH36" s="1">
        <v>8</v>
      </c>
      <c r="AI36" s="1">
        <v>8</v>
      </c>
      <c r="AJ36" s="52" t="s">
        <v>2029</v>
      </c>
      <c r="AK36" s="9">
        <f>($L$3*(L36-$Q$1)/$Q$2+$M$3*(M36-$R$1)/$R$2+$N$3*(N36-$S$1)/$S$2+$O$3*(O36-$T$1)/$T$2+$P$3*(P36-$U$1)/$U$2)/(SUM($L$3:$P$3))</f>
        <v>-0.7187072041076733</v>
      </c>
      <c r="AL36" s="9">
        <f>($L$3*(Q36-$Q$1)/$Q$2+$M$3*(R36-$R$1)/$R$2+$N$3*(S36-$S$1)/$S$2+$O$3*(T36-$T$1)/$T$2+$P$3*(U36-$U$1)/$U$2)/(SUM($L$3:$P$3))</f>
        <v>0.24660626746263983</v>
      </c>
      <c r="AM36">
        <f>IF(AVERAGE(AG36:AH36)&gt;9,1,0)+IF(AVERAGE(AG36:AH36)&gt;7,1,0)+IF(AG36&gt;7,1,0)+IF(AH36&gt;7,1,0)+IF(AI36&gt;8,1,0)+IF(AI36&gt;6,1,0)</f>
        <v>4</v>
      </c>
      <c r="AN36" s="6">
        <f>MIN(2,IF(OR(Y36="-",X36&lt;5),0,1+IF(Y36&gt;7,1+IF(X36&gt;7,0.25,0),IF(Y36&gt;4,0.5+IF(X36&gt;7,0.25,0),0+IF(X36&gt;7,0.25))))+IF(Z36="-",0,IF(Z36&gt;9,0.5,IF(Z36&gt;7,0.25,0)))+IF(AA36="-",0,IF(AA36&gt;7,1.1,IF(AA36&gt;4,0.6,0)))+IF(OR(AB36="-",V36&lt;5),0,IF(AB36&gt;7,1+IF(V36&gt;7,0.25,0),IF(AB36&gt;4,0.5+IF(V36&gt;7,0.25,0),0)))+IF(AC36="-",0,IF(AC36&gt;7,1.5,IF(AC36&gt;4,1,0)))+IF(AD36="-",0,IF(AD36&gt;9,0.5,IF(AD36&gt;7,0.25,0)))+IF(AE36="-",0,IF(AE36&gt;7,1.25,IF(AE36&gt;4,0.75,0)))+IF(OR(AF36="-",W36&lt;4),0,IF(AF36&gt;7,1+IF(W36&gt;7,0.15,0),IF(AF36&gt;4,0.5+IF(W36&gt;7,0.15,0),0))))</f>
        <v>1</v>
      </c>
      <c r="AO36" s="9">
        <f>($AK$3*AK36+$AL$3*AL36+$AM$3*AM36+$AN$3*AN36)+$J$3*VLOOKUP(J36,COND!$A$2:$C$7,2,FALSE)+$K$3*VLOOKUP(K36,COND!$A$2:$C$7,3,FALSE)</f>
        <v>14.904071155807577</v>
      </c>
      <c r="AP36" s="37">
        <f>STANDARDIZE(AO36,AVERAGE($AO$5:$AO$1295),STDEVP($AO$5:$AO$1295))</f>
        <v>0.58869756571017851</v>
      </c>
      <c r="AQ36" t="str">
        <f>IF(AND(Y36&lt;&gt;"-",X36&gt;1),"C",IF(AA36=MAX(AA36:AC36),"2B",IF(AC36=MAX(AA36:AC36),"SS",IF(OR(AB36=MAX(Z36:AC36),AND(AB36&lt;&gt;"-",AB36&gt;4,V36&gt;5)),"3B",IF(AE36=MAX(AD36:AF36),"CF",IF(AND(AF36=MAX(AD36,AF36),AND(W36&gt;5,AD36&lt;&gt;"-")),"RF",IF(AD36&lt;&gt;"-","LF",IF(Z36&lt;&gt;"-","1B","DH"))))))))</f>
        <v>SS</v>
      </c>
      <c r="AR36">
        <v>32</v>
      </c>
      <c r="AT36" t="s">
        <v>158</v>
      </c>
      <c r="AU36" t="str">
        <f>IF(AND($Q36&gt;=6,AVERAGE($S36:$T36)&gt;=6),"Likely",IF(OR($Q36&gt;6,AND($Q36=6,AVERAGE($S36:$T36)&gt;=3),AND($Q36&gt;=5,AVERAGE($S36:$T36)&gt;=5),AVERAGE($Q36,$S36:$T36)&gt;5),"Possible","Unlikely"))</f>
        <v>Possible</v>
      </c>
      <c r="AW36" t="str">
        <f>IF(VLOOKUP($B36,'Draft List'!$D$4:$AB$2598,AW$3,FALSE)&lt;&gt;0,VLOOKUP($B36,'Draft List'!$D$4:$AB$2598,AW$3,FALSE),"")</f>
        <v/>
      </c>
      <c r="AX36" t="str">
        <f>IF(VLOOKUP($B36,'Draft List'!$D$4:$AB$2598,AX$3,FALSE)&lt;&gt;0,VLOOKUP($B36,'Draft List'!$D$4:$AB$2598,AX$3,FALSE),"")</f>
        <v/>
      </c>
      <c r="AY36" t="str">
        <f>IF(VLOOKUP($B36,'Draft List'!$D$4:$AB$2598,AY$3,FALSE)&lt;&gt;0,VLOOKUP($B36,'Draft List'!$D$4:$AB$2598,AY$3,FALSE),"")</f>
        <v/>
      </c>
    </row>
    <row r="37" spans="1:51">
      <c r="A37" t="str">
        <f>IF(C37="C","C-",C37)&amp;D37&amp;E37</f>
        <v>RFErnesto León21</v>
      </c>
      <c r="B37" t="e">
        <f>VLOOKUP($A37,draft_listing_batters_stats!$A$1:$B$1324,2,FALSE)</f>
        <v>#N/A</v>
      </c>
      <c r="C37" s="1" t="s">
        <v>2057</v>
      </c>
      <c r="D37" s="1" t="s">
        <v>1434</v>
      </c>
      <c r="E37" s="1">
        <v>21</v>
      </c>
      <c r="F37" s="1" t="s">
        <v>2022</v>
      </c>
      <c r="G37" s="1" t="s">
        <v>2022</v>
      </c>
      <c r="H37" s="1" t="s">
        <v>2033</v>
      </c>
      <c r="I37" s="1" t="s">
        <v>2023</v>
      </c>
      <c r="J37" s="1" t="s">
        <v>2025</v>
      </c>
      <c r="K37" s="1" t="s">
        <v>2030</v>
      </c>
      <c r="L37" s="1">
        <v>3</v>
      </c>
      <c r="M37" s="1">
        <v>2</v>
      </c>
      <c r="N37" s="1">
        <v>2</v>
      </c>
      <c r="O37" s="1">
        <v>3</v>
      </c>
      <c r="P37" s="1">
        <v>3</v>
      </c>
      <c r="Q37" s="1">
        <v>6</v>
      </c>
      <c r="R37" s="1">
        <v>3</v>
      </c>
      <c r="S37" s="1">
        <v>7</v>
      </c>
      <c r="T37" s="1">
        <v>6</v>
      </c>
      <c r="U37" s="1">
        <v>5</v>
      </c>
      <c r="V37" s="1">
        <v>1</v>
      </c>
      <c r="W37" s="1">
        <v>8</v>
      </c>
      <c r="X37" s="1">
        <v>1</v>
      </c>
      <c r="Y37" s="1" t="s">
        <v>2027</v>
      </c>
      <c r="Z37" s="1" t="s">
        <v>2027</v>
      </c>
      <c r="AA37" s="1" t="s">
        <v>2027</v>
      </c>
      <c r="AB37" s="1" t="s">
        <v>2027</v>
      </c>
      <c r="AC37" s="1" t="s">
        <v>2027</v>
      </c>
      <c r="AD37" s="1">
        <v>7</v>
      </c>
      <c r="AE37" s="1">
        <v>4</v>
      </c>
      <c r="AF37" s="1">
        <v>9</v>
      </c>
      <c r="AG37" s="1">
        <v>9</v>
      </c>
      <c r="AH37" s="1">
        <v>9</v>
      </c>
      <c r="AI37" s="1">
        <v>10</v>
      </c>
      <c r="AJ37" s="52" t="s">
        <v>2029</v>
      </c>
      <c r="AK37" s="9">
        <f>($L$3*(L37-$Q$1)/$Q$2+$M$3*(M37-$R$1)/$R$2+$N$3*(N37-$S$1)/$S$2+$O$3*(O37-$T$1)/$T$2+$P$3*(P37-$U$1)/$U$2)/(SUM($L$3:$P$3))</f>
        <v>-1.0456585241262888</v>
      </c>
      <c r="AL37" s="9">
        <f>($L$3*(Q37-$Q$1)/$Q$2+$M$3*(R37-$R$1)/$R$2+$N$3*(S37-$S$1)/$S$2+$O$3*(T37-$T$1)/$T$2+$P$3*(U37-$U$1)/$U$2)/(SUM($L$3:$P$3))</f>
        <v>0.73753766388285669</v>
      </c>
      <c r="AM37">
        <f>IF(AVERAGE(AG37:AH37)&gt;9,1,0)+IF(AVERAGE(AG37:AH37)&gt;7,1,0)+IF(AG37&gt;7,1,0)+IF(AH37&gt;7,1,0)+IF(AI37&gt;8,1,0)+IF(AI37&gt;6,1,0)</f>
        <v>5</v>
      </c>
      <c r="AN37" s="6">
        <f>MIN(2,IF(OR(Y37="-",X37&lt;5),0,1+IF(Y37&gt;7,1+IF(X37&gt;7,0.25,0),IF(Y37&gt;4,0.5+IF(X37&gt;7,0.25,0),0+IF(X37&gt;7,0.25))))+IF(Z37="-",0,IF(Z37&gt;9,0.5,IF(Z37&gt;7,0.25,0)))+IF(AA37="-",0,IF(AA37&gt;7,1.1,IF(AA37&gt;4,0.6,0)))+IF(OR(AB37="-",V37&lt;5),0,IF(AB37&gt;7,1+IF(V37&gt;7,0.25,0),IF(AB37&gt;4,0.5+IF(V37&gt;7,0.25,0),0)))+IF(AC37="-",0,IF(AC37&gt;7,1.5,IF(AC37&gt;4,1,0)))+IF(AD37="-",0,IF(AD37&gt;9,0.5,IF(AD37&gt;7,0.25,0)))+IF(AE37="-",0,IF(AE37&gt;7,1.25,IF(AE37&gt;4,0.75,0)))+IF(OR(AF37="-",W37&lt;4),0,IF(AF37&gt;7,1+IF(W37&gt;7,0.15,0),IF(AF37&gt;4,0.5+IF(W37&gt;7,0.15,0),0))))</f>
        <v>1.1499999999999999</v>
      </c>
      <c r="AO37" s="9">
        <f>($AK$3*AK37+$AL$3*AL37+$AM$3*AM37+$AN$3*AN37)+$J$3*VLOOKUP(J37,COND!$A$2:$C$7,2,FALSE)+$K$3*VLOOKUP(K37,COND!$A$2:$C$7,3,FALSE)</f>
        <v>20.829219447514987</v>
      </c>
      <c r="AP37" s="37">
        <f>STANDARDIZE(AO37,AVERAGE($AO$5:$AO$1295),STDEVP($AO$5:$AO$1295))</f>
        <v>1.4118408102984878</v>
      </c>
      <c r="AQ37" t="str">
        <f>IF(AND(Y37&lt;&gt;"-",X37&gt;1),"C",IF(AA37=MAX(AA37:AC37),"2B",IF(AC37=MAX(AA37:AC37),"SS",IF(OR(AB37=MAX(Z37:AC37),AND(AB37&lt;&gt;"-",AB37&gt;4,V37&gt;5)),"3B",IF(AE37=MAX(AD37:AF37),"CF",IF(AND(AF37=MAX(AD37,AF37),AND(W37&gt;5,AD37&lt;&gt;"-")),"RF",IF(AD37&lt;&gt;"-","LF",IF(Z37&lt;&gt;"-","1B","DH"))))))))</f>
        <v>RF</v>
      </c>
      <c r="AR37">
        <v>33</v>
      </c>
      <c r="AT37" t="s">
        <v>33</v>
      </c>
      <c r="AU37" t="str">
        <f>IF(AND($Q37&gt;=6,AVERAGE($S37:$T37)&gt;=6),"Likely",IF(OR($Q37&gt;6,AND($Q37=6,AVERAGE($S37:$T37)&gt;=3),AND($Q37&gt;=5,AVERAGE($S37:$T37)&gt;=5),AVERAGE($Q37,$S37:$T37)&gt;5),"Possible","Unlikely"))</f>
        <v>Likely</v>
      </c>
      <c r="AW37" t="e">
        <f>IF(VLOOKUP($B37,'Draft List'!$D$4:$AB$2598,AW$3,FALSE)&lt;&gt;0,VLOOKUP($B37,'Draft List'!$D$4:$AB$2598,AW$3,FALSE),"")</f>
        <v>#N/A</v>
      </c>
      <c r="AX37" t="e">
        <f>IF(VLOOKUP($B37,'Draft List'!$D$4:$AB$2598,AX$3,FALSE)&lt;&gt;0,VLOOKUP($B37,'Draft List'!$D$4:$AB$2598,AX$3,FALSE),"")</f>
        <v>#N/A</v>
      </c>
      <c r="AY37" t="e">
        <f>IF(VLOOKUP($B37,'Draft List'!$D$4:$AB$2598,AY$3,FALSE)&lt;&gt;0,VLOOKUP($B37,'Draft List'!$D$4:$AB$2598,AY$3,FALSE),"")</f>
        <v>#N/A</v>
      </c>
    </row>
    <row r="38" spans="1:51">
      <c r="A38" t="str">
        <f>IF(C38="C","C-",C38)&amp;D38&amp;E38</f>
        <v>CFZdenek Bucek21</v>
      </c>
      <c r="B38">
        <f>VLOOKUP($A38,draft_listing_batters_stats!$A$1:$B$1324,2,FALSE)</f>
        <v>6919</v>
      </c>
      <c r="C38" s="1" t="s">
        <v>2079</v>
      </c>
      <c r="D38" s="1" t="s">
        <v>1464</v>
      </c>
      <c r="E38" s="1">
        <v>21</v>
      </c>
      <c r="F38" s="1" t="s">
        <v>2022</v>
      </c>
      <c r="G38" s="1" t="s">
        <v>2022</v>
      </c>
      <c r="H38" s="1" t="s">
        <v>2033</v>
      </c>
      <c r="I38" s="1" t="s">
        <v>2033</v>
      </c>
      <c r="J38" s="1" t="s">
        <v>2036</v>
      </c>
      <c r="K38" s="1" t="s">
        <v>2030</v>
      </c>
      <c r="L38" s="1">
        <v>4</v>
      </c>
      <c r="M38" s="1">
        <v>4</v>
      </c>
      <c r="N38" s="1">
        <v>1</v>
      </c>
      <c r="O38" s="1">
        <v>3</v>
      </c>
      <c r="P38" s="1">
        <v>2</v>
      </c>
      <c r="Q38" s="1">
        <v>5</v>
      </c>
      <c r="R38" s="1">
        <v>7</v>
      </c>
      <c r="S38" s="1">
        <v>1</v>
      </c>
      <c r="T38" s="1">
        <v>4</v>
      </c>
      <c r="U38" s="1">
        <v>4</v>
      </c>
      <c r="V38" s="1">
        <v>1</v>
      </c>
      <c r="W38" s="1">
        <v>6</v>
      </c>
      <c r="X38" s="1">
        <v>1</v>
      </c>
      <c r="Y38" s="1" t="s">
        <v>2027</v>
      </c>
      <c r="Z38" s="1" t="s">
        <v>2027</v>
      </c>
      <c r="AA38" s="1" t="s">
        <v>2027</v>
      </c>
      <c r="AB38" s="1" t="s">
        <v>2027</v>
      </c>
      <c r="AC38" s="1" t="s">
        <v>2027</v>
      </c>
      <c r="AD38" s="1">
        <v>10</v>
      </c>
      <c r="AE38" s="1">
        <v>10</v>
      </c>
      <c r="AF38" s="1">
        <v>3</v>
      </c>
      <c r="AG38" s="1">
        <v>8</v>
      </c>
      <c r="AH38" s="1">
        <v>9</v>
      </c>
      <c r="AI38" s="1">
        <v>9</v>
      </c>
      <c r="AJ38" s="52" t="s">
        <v>2029</v>
      </c>
      <c r="AK38" s="9">
        <f>($L$3*(L38-$Q$1)/$Q$2+$M$3*(M38-$R$1)/$R$2+$N$3*(N38-$S$1)/$S$2+$O$3*(O38-$T$1)/$T$2+$P$3*(P38-$U$1)/$U$2)/(SUM($L$3:$P$3))</f>
        <v>-0.74406076252719189</v>
      </c>
      <c r="AL38" s="9">
        <f>($L$3*(Q38-$Q$1)/$Q$2+$M$3*(R38-$R$1)/$R$2+$N$3*(S38-$S$1)/$S$2+$O$3*(T38-$T$1)/$T$2+$P$3*(U38-$U$1)/$U$2)/(SUM($L$3:$P$3))</f>
        <v>-9.858305782465869E-2</v>
      </c>
      <c r="AM38">
        <f>IF(AVERAGE(AG38:AH38)&gt;9,1,0)+IF(AVERAGE(AG38:AH38)&gt;7,1,0)+IF(AG38&gt;7,1,0)+IF(AH38&gt;7,1,0)+IF(AI38&gt;8,1,0)+IF(AI38&gt;6,1,0)</f>
        <v>5</v>
      </c>
      <c r="AN38" s="6">
        <f>MIN(2,IF(OR(Y38="-",X38&lt;5),0,1+IF(Y38&gt;7,1+IF(X38&gt;7,0.25,0),IF(Y38&gt;4,0.5+IF(X38&gt;7,0.25,0),0+IF(X38&gt;7,0.25))))+IF(Z38="-",0,IF(Z38&gt;9,0.5,IF(Z38&gt;7,0.25,0)))+IF(AA38="-",0,IF(AA38&gt;7,1.1,IF(AA38&gt;4,0.6,0)))+IF(OR(AB38="-",V38&lt;5),0,IF(AB38&gt;7,1+IF(V38&gt;7,0.25,0),IF(AB38&gt;4,0.5+IF(V38&gt;7,0.25,0),0)))+IF(AC38="-",0,IF(AC38&gt;7,1.5,IF(AC38&gt;4,1,0)))+IF(AD38="-",0,IF(AD38&gt;9,0.5,IF(AD38&gt;7,0.25,0)))+IF(AE38="-",0,IF(AE38&gt;7,1.25,IF(AE38&gt;4,0.75,0)))+IF(OR(AF38="-",W38&lt;4),0,IF(AF38&gt;7,1+IF(W38&gt;7,0.15,0),IF(AF38&gt;4,0.5+IF(W38&gt;7,0.15,0),0))))</f>
        <v>1.75</v>
      </c>
      <c r="AO38" s="9">
        <f>($AK$3*AK38+$AL$3*AL38+$AM$3*AM38+$AN$3*AN38)+$J$3*VLOOKUP(J38,COND!$A$2:$C$7,2,FALSE)+$K$3*VLOOKUP(K38,COND!$A$2:$C$7,3,FALSE)</f>
        <v>11.675930563184711</v>
      </c>
      <c r="AP38" s="37">
        <f>STANDARDIZE(AO38,AVERAGE($AO$5:$AO$1295),STDEVP($AO$5:$AO$1295))</f>
        <v>0.14023248254631057</v>
      </c>
      <c r="AQ38" t="str">
        <f>IF(AND(Y38&lt;&gt;"-",X38&gt;1),"C",IF(AA38=MAX(AA38:AC38),"2B",IF(AC38=MAX(AA38:AC38),"SS",IF(OR(AB38=MAX(Z38:AC38),AND(AB38&lt;&gt;"-",AB38&gt;4,V38&gt;5)),"3B",IF(AE38=MAX(AD38:AF38),"CF",IF(AND(AF38=MAX(AD38,AF38),AND(W38&gt;5,AD38&lt;&gt;"-")),"RF",IF(AD38&lt;&gt;"-","LF",IF(Z38&lt;&gt;"-","1B","DH"))))))))</f>
        <v>CF</v>
      </c>
      <c r="AR38">
        <v>34</v>
      </c>
      <c r="AT38" t="s">
        <v>155</v>
      </c>
      <c r="AU38" t="str">
        <f>IF(AND($Q38&gt;=6,AVERAGE($S38:$T38)&gt;=6),"Likely",IF(OR($Q38&gt;6,AND($Q38=6,AVERAGE($S38:$T38)&gt;=3),AND($Q38&gt;=5,AVERAGE($S38:$T38)&gt;=5),AVERAGE($Q38,$S38:$T38)&gt;5),"Possible","Unlikely"))</f>
        <v>Unlikely</v>
      </c>
      <c r="AW38" t="str">
        <f>IF(VLOOKUP($B38,'Draft List'!$D$4:$AB$2598,AW$3,FALSE)&lt;&gt;0,VLOOKUP($B38,'Draft List'!$D$4:$AB$2598,AW$3,FALSE),"")</f>
        <v/>
      </c>
      <c r="AX38" t="str">
        <f>IF(VLOOKUP($B38,'Draft List'!$D$4:$AB$2598,AX$3,FALSE)&lt;&gt;0,VLOOKUP($B38,'Draft List'!$D$4:$AB$2598,AX$3,FALSE),"")</f>
        <v/>
      </c>
      <c r="AY38" t="str">
        <f>IF(VLOOKUP($B38,'Draft List'!$D$4:$AB$2598,AY$3,FALSE)&lt;&gt;0,VLOOKUP($B38,'Draft List'!$D$4:$AB$2598,AY$3,FALSE),"")</f>
        <v/>
      </c>
    </row>
    <row r="39" spans="1:51">
      <c r="A39" t="str">
        <f>IF(C39="C","C-",C39)&amp;D39&amp;E39</f>
        <v>1BAnastagio Baio18</v>
      </c>
      <c r="B39">
        <f>VLOOKUP($A39,draft_listing_batters_stats!$A$1:$B$1324,2,FALSE)</f>
        <v>638</v>
      </c>
      <c r="C39" s="1" t="s">
        <v>2092</v>
      </c>
      <c r="D39" s="1" t="s">
        <v>1451</v>
      </c>
      <c r="E39" s="1">
        <v>18</v>
      </c>
      <c r="F39" s="1" t="s">
        <v>2022</v>
      </c>
      <c r="G39" s="1" t="s">
        <v>2022</v>
      </c>
      <c r="H39" s="1" t="s">
        <v>2033</v>
      </c>
      <c r="I39" s="1" t="s">
        <v>2033</v>
      </c>
      <c r="J39" s="1" t="s">
        <v>2026</v>
      </c>
      <c r="K39" s="1" t="s">
        <v>2036</v>
      </c>
      <c r="L39" s="1">
        <v>2</v>
      </c>
      <c r="M39" s="1">
        <v>2</v>
      </c>
      <c r="N39" s="1">
        <v>1</v>
      </c>
      <c r="O39" s="1">
        <v>1</v>
      </c>
      <c r="P39" s="1">
        <v>2</v>
      </c>
      <c r="Q39" s="1">
        <v>8</v>
      </c>
      <c r="R39" s="1">
        <v>7</v>
      </c>
      <c r="S39" s="1">
        <v>3</v>
      </c>
      <c r="T39" s="1">
        <v>4</v>
      </c>
      <c r="U39" s="1">
        <v>8</v>
      </c>
      <c r="V39" s="1">
        <v>2</v>
      </c>
      <c r="W39" s="1">
        <v>3</v>
      </c>
      <c r="X39" s="1">
        <v>1</v>
      </c>
      <c r="Y39" s="1" t="s">
        <v>2027</v>
      </c>
      <c r="Z39" s="1">
        <v>3</v>
      </c>
      <c r="AA39" s="1" t="s">
        <v>2027</v>
      </c>
      <c r="AB39" s="1" t="s">
        <v>2027</v>
      </c>
      <c r="AC39" s="1" t="s">
        <v>2027</v>
      </c>
      <c r="AD39" s="1" t="s">
        <v>2027</v>
      </c>
      <c r="AE39" s="1" t="s">
        <v>2027</v>
      </c>
      <c r="AF39" s="1" t="s">
        <v>2027</v>
      </c>
      <c r="AG39" s="1">
        <v>2</v>
      </c>
      <c r="AH39" s="1">
        <v>4</v>
      </c>
      <c r="AI39" s="1">
        <v>3</v>
      </c>
      <c r="AJ39" s="52" t="s">
        <v>2029</v>
      </c>
      <c r="AK39" s="9">
        <f>($L$3*(L39-$Q$1)/$Q$2+$M$3*(M39-$R$1)/$R$2+$N$3*(N39-$S$1)/$S$2+$O$3*(O39-$T$1)/$T$2+$P$3*(P39-$U$1)/$U$2)/(SUM($L$3:$P$3))</f>
        <v>-1.6707112941891105</v>
      </c>
      <c r="AL39" s="9">
        <f>($L$3*(Q39-$Q$1)/$Q$2+$M$3*(R39-$R$1)/$R$2+$N$3*(S39-$S$1)/$S$2+$O$3*(T39-$T$1)/$T$2+$P$3*(U39-$U$1)/$U$2)/(SUM($L$3:$P$3))</f>
        <v>1.1952727980995024</v>
      </c>
      <c r="AM39">
        <f>IF(AVERAGE(AG39:AH39)&gt;9,1,0)+IF(AVERAGE(AG39:AH39)&gt;7,1,0)+IF(AG39&gt;7,1,0)+IF(AH39&gt;7,1,0)+IF(AI39&gt;8,1,0)+IF(AI39&gt;6,1,0)</f>
        <v>0</v>
      </c>
      <c r="AN39" s="6">
        <f>MIN(2,IF(OR(Y39="-",X39&lt;5),0,1+IF(Y39&gt;7,1+IF(X39&gt;7,0.25,0),IF(Y39&gt;4,0.5+IF(X39&gt;7,0.25,0),0+IF(X39&gt;7,0.25))))+IF(Z39="-",0,IF(Z39&gt;9,0.5,IF(Z39&gt;7,0.25,0)))+IF(AA39="-",0,IF(AA39&gt;7,1.1,IF(AA39&gt;4,0.6,0)))+IF(OR(AB39="-",V39&lt;5),0,IF(AB39&gt;7,1+IF(V39&gt;7,0.25,0),IF(AB39&gt;4,0.5+IF(V39&gt;7,0.25,0),0)))+IF(AC39="-",0,IF(AC39&gt;7,1.5,IF(AC39&gt;4,1,0)))+IF(AD39="-",0,IF(AD39&gt;9,0.5,IF(AD39&gt;7,0.25,0)))+IF(AE39="-",0,IF(AE39&gt;7,1.25,IF(AE39&gt;4,0.75,0)))+IF(OR(AF39="-",W39&lt;4),0,IF(AF39&gt;7,1+IF(W39&gt;7,0.15,0),IF(AF39&gt;4,0.5+IF(W39&gt;7,0.15,0),0))))</f>
        <v>0</v>
      </c>
      <c r="AO39" s="9">
        <f>($AK$3*AK39+$AL$3*AL39+$AM$3*AM39+$AN$3*AN39)+$J$3*VLOOKUP(J39,COND!$A$2:$C$7,2,FALSE)+$K$3*VLOOKUP(K39,COND!$A$2:$C$7,3,FALSE)</f>
        <v>24.326202447775117</v>
      </c>
      <c r="AP39" s="37">
        <f>STANDARDIZE(AO39,AVERAGE($AO$5:$AO$1295),STDEVP($AO$5:$AO$1295))</f>
        <v>1.8976544627825847</v>
      </c>
      <c r="AQ39" t="str">
        <f>IF(AND(Y39&lt;&gt;"-",X39&gt;1),"C",IF(AA39=MAX(AA39:AC39),"2B",IF(AC39=MAX(AA39:AC39),"SS",IF(OR(AB39=MAX(Z39:AC39),AND(AB39&lt;&gt;"-",AB39&gt;4,V39&gt;5)),"3B",IF(AE39=MAX(AD39:AF39),"CF",IF(AND(AF39=MAX(AD39,AF39),AND(W39&gt;5,AD39&lt;&gt;"-")),"RF",IF(AD39&lt;&gt;"-","LF",IF(Z39&lt;&gt;"-","1B","DH"))))))))</f>
        <v>1B</v>
      </c>
      <c r="AR39">
        <v>35</v>
      </c>
      <c r="AT39" t="s">
        <v>155</v>
      </c>
      <c r="AU39" t="str">
        <f>IF(AND($Q39&gt;=6,AVERAGE($S39:$T39)&gt;=6),"Likely",IF(OR($Q39&gt;6,AND($Q39=6,AVERAGE($S39:$T39)&gt;=3),AND($Q39&gt;=5,AVERAGE($S39:$T39)&gt;=5),AVERAGE($Q39,$S39:$T39)&gt;5),"Possible","Unlikely"))</f>
        <v>Possible</v>
      </c>
      <c r="AW39" t="str">
        <f>IF(VLOOKUP($B39,'Draft List'!$D$4:$AB$2598,AW$3,FALSE)&lt;&gt;0,VLOOKUP($B39,'Draft List'!$D$4:$AB$2598,AW$3,FALSE),"")</f>
        <v/>
      </c>
      <c r="AX39" t="str">
        <f>IF(VLOOKUP($B39,'Draft List'!$D$4:$AB$2598,AX$3,FALSE)&lt;&gt;0,VLOOKUP($B39,'Draft List'!$D$4:$AB$2598,AX$3,FALSE),"")</f>
        <v/>
      </c>
      <c r="AY39" t="str">
        <f>IF(VLOOKUP($B39,'Draft List'!$D$4:$AB$2598,AY$3,FALSE)&lt;&gt;0,VLOOKUP($B39,'Draft List'!$D$4:$AB$2598,AY$3,FALSE),"")</f>
        <v/>
      </c>
    </row>
    <row r="40" spans="1:51">
      <c r="A40" t="str">
        <f>IF(C40="C","C-",C40)&amp;D40&amp;E40</f>
        <v>RFWillie Edmonds21</v>
      </c>
      <c r="B40">
        <f>VLOOKUP($A40,draft_listing_batters_stats!$A$1:$B$1324,2,FALSE)</f>
        <v>2884</v>
      </c>
      <c r="C40" s="1" t="s">
        <v>2057</v>
      </c>
      <c r="D40" s="1" t="s">
        <v>1489</v>
      </c>
      <c r="E40" s="1">
        <v>21</v>
      </c>
      <c r="F40" s="1" t="s">
        <v>2022</v>
      </c>
      <c r="G40" s="1" t="s">
        <v>2022</v>
      </c>
      <c r="H40" s="1" t="s">
        <v>2033</v>
      </c>
      <c r="I40" s="1" t="s">
        <v>2033</v>
      </c>
      <c r="J40" s="1" t="s">
        <v>2025</v>
      </c>
      <c r="K40" s="1" t="s">
        <v>2025</v>
      </c>
      <c r="L40" s="1">
        <v>4</v>
      </c>
      <c r="M40" s="1">
        <v>4</v>
      </c>
      <c r="N40" s="1">
        <v>2</v>
      </c>
      <c r="O40" s="1">
        <v>2</v>
      </c>
      <c r="P40" s="1">
        <v>2</v>
      </c>
      <c r="Q40" s="1">
        <v>5</v>
      </c>
      <c r="R40" s="1">
        <v>5</v>
      </c>
      <c r="S40" s="1">
        <v>7</v>
      </c>
      <c r="T40" s="1">
        <v>5</v>
      </c>
      <c r="U40" s="1">
        <v>4</v>
      </c>
      <c r="V40" s="1">
        <v>1</v>
      </c>
      <c r="W40" s="1">
        <v>5</v>
      </c>
      <c r="X40" s="1">
        <v>1</v>
      </c>
      <c r="Y40" s="1" t="s">
        <v>2027</v>
      </c>
      <c r="Z40" s="1">
        <v>1</v>
      </c>
      <c r="AA40" s="1" t="s">
        <v>2027</v>
      </c>
      <c r="AB40" s="1" t="s">
        <v>2027</v>
      </c>
      <c r="AC40" s="1" t="s">
        <v>2027</v>
      </c>
      <c r="AD40" s="1">
        <v>4</v>
      </c>
      <c r="AE40" s="1">
        <v>2</v>
      </c>
      <c r="AF40" s="1">
        <v>6</v>
      </c>
      <c r="AG40" s="1">
        <v>9</v>
      </c>
      <c r="AH40" s="1">
        <v>8</v>
      </c>
      <c r="AI40" s="1">
        <v>9</v>
      </c>
      <c r="AJ40" s="52" t="s">
        <v>2029</v>
      </c>
      <c r="AK40" s="9">
        <f>($L$3*(L40-$Q$1)/$Q$2+$M$3*(M40-$R$1)/$R$2+$N$3*(N40-$S$1)/$S$2+$O$3*(O40-$T$1)/$T$2+$P$3*(P40-$U$1)/$U$2)/(SUM($L$3:$P$3))</f>
        <v>-0.75070881851287141</v>
      </c>
      <c r="AL40" s="9">
        <f>($L$3*(Q40-$Q$1)/$Q$2+$M$3*(R40-$R$1)/$R$2+$N$3*(S40-$S$1)/$S$2+$O$3*(T40-$T$1)/$T$2+$P$3*(U40-$U$1)/$U$2)/(SUM($L$3:$P$3))</f>
        <v>0.3873756970909244</v>
      </c>
      <c r="AM40">
        <f>IF(AVERAGE(AG40:AH40)&gt;9,1,0)+IF(AVERAGE(AG40:AH40)&gt;7,1,0)+IF(AG40&gt;7,1,0)+IF(AH40&gt;7,1,0)+IF(AI40&gt;8,1,0)+IF(AI40&gt;6,1,0)</f>
        <v>5</v>
      </c>
      <c r="AN40" s="6">
        <f>MIN(2,IF(OR(Y40="-",X40&lt;5),0,1+IF(Y40&gt;7,1+IF(X40&gt;7,0.25,0),IF(Y40&gt;4,0.5+IF(X40&gt;7,0.25,0),0+IF(X40&gt;7,0.25))))+IF(Z40="-",0,IF(Z40&gt;9,0.5,IF(Z40&gt;7,0.25,0)))+IF(AA40="-",0,IF(AA40&gt;7,1.1,IF(AA40&gt;4,0.6,0)))+IF(OR(AB40="-",V40&lt;5),0,IF(AB40&gt;7,1+IF(V40&gt;7,0.25,0),IF(AB40&gt;4,0.5+IF(V40&gt;7,0.25,0),0)))+IF(AC40="-",0,IF(AC40&gt;7,1.5,IF(AC40&gt;4,1,0)))+IF(AD40="-",0,IF(AD40&gt;9,0.5,IF(AD40&gt;7,0.25,0)))+IF(AE40="-",0,IF(AE40&gt;7,1.25,IF(AE40&gt;4,0.75,0)))+IF(OR(AF40="-",W40&lt;4),0,IF(AF40&gt;7,1+IF(W40&gt;7,0.15,0),IF(AF40&gt;4,0.5+IF(W40&gt;7,0.15,0),0))))</f>
        <v>0.5</v>
      </c>
      <c r="AO40" s="9">
        <f>($AK$3*AK40+$AL$3*AL40+$AM$3*AM40+$AN$3*AN40)+$J$3*VLOOKUP(J40,COND!$A$2:$C$7,2,FALSE)+$K$3*VLOOKUP(K40,COND!$A$2:$C$7,3,FALSE)</f>
        <v>15.90677081657314</v>
      </c>
      <c r="AP40" s="37">
        <f>STANDARDIZE(AO40,AVERAGE($AO$5:$AO$1295),STDEVP($AO$5:$AO$1295))</f>
        <v>0.72799626533349593</v>
      </c>
      <c r="AQ40" t="str">
        <f>IF(AND(Y40&lt;&gt;"-",X40&gt;1),"C",IF(AA40=MAX(AA40:AC40),"2B",IF(AC40=MAX(AA40:AC40),"SS",IF(OR(AB40=MAX(Z40:AC40),AND(AB40&lt;&gt;"-",AB40&gt;4,V40&gt;5)),"3B",IF(AE40=MAX(AD40:AF40),"CF",IF(AND(AF40=MAX(AD40,AF40),AND(W40&gt;5,AD40&lt;&gt;"-")),"RF",IF(AD40&lt;&gt;"-","LF",IF(Z40&lt;&gt;"-","1B","DH"))))))))</f>
        <v>LF</v>
      </c>
      <c r="AR40">
        <v>36</v>
      </c>
      <c r="AT40" t="s">
        <v>157</v>
      </c>
      <c r="AU40" t="str">
        <f>IF(AND($Q40&gt;=6,AVERAGE($S40:$T40)&gt;=6),"Likely",IF(OR($Q40&gt;6,AND($Q40=6,AVERAGE($S40:$T40)&gt;=3),AND($Q40&gt;=5,AVERAGE($S40:$T40)&gt;=5),AVERAGE($Q40,$S40:$T40)&gt;5),"Possible","Unlikely"))</f>
        <v>Possible</v>
      </c>
      <c r="AW40" t="str">
        <f>IF(VLOOKUP($B40,'Draft List'!$D$4:$AB$2598,AW$3,FALSE)&lt;&gt;0,VLOOKUP($B40,'Draft List'!$D$4:$AB$2598,AW$3,FALSE),"")</f>
        <v/>
      </c>
      <c r="AX40" t="str">
        <f>IF(VLOOKUP($B40,'Draft List'!$D$4:$AB$2598,AX$3,FALSE)&lt;&gt;0,VLOOKUP($B40,'Draft List'!$D$4:$AB$2598,AX$3,FALSE),"")</f>
        <v/>
      </c>
      <c r="AY40" t="str">
        <f>IF(VLOOKUP($B40,'Draft List'!$D$4:$AB$2598,AY$3,FALSE)&lt;&gt;0,VLOOKUP($B40,'Draft List'!$D$4:$AB$2598,AY$3,FALSE),"")</f>
        <v/>
      </c>
    </row>
    <row r="41" spans="1:51">
      <c r="A41" t="str">
        <f>IF(C41="C","C-",C41)&amp;D41&amp;E41</f>
        <v>C-Frank Pitts21</v>
      </c>
      <c r="B41">
        <f>VLOOKUP($A41,draft_listing_batters_stats!$A$1:$B$1324,2,FALSE)</f>
        <v>2951</v>
      </c>
      <c r="C41" s="1" t="s">
        <v>2091</v>
      </c>
      <c r="D41" s="1" t="s">
        <v>1193</v>
      </c>
      <c r="E41" s="1">
        <v>21</v>
      </c>
      <c r="F41" s="1" t="s">
        <v>2049</v>
      </c>
      <c r="G41" s="1" t="s">
        <v>2022</v>
      </c>
      <c r="H41" s="1" t="s">
        <v>2033</v>
      </c>
      <c r="I41" s="1" t="s">
        <v>2033</v>
      </c>
      <c r="J41" s="1" t="s">
        <v>2026</v>
      </c>
      <c r="K41" s="1" t="s">
        <v>2040</v>
      </c>
      <c r="L41" s="1">
        <v>3</v>
      </c>
      <c r="M41" s="1">
        <v>7</v>
      </c>
      <c r="N41" s="1">
        <v>2</v>
      </c>
      <c r="O41" s="1">
        <v>1</v>
      </c>
      <c r="P41" s="1">
        <v>3</v>
      </c>
      <c r="Q41" s="1">
        <v>5</v>
      </c>
      <c r="R41" s="1">
        <v>7</v>
      </c>
      <c r="S41" s="1">
        <v>3</v>
      </c>
      <c r="T41" s="1">
        <v>4</v>
      </c>
      <c r="U41" s="1">
        <v>5</v>
      </c>
      <c r="V41" s="1">
        <v>3</v>
      </c>
      <c r="W41" s="1">
        <v>4</v>
      </c>
      <c r="X41" s="1">
        <v>9</v>
      </c>
      <c r="Y41" s="1">
        <v>6</v>
      </c>
      <c r="Z41" s="1">
        <v>2</v>
      </c>
      <c r="AA41" s="1" t="s">
        <v>2027</v>
      </c>
      <c r="AB41" s="1" t="s">
        <v>2027</v>
      </c>
      <c r="AC41" s="1" t="s">
        <v>2027</v>
      </c>
      <c r="AD41" s="1" t="s">
        <v>2027</v>
      </c>
      <c r="AE41" s="1" t="s">
        <v>2027</v>
      </c>
      <c r="AF41" s="1" t="s">
        <v>2027</v>
      </c>
      <c r="AG41" s="1">
        <v>1</v>
      </c>
      <c r="AH41" s="1">
        <v>2</v>
      </c>
      <c r="AI41" s="1">
        <v>1</v>
      </c>
      <c r="AJ41" s="52" t="s">
        <v>2029</v>
      </c>
      <c r="AK41" s="9">
        <f>($L$3*(L41-$Q$1)/$Q$2+$M$3*(M41-$R$1)/$R$2+$N$3*(N41-$S$1)/$S$2+$O$3*(O41-$T$1)/$T$2+$P$3*(P41-$U$1)/$U$2)/(SUM($L$3:$P$3))</f>
        <v>-0.9697782260519332</v>
      </c>
      <c r="AL41" s="9">
        <f>($L$3*(Q41-$Q$1)/$Q$2+$M$3*(R41-$R$1)/$R$2+$N$3*(S41-$S$1)/$S$2+$O$3*(T41-$T$1)/$T$2+$P$3*(U41-$U$1)/$U$2)/(SUM($L$3:$P$3))</f>
        <v>0.10755627004022776</v>
      </c>
      <c r="AM41">
        <f>IF(AVERAGE(AG41:AH41)&gt;9,1,0)+IF(AVERAGE(AG41:AH41)&gt;7,1,0)+IF(AG41&gt;7,1,0)+IF(AH41&gt;7,1,0)+IF(AI41&gt;8,1,0)+IF(AI41&gt;6,1,0)</f>
        <v>0</v>
      </c>
      <c r="AN41" s="6">
        <f>MIN(2,IF(OR(Y41="-",X41&lt;5),0,1+IF(Y41&gt;7,1+IF(X41&gt;7,0.25,0),IF(Y41&gt;4,0.5+IF(X41&gt;7,0.25,0),0+IF(X41&gt;7,0.25))))+IF(Z41="-",0,IF(Z41&gt;9,0.5,IF(Z41&gt;7,0.25,0)))+IF(AA41="-",0,IF(AA41&gt;7,1.1,IF(AA41&gt;4,0.6,0)))+IF(OR(AB41="-",V41&lt;5),0,IF(AB41&gt;7,1+IF(V41&gt;7,0.25,0),IF(AB41&gt;4,0.5+IF(V41&gt;7,0.25,0),0)))+IF(AC41="-",0,IF(AC41&gt;7,1.5,IF(AC41&gt;4,1,0)))+IF(AD41="-",0,IF(AD41&gt;9,0.5,IF(AD41&gt;7,0.25,0)))+IF(AE41="-",0,IF(AE41&gt;7,1.25,IF(AE41&gt;4,0.75,0)))+IF(OR(AF41="-",W41&lt;4),0,IF(AF41&gt;7,1+IF(W41&gt;7,0.15,0),IF(AF41&gt;4,0.5+IF(W41&gt;7,0.15,0),0))))</f>
        <v>1.75</v>
      </c>
      <c r="AO41" s="9">
        <f>($AK$3*AK41+$AL$3*AL41+$AM$3*AM41+$AN$3*AN41)+$J$3*VLOOKUP(J41,COND!$A$2:$C$7,2,FALSE)+$K$3*VLOOKUP(K41,COND!$A$2:$C$7,3,FALSE)</f>
        <v>12.343697417877539</v>
      </c>
      <c r="AP41" s="37">
        <f>STANDARDIZE(AO41,AVERAGE($AO$5:$AO$1295),STDEVP($AO$5:$AO$1295))</f>
        <v>0.23300109327790647</v>
      </c>
      <c r="AQ41" t="str">
        <f>IF(AND(Y41&lt;&gt;"-",X41&gt;1),"C",IF(AA41=MAX(AA41:AC41),"2B",IF(AC41=MAX(AA41:AC41),"SS",IF(OR(AB41=MAX(Z41:AC41),AND(AB41&lt;&gt;"-",AB41&gt;4,V41&gt;5)),"3B",IF(AE41=MAX(AD41:AF41),"CF",IF(AND(AF41=MAX(AD41,AF41),AND(W41&gt;5,AD41&lt;&gt;"-")),"RF",IF(AD41&lt;&gt;"-","LF",IF(Z41&lt;&gt;"-","1B","DH"))))))))</f>
        <v>C</v>
      </c>
      <c r="AR41">
        <v>37</v>
      </c>
      <c r="AT41" t="s">
        <v>155</v>
      </c>
      <c r="AU41" t="str">
        <f>IF(AND($Q41&gt;=6,AVERAGE($S41:$T41)&gt;=6),"Likely",IF(OR($Q41&gt;6,AND($Q41=6,AVERAGE($S41:$T41)&gt;=3),AND($Q41&gt;=5,AVERAGE($S41:$T41)&gt;=5),AVERAGE($Q41,$S41:$T41)&gt;5),"Possible","Unlikely"))</f>
        <v>Unlikely</v>
      </c>
      <c r="AW41" t="str">
        <f>IF(VLOOKUP($B41,'Draft List'!$D$4:$AB$2598,AW$3,FALSE)&lt;&gt;0,VLOOKUP($B41,'Draft List'!$D$4:$AB$2598,AW$3,FALSE),"")</f>
        <v/>
      </c>
      <c r="AX41" t="str">
        <f>IF(VLOOKUP($B41,'Draft List'!$D$4:$AB$2598,AX$3,FALSE)&lt;&gt;0,VLOOKUP($B41,'Draft List'!$D$4:$AB$2598,AX$3,FALSE),"")</f>
        <v/>
      </c>
      <c r="AY41" t="str">
        <f>IF(VLOOKUP($B41,'Draft List'!$D$4:$AB$2598,AY$3,FALSE)&lt;&gt;0,VLOOKUP($B41,'Draft List'!$D$4:$AB$2598,AY$3,FALSE),"")</f>
        <v/>
      </c>
    </row>
    <row r="42" spans="1:51">
      <c r="A42" t="str">
        <f>IF(C42="C","C-",C42)&amp;D42&amp;E42</f>
        <v>2BJack Washington21</v>
      </c>
      <c r="B42">
        <f>VLOOKUP($A42,draft_listing_batters_stats!$A$1:$B$1324,2,FALSE)</f>
        <v>9529</v>
      </c>
      <c r="C42" s="1" t="s">
        <v>2069</v>
      </c>
      <c r="D42" s="1" t="s">
        <v>1429</v>
      </c>
      <c r="E42" s="1">
        <v>21</v>
      </c>
      <c r="F42" s="1" t="s">
        <v>2022</v>
      </c>
      <c r="G42" s="1" t="s">
        <v>2022</v>
      </c>
      <c r="H42" s="1" t="s">
        <v>2033</v>
      </c>
      <c r="I42" s="1" t="s">
        <v>2023</v>
      </c>
      <c r="J42" s="1" t="s">
        <v>2025</v>
      </c>
      <c r="K42" s="1" t="s">
        <v>2030</v>
      </c>
      <c r="L42" s="1">
        <v>4</v>
      </c>
      <c r="M42" s="1">
        <v>5</v>
      </c>
      <c r="N42" s="1">
        <v>1</v>
      </c>
      <c r="O42" s="1">
        <v>2</v>
      </c>
      <c r="P42" s="1">
        <v>3</v>
      </c>
      <c r="Q42" s="1">
        <v>7</v>
      </c>
      <c r="R42" s="1">
        <v>5</v>
      </c>
      <c r="S42" s="1">
        <v>3</v>
      </c>
      <c r="T42" s="1">
        <v>7</v>
      </c>
      <c r="U42" s="1">
        <v>6</v>
      </c>
      <c r="V42" s="1">
        <v>7</v>
      </c>
      <c r="W42" s="1">
        <v>7</v>
      </c>
      <c r="X42" s="1">
        <v>1</v>
      </c>
      <c r="Y42" s="1" t="s">
        <v>2027</v>
      </c>
      <c r="Z42" s="1">
        <v>6</v>
      </c>
      <c r="AA42" s="1">
        <v>7</v>
      </c>
      <c r="AB42" s="1">
        <v>6</v>
      </c>
      <c r="AC42" s="1">
        <v>5</v>
      </c>
      <c r="AD42" s="1" t="s">
        <v>2027</v>
      </c>
      <c r="AE42" s="1">
        <v>4</v>
      </c>
      <c r="AF42" s="1">
        <v>4</v>
      </c>
      <c r="AG42" s="1">
        <v>8</v>
      </c>
      <c r="AH42" s="1">
        <v>10</v>
      </c>
      <c r="AI42" s="1">
        <v>9</v>
      </c>
      <c r="AJ42" s="52">
        <v>1900000</v>
      </c>
      <c r="AK42" s="9">
        <f>($L$3*(L42-$Q$1)/$Q$2+$M$3*(M42-$R$1)/$R$2+$N$3*(N42-$S$1)/$S$2+$O$3*(O42-$T$1)/$T$2+$P$3*(P42-$U$1)/$U$2)/(SUM($L$3:$P$3))</f>
        <v>-0.742694093100986</v>
      </c>
      <c r="AL42" s="9">
        <f>($L$3*(Q42-$Q$1)/$Q$2+$M$3*(R42-$R$1)/$R$2+$N$3*(S42-$S$1)/$S$2+$O$3*(T42-$T$1)/$T$2+$P$3*(U42-$U$1)/$U$2)/(SUM($L$3:$P$3))</f>
        <v>0.95969317305399671</v>
      </c>
      <c r="AM42">
        <f>IF(AVERAGE(AG42:AH42)&gt;9,1,0)+IF(AVERAGE(AG42:AH42)&gt;7,1,0)+IF(AG42&gt;7,1,0)+IF(AH42&gt;7,1,0)+IF(AI42&gt;8,1,0)+IF(AI42&gt;6,1,0)</f>
        <v>5</v>
      </c>
      <c r="AN42" s="6">
        <f>MIN(2,IF(OR(Y42="-",X42&lt;5),0,1+IF(Y42&gt;7,1+IF(X42&gt;7,0.25,0),IF(Y42&gt;4,0.5+IF(X42&gt;7,0.25,0),0+IF(X42&gt;7,0.25))))+IF(Z42="-",0,IF(Z42&gt;9,0.5,IF(Z42&gt;7,0.25,0)))+IF(AA42="-",0,IF(AA42&gt;7,1.1,IF(AA42&gt;4,0.6,0)))+IF(OR(AB42="-",V42&lt;5),0,IF(AB42&gt;7,1+IF(V42&gt;7,0.25,0),IF(AB42&gt;4,0.5+IF(V42&gt;7,0.25,0),0)))+IF(AC42="-",0,IF(AC42&gt;7,1.5,IF(AC42&gt;4,1,0)))+IF(AD42="-",0,IF(AD42&gt;9,0.5,IF(AD42&gt;7,0.25,0)))+IF(AE42="-",0,IF(AE42&gt;7,1.25,IF(AE42&gt;4,0.75,0)))+IF(OR(AF42="-",W42&lt;4),0,IF(AF42&gt;7,1+IF(W42&gt;7,0.15,0),IF(AF42&gt;4,0.5+IF(W42&gt;7,0.15,0),0))))</f>
        <v>2</v>
      </c>
      <c r="AO42" s="9">
        <f>($AK$3*AK42+$AL$3*AL42+$AM$3*AM42+$AN$3*AN42)+$J$3*VLOOKUP(J42,COND!$A$2:$C$7,2,FALSE)+$K$3*VLOOKUP(K42,COND!$A$2:$C$7,3,FALSE)</f>
        <v>24.375382000671195</v>
      </c>
      <c r="AP42" s="37">
        <f>STANDARDIZE(AO42,AVERAGE($AO$5:$AO$1295),STDEVP($AO$5:$AO$1295))</f>
        <v>1.9044866659183166</v>
      </c>
      <c r="AQ42" t="str">
        <f>IF(AND(Y42&lt;&gt;"-",X42&gt;1),"C",IF(AA42=MAX(AA42:AC42),"2B",IF(AC42=MAX(AA42:AC42),"SS",IF(OR(AB42=MAX(Z42:AC42),AND(AB42&lt;&gt;"-",AB42&gt;4,V42&gt;5)),"3B",IF(AE42=MAX(AD42:AF42),"CF",IF(AND(AF42=MAX(AD42,AF42),AND(W42&gt;5,AD42&lt;&gt;"-")),"RF",IF(AD42&lt;&gt;"-","LF",IF(Z42&lt;&gt;"-","1B","DH"))))))))</f>
        <v>2B</v>
      </c>
      <c r="AR42">
        <v>38</v>
      </c>
      <c r="AT42" t="s">
        <v>157</v>
      </c>
      <c r="AU42" t="str">
        <f>IF(AND($Q42&gt;=6,AVERAGE($S42:$T42)&gt;=6),"Likely",IF(OR($Q42&gt;6,AND($Q42=6,AVERAGE($S42:$T42)&gt;=3),AND($Q42&gt;=5,AVERAGE($S42:$T42)&gt;=5),AVERAGE($Q42,$S42:$T42)&gt;5),"Possible","Unlikely"))</f>
        <v>Possible</v>
      </c>
      <c r="AW42" t="str">
        <f>IF(VLOOKUP($B42,'Draft List'!$D$4:$AB$2598,AW$3,FALSE)&lt;&gt;0,VLOOKUP($B42,'Draft List'!$D$4:$AB$2598,AW$3,FALSE),"")</f>
        <v/>
      </c>
      <c r="AX42" t="str">
        <f>IF(VLOOKUP($B42,'Draft List'!$D$4:$AB$2598,AX$3,FALSE)&lt;&gt;0,VLOOKUP($B42,'Draft List'!$D$4:$AB$2598,AX$3,FALSE),"")</f>
        <v/>
      </c>
      <c r="AY42" t="str">
        <f>IF(VLOOKUP($B42,'Draft List'!$D$4:$AB$2598,AY$3,FALSE)&lt;&gt;0,VLOOKUP($B42,'Draft List'!$D$4:$AB$2598,AY$3,FALSE),"")</f>
        <v/>
      </c>
    </row>
    <row r="43" spans="1:51">
      <c r="A43" t="str">
        <f>IF(C43="C","C-",C43)&amp;D43&amp;E43</f>
        <v>SSGeorge Battle21</v>
      </c>
      <c r="B43">
        <f>VLOOKUP($A43,draft_listing_batters_stats!$A$1:$B$1324,2,FALSE)</f>
        <v>5429</v>
      </c>
      <c r="C43" s="1" t="s">
        <v>2074</v>
      </c>
      <c r="D43" s="1" t="s">
        <v>1455</v>
      </c>
      <c r="E43" s="1">
        <v>21</v>
      </c>
      <c r="F43" s="1" t="s">
        <v>2022</v>
      </c>
      <c r="G43" s="1" t="s">
        <v>2022</v>
      </c>
      <c r="H43" s="1" t="s">
        <v>2033</v>
      </c>
      <c r="I43" s="1" t="s">
        <v>2033</v>
      </c>
      <c r="J43" s="1" t="s">
        <v>2026</v>
      </c>
      <c r="K43" s="1" t="s">
        <v>2036</v>
      </c>
      <c r="L43" s="1">
        <v>3</v>
      </c>
      <c r="M43" s="1">
        <v>4</v>
      </c>
      <c r="N43" s="1">
        <v>1</v>
      </c>
      <c r="O43" s="1">
        <v>3</v>
      </c>
      <c r="P43" s="1">
        <v>3</v>
      </c>
      <c r="Q43" s="1">
        <v>5</v>
      </c>
      <c r="R43" s="1">
        <v>5</v>
      </c>
      <c r="S43" s="1">
        <v>3</v>
      </c>
      <c r="T43" s="1">
        <v>6</v>
      </c>
      <c r="U43" s="1">
        <v>7</v>
      </c>
      <c r="V43" s="1">
        <v>7</v>
      </c>
      <c r="W43" s="1">
        <v>2</v>
      </c>
      <c r="X43" s="1">
        <v>1</v>
      </c>
      <c r="Y43" s="1" t="s">
        <v>2027</v>
      </c>
      <c r="Z43" s="1" t="s">
        <v>2027</v>
      </c>
      <c r="AA43" s="1">
        <v>2</v>
      </c>
      <c r="AB43" s="1">
        <v>5</v>
      </c>
      <c r="AC43" s="1">
        <v>8</v>
      </c>
      <c r="AD43" s="1" t="s">
        <v>2027</v>
      </c>
      <c r="AE43" s="1" t="s">
        <v>2027</v>
      </c>
      <c r="AF43" s="1" t="s">
        <v>2027</v>
      </c>
      <c r="AG43" s="1">
        <v>6</v>
      </c>
      <c r="AH43" s="1">
        <v>3</v>
      </c>
      <c r="AI43" s="1">
        <v>1</v>
      </c>
      <c r="AJ43" s="52" t="s">
        <v>2029</v>
      </c>
      <c r="AK43" s="9">
        <f>($L$3*(L43-$Q$1)/$Q$2+$M$3*(M43-$R$1)/$R$2+$N$3*(N43-$S$1)/$S$2+$O$3*(O43-$T$1)/$T$2+$P$3*(P43-$U$1)/$U$2)/(SUM($L$3:$P$3))</f>
        <v>-1.0266002589127832</v>
      </c>
      <c r="AL43" s="9">
        <f>($L$3*(Q43-$Q$1)/$Q$2+$M$3*(R43-$R$1)/$R$2+$N$3*(S43-$S$1)/$S$2+$O$3*(T43-$T$1)/$T$2+$P$3*(U43-$U$1)/$U$2)/(SUM($L$3:$P$3))</f>
        <v>0.26488829045614976</v>
      </c>
      <c r="AM43">
        <f>IF(AVERAGE(AG43:AH43)&gt;9,1,0)+IF(AVERAGE(AG43:AH43)&gt;7,1,0)+IF(AG43&gt;7,1,0)+IF(AH43&gt;7,1,0)+IF(AI43&gt;8,1,0)+IF(AI43&gt;6,1,0)</f>
        <v>0</v>
      </c>
      <c r="AN43" s="6">
        <f>MIN(2,IF(OR(Y43="-",X43&lt;5),0,1+IF(Y43&gt;7,1+IF(X43&gt;7,0.25,0),IF(Y43&gt;4,0.5+IF(X43&gt;7,0.25,0),0+IF(X43&gt;7,0.25))))+IF(Z43="-",0,IF(Z43&gt;9,0.5,IF(Z43&gt;7,0.25,0)))+IF(AA43="-",0,IF(AA43&gt;7,1.1,IF(AA43&gt;4,0.6,0)))+IF(OR(AB43="-",V43&lt;5),0,IF(AB43&gt;7,1+IF(V43&gt;7,0.25,0),IF(AB43&gt;4,0.5+IF(V43&gt;7,0.25,0),0)))+IF(AC43="-",0,IF(AC43&gt;7,1.5,IF(AC43&gt;4,1,0)))+IF(AD43="-",0,IF(AD43&gt;9,0.5,IF(AD43&gt;7,0.25,0)))+IF(AE43="-",0,IF(AE43&gt;7,1.25,IF(AE43&gt;4,0.75,0)))+IF(OR(AF43="-",W43&lt;4),0,IF(AF43&gt;7,1+IF(W43&gt;7,0.15,0),IF(AF43&gt;4,0.5+IF(W43&gt;7,0.15,0),0))))</f>
        <v>2</v>
      </c>
      <c r="AO43" s="9">
        <f>($AK$3*AK43+$AL$3*AL43+$AM$3*AM43+$AN$3*AN43)+$J$3*VLOOKUP(J43,COND!$A$2:$C$7,2,FALSE)+$K$3*VLOOKUP(K43,COND!$A$2:$C$7,3,FALSE)</f>
        <v>15.225999459582519</v>
      </c>
      <c r="AP43" s="37">
        <f>STANDARDIZE(AO43,AVERAGE($AO$5:$AO$1295),STDEVP($AO$5:$AO$1295))</f>
        <v>0.63342102163869773</v>
      </c>
      <c r="AQ43" t="str">
        <f>IF(AND(Y43&lt;&gt;"-",X43&gt;1),"C",IF(AA43=MAX(AA43:AC43),"2B",IF(AC43=MAX(AA43:AC43),"SS",IF(OR(AB43=MAX(Z43:AC43),AND(AB43&lt;&gt;"-",AB43&gt;4,V43&gt;5)),"3B",IF(AE43=MAX(AD43:AF43),"CF",IF(AND(AF43=MAX(AD43,AF43),AND(W43&gt;5,AD43&lt;&gt;"-")),"RF",IF(AD43&lt;&gt;"-","LF",IF(Z43&lt;&gt;"-","1B","DH"))))))))</f>
        <v>SS</v>
      </c>
      <c r="AR43">
        <v>39</v>
      </c>
      <c r="AT43" t="s">
        <v>156</v>
      </c>
      <c r="AU43" t="str">
        <f>IF(AND($Q43&gt;=6,AVERAGE($S43:$T43)&gt;=6),"Likely",IF(OR($Q43&gt;6,AND($Q43=6,AVERAGE($S43:$T43)&gt;=3),AND($Q43&gt;=5,AVERAGE($S43:$T43)&gt;=5),AVERAGE($Q43,$S43:$T43)&gt;5),"Possible","Unlikely"))</f>
        <v>Unlikely</v>
      </c>
      <c r="AW43" t="str">
        <f>IF(VLOOKUP($B43,'Draft List'!$D$4:$AB$2598,AW$3,FALSE)&lt;&gt;0,VLOOKUP($B43,'Draft List'!$D$4:$AB$2598,AW$3,FALSE),"")</f>
        <v/>
      </c>
      <c r="AX43" t="str">
        <f>IF(VLOOKUP($B43,'Draft List'!$D$4:$AB$2598,AX$3,FALSE)&lt;&gt;0,VLOOKUP($B43,'Draft List'!$D$4:$AB$2598,AX$3,FALSE),"")</f>
        <v/>
      </c>
      <c r="AY43" t="str">
        <f>IF(VLOOKUP($B43,'Draft List'!$D$4:$AB$2598,AY$3,FALSE)&lt;&gt;0,VLOOKUP($B43,'Draft List'!$D$4:$AB$2598,AY$3,FALSE),"")</f>
        <v/>
      </c>
    </row>
    <row r="44" spans="1:51">
      <c r="A44" t="str">
        <f>IF(C44="C","C-",C44)&amp;D44&amp;E44</f>
        <v>RFGustavo Martínez21</v>
      </c>
      <c r="B44" t="e">
        <f>VLOOKUP($A44,draft_listing_batters_stats!$A$1:$B$1324,2,FALSE)</f>
        <v>#N/A</v>
      </c>
      <c r="C44" s="1" t="s">
        <v>2057</v>
      </c>
      <c r="D44" s="1" t="s">
        <v>1357</v>
      </c>
      <c r="E44" s="1">
        <v>21</v>
      </c>
      <c r="F44" s="1" t="s">
        <v>2038</v>
      </c>
      <c r="G44" s="1" t="s">
        <v>2038</v>
      </c>
      <c r="H44" s="1" t="s">
        <v>2033</v>
      </c>
      <c r="I44" s="1" t="s">
        <v>2033</v>
      </c>
      <c r="J44" s="1" t="s">
        <v>2030</v>
      </c>
      <c r="K44" s="1" t="s">
        <v>2026</v>
      </c>
      <c r="L44" s="1">
        <v>4</v>
      </c>
      <c r="M44" s="1">
        <v>3</v>
      </c>
      <c r="N44" s="1">
        <v>2</v>
      </c>
      <c r="O44" s="1">
        <v>1</v>
      </c>
      <c r="P44" s="1">
        <v>2</v>
      </c>
      <c r="Q44" s="1">
        <v>5</v>
      </c>
      <c r="R44" s="1">
        <v>7</v>
      </c>
      <c r="S44" s="1">
        <v>6</v>
      </c>
      <c r="T44" s="1">
        <v>4</v>
      </c>
      <c r="U44" s="1">
        <v>4</v>
      </c>
      <c r="V44" s="1">
        <v>1</v>
      </c>
      <c r="W44" s="1">
        <v>6</v>
      </c>
      <c r="X44" s="1">
        <v>1</v>
      </c>
      <c r="Y44" s="1" t="s">
        <v>2027</v>
      </c>
      <c r="Z44" s="1" t="s">
        <v>2027</v>
      </c>
      <c r="AA44" s="1" t="s">
        <v>2027</v>
      </c>
      <c r="AB44" s="1" t="s">
        <v>2027</v>
      </c>
      <c r="AC44" s="1" t="s">
        <v>2027</v>
      </c>
      <c r="AD44" s="1">
        <v>2</v>
      </c>
      <c r="AE44" s="1">
        <v>1</v>
      </c>
      <c r="AF44" s="1">
        <v>4</v>
      </c>
      <c r="AG44" s="1">
        <v>7</v>
      </c>
      <c r="AH44" s="1">
        <v>8</v>
      </c>
      <c r="AI44" s="1">
        <v>5</v>
      </c>
      <c r="AJ44" s="52" t="s">
        <v>2029</v>
      </c>
      <c r="AK44" s="9">
        <f>($L$3*(L44-$Q$1)/$Q$2+$M$3*(M44-$R$1)/$R$2+$N$3*(N44-$S$1)/$S$2+$O$3*(O44-$T$1)/$T$2+$P$3*(P44-$U$1)/$U$2)/(SUM($L$3:$P$3))</f>
        <v>-0.89147824814115595</v>
      </c>
      <c r="AL44" s="9">
        <f>($L$3*(Q44-$Q$1)/$Q$2+$M$3*(R44-$R$1)/$R$2+$N$3*(S44-$S$1)/$S$2+$O$3*(T44-$T$1)/$T$2+$P$3*(U44-$U$1)/$U$2)/(SUM($L$3:$P$3))</f>
        <v>0.31672441229484882</v>
      </c>
      <c r="AM44">
        <f>IF(AVERAGE(AG44:AH44)&gt;9,1,0)+IF(AVERAGE(AG44:AH44)&gt;7,1,0)+IF(AG44&gt;7,1,0)+IF(AH44&gt;7,1,0)+IF(AI44&gt;8,1,0)+IF(AI44&gt;6,1,0)</f>
        <v>2</v>
      </c>
      <c r="AN44" s="6">
        <f>MIN(2,IF(OR(Y44="-",X44&lt;5),0,1+IF(Y44&gt;7,1+IF(X44&gt;7,0.25,0),IF(Y44&gt;4,0.5+IF(X44&gt;7,0.25,0),0+IF(X44&gt;7,0.25))))+IF(Z44="-",0,IF(Z44&gt;9,0.5,IF(Z44&gt;7,0.25,0)))+IF(AA44="-",0,IF(AA44&gt;7,1.1,IF(AA44&gt;4,0.6,0)))+IF(OR(AB44="-",V44&lt;5),0,IF(AB44&gt;7,1+IF(V44&gt;7,0.25,0),IF(AB44&gt;4,0.5+IF(V44&gt;7,0.25,0),0)))+IF(AC44="-",0,IF(AC44&gt;7,1.5,IF(AC44&gt;4,1,0)))+IF(AD44="-",0,IF(AD44&gt;9,0.5,IF(AD44&gt;7,0.25,0)))+IF(AE44="-",0,IF(AE44&gt;7,1.25,IF(AE44&gt;4,0.75,0)))+IF(OR(AF44="-",W44&lt;4),0,IF(AF44&gt;7,1+IF(W44&gt;7,0.15,0),IF(AF44&gt;4,0.5+IF(W44&gt;7,0.15,0),0))))</f>
        <v>0</v>
      </c>
      <c r="AO44" s="9">
        <f>($AK$3*AK44+$AL$3*AL44+$AM$3*AM44+$AN$3*AN44)+$J$3*VLOOKUP(J44,COND!$A$2:$C$7,2,FALSE)+$K$3*VLOOKUP(K44,COND!$A$2:$C$7,3,FALSE)</f>
        <v>14.044878456057402</v>
      </c>
      <c r="AP44" s="37">
        <f>STANDARDIZE(AO44,AVERAGE($AO$5:$AO$1295),STDEVP($AO$5:$AO$1295))</f>
        <v>0.46933537732600433</v>
      </c>
      <c r="AQ44" t="str">
        <f>IF(AND(Y44&lt;&gt;"-",X44&gt;1),"C",IF(AA44=MAX(AA44:AC44),"2B",IF(AC44=MAX(AA44:AC44),"SS",IF(OR(AB44=MAX(Z44:AC44),AND(AB44&lt;&gt;"-",AB44&gt;4,V44&gt;5)),"3B",IF(AE44=MAX(AD44:AF44),"CF",IF(AND(AF44=MAX(AD44,AF44),AND(W44&gt;5,AD44&lt;&gt;"-")),"RF",IF(AD44&lt;&gt;"-","LF",IF(Z44&lt;&gt;"-","1B","DH"))))))))</f>
        <v>RF</v>
      </c>
      <c r="AR44">
        <v>40</v>
      </c>
      <c r="AT44" t="s">
        <v>155</v>
      </c>
      <c r="AU44" t="str">
        <f>IF(AND($Q44&gt;=6,AVERAGE($S44:$T44)&gt;=6),"Likely",IF(OR($Q44&gt;6,AND($Q44=6,AVERAGE($S44:$T44)&gt;=3),AND($Q44&gt;=5,AVERAGE($S44:$T44)&gt;=5),AVERAGE($Q44,$S44:$T44)&gt;5),"Possible","Unlikely"))</f>
        <v>Possible</v>
      </c>
      <c r="AW44" t="e">
        <f>IF(VLOOKUP($B44,'Draft List'!$D$4:$AB$2598,AW$3,FALSE)&lt;&gt;0,VLOOKUP($B44,'Draft List'!$D$4:$AB$2598,AW$3,FALSE),"")</f>
        <v>#N/A</v>
      </c>
      <c r="AX44" t="e">
        <f>IF(VLOOKUP($B44,'Draft List'!$D$4:$AB$2598,AX$3,FALSE)&lt;&gt;0,VLOOKUP($B44,'Draft List'!$D$4:$AB$2598,AX$3,FALSE),"")</f>
        <v>#N/A</v>
      </c>
      <c r="AY44" t="e">
        <f>IF(VLOOKUP($B44,'Draft List'!$D$4:$AB$2598,AY$3,FALSE)&lt;&gt;0,VLOOKUP($B44,'Draft List'!$D$4:$AB$2598,AY$3,FALSE),"")</f>
        <v>#N/A</v>
      </c>
    </row>
    <row r="45" spans="1:51">
      <c r="A45" t="str">
        <f>IF(C45="C","C-",C45)&amp;D45&amp;E45</f>
        <v>CFCornell Bradford21</v>
      </c>
      <c r="B45">
        <f>VLOOKUP($A45,draft_listing_batters_stats!$A$1:$B$1324,2,FALSE)</f>
        <v>3094</v>
      </c>
      <c r="C45" s="1" t="s">
        <v>2079</v>
      </c>
      <c r="D45" s="1" t="s">
        <v>1460</v>
      </c>
      <c r="E45" s="1">
        <v>21</v>
      </c>
      <c r="F45" s="1" t="s">
        <v>2022</v>
      </c>
      <c r="G45" s="1" t="s">
        <v>2022</v>
      </c>
      <c r="H45" s="1" t="s">
        <v>2033</v>
      </c>
      <c r="I45" s="1" t="s">
        <v>2033</v>
      </c>
      <c r="J45" s="1" t="s">
        <v>2036</v>
      </c>
      <c r="K45" s="1" t="s">
        <v>2025</v>
      </c>
      <c r="L45" s="1">
        <v>4</v>
      </c>
      <c r="M45" s="1">
        <v>7</v>
      </c>
      <c r="N45" s="1">
        <v>1</v>
      </c>
      <c r="O45" s="1">
        <v>3</v>
      </c>
      <c r="P45" s="1">
        <v>3</v>
      </c>
      <c r="Q45" s="1">
        <v>5</v>
      </c>
      <c r="R45" s="1">
        <v>7</v>
      </c>
      <c r="S45" s="1">
        <v>2</v>
      </c>
      <c r="T45" s="1">
        <v>5</v>
      </c>
      <c r="U45" s="1">
        <v>5</v>
      </c>
      <c r="V45" s="1">
        <v>1</v>
      </c>
      <c r="W45" s="1">
        <v>7</v>
      </c>
      <c r="X45" s="1">
        <v>1</v>
      </c>
      <c r="Y45" s="1" t="s">
        <v>2027</v>
      </c>
      <c r="Z45" s="1" t="s">
        <v>2027</v>
      </c>
      <c r="AA45" s="1" t="s">
        <v>2027</v>
      </c>
      <c r="AB45" s="1" t="s">
        <v>2027</v>
      </c>
      <c r="AC45" s="1" t="s">
        <v>2027</v>
      </c>
      <c r="AD45" s="1">
        <v>3</v>
      </c>
      <c r="AE45" s="1">
        <v>6</v>
      </c>
      <c r="AF45" s="1">
        <v>5</v>
      </c>
      <c r="AG45" s="1">
        <v>8</v>
      </c>
      <c r="AH45" s="1">
        <v>8</v>
      </c>
      <c r="AI45" s="1">
        <v>7</v>
      </c>
      <c r="AJ45" s="52" t="s">
        <v>2029</v>
      </c>
      <c r="AK45" s="9">
        <f>($L$3*(L45-$Q$1)/$Q$2+$M$3*(M45-$R$1)/$R$2+$N$3*(N45-$S$1)/$S$2+$O$3*(O45-$T$1)/$T$2+$P$3*(P45-$U$1)/$U$2)/(SUM($L$3:$P$3))</f>
        <v>-0.55086478385399784</v>
      </c>
      <c r="AL45" s="9">
        <f>($L$3*(Q45-$Q$1)/$Q$2+$M$3*(R45-$R$1)/$R$2+$N$3*(S45-$S$1)/$S$2+$O$3*(T45-$T$1)/$T$2+$P$3*(U45-$U$1)/$U$2)/(SUM($L$3:$P$3))</f>
        <v>0.11420432602590729</v>
      </c>
      <c r="AM45">
        <f>IF(AVERAGE(AG45:AH45)&gt;9,1,0)+IF(AVERAGE(AG45:AH45)&gt;7,1,0)+IF(AG45&gt;7,1,0)+IF(AH45&gt;7,1,0)+IF(AI45&gt;8,1,0)+IF(AI45&gt;6,1,0)</f>
        <v>4</v>
      </c>
      <c r="AN45" s="6">
        <f>MIN(2,IF(OR(Y45="-",X45&lt;5),0,1+IF(Y45&gt;7,1+IF(X45&gt;7,0.25,0),IF(Y45&gt;4,0.5+IF(X45&gt;7,0.25,0),0+IF(X45&gt;7,0.25))))+IF(Z45="-",0,IF(Z45&gt;9,0.5,IF(Z45&gt;7,0.25,0)))+IF(AA45="-",0,IF(AA45&gt;7,1.1,IF(AA45&gt;4,0.6,0)))+IF(OR(AB45="-",V45&lt;5),0,IF(AB45&gt;7,1+IF(V45&gt;7,0.25,0),IF(AB45&gt;4,0.5+IF(V45&gt;7,0.25,0),0)))+IF(AC45="-",0,IF(AC45&gt;7,1.5,IF(AC45&gt;4,1,0)))+IF(AD45="-",0,IF(AD45&gt;9,0.5,IF(AD45&gt;7,0.25,0)))+IF(AE45="-",0,IF(AE45&gt;7,1.25,IF(AE45&gt;4,0.75,0)))+IF(OR(AF45="-",W45&lt;4),0,IF(AF45&gt;7,1+IF(W45&gt;7,0.15,0),IF(AF45&gt;4,0.5+IF(W45&gt;7,0.15,0),0))))</f>
        <v>1.25</v>
      </c>
      <c r="AO45" s="9">
        <f>($AK$3*AK45+$AL$3*AL45+$AM$3*AM45+$AN$3*AN45)+$J$3*VLOOKUP(J45,COND!$A$2:$C$7,2,FALSE)+$K$3*VLOOKUP(K45,COND!$A$2:$C$7,3,FALSE)</f>
        <v>13.482032100592154</v>
      </c>
      <c r="AP45" s="37">
        <f>STANDARDIZE(AO45,AVERAGE($AO$5:$AO$1295),STDEVP($AO$5:$AO$1295))</f>
        <v>0.39114270560995812</v>
      </c>
      <c r="AQ45" t="str">
        <f>IF(AND(Y45&lt;&gt;"-",X45&gt;1),"C",IF(AA45=MAX(AA45:AC45),"2B",IF(AC45=MAX(AA45:AC45),"SS",IF(OR(AB45=MAX(Z45:AC45),AND(AB45&lt;&gt;"-",AB45&gt;4,V45&gt;5)),"3B",IF(AE45=MAX(AD45:AF45),"CF",IF(AND(AF45=MAX(AD45,AF45),AND(W45&gt;5,AD45&lt;&gt;"-")),"RF",IF(AD45&lt;&gt;"-","LF",IF(Z45&lt;&gt;"-","1B","DH"))))))))</f>
        <v>CF</v>
      </c>
      <c r="AR45">
        <v>41</v>
      </c>
      <c r="AT45" t="s">
        <v>154</v>
      </c>
      <c r="AU45" t="str">
        <f>IF(AND($Q45&gt;=6,AVERAGE($S45:$T45)&gt;=6),"Likely",IF(OR($Q45&gt;6,AND($Q45=6,AVERAGE($S45:$T45)&gt;=3),AND($Q45&gt;=5,AVERAGE($S45:$T45)&gt;=5),AVERAGE($Q45,$S45:$T45)&gt;5),"Possible","Unlikely"))</f>
        <v>Unlikely</v>
      </c>
      <c r="AW45" t="str">
        <f>IF(VLOOKUP($B45,'Draft List'!$D$4:$AB$2598,AW$3,FALSE)&lt;&gt;0,VLOOKUP($B45,'Draft List'!$D$4:$AB$2598,AW$3,FALSE),"")</f>
        <v/>
      </c>
      <c r="AX45" t="str">
        <f>IF(VLOOKUP($B45,'Draft List'!$D$4:$AB$2598,AX$3,FALSE)&lt;&gt;0,VLOOKUP($B45,'Draft List'!$D$4:$AB$2598,AX$3,FALSE),"")</f>
        <v/>
      </c>
      <c r="AY45" t="str">
        <f>IF(VLOOKUP($B45,'Draft List'!$D$4:$AB$2598,AY$3,FALSE)&lt;&gt;0,VLOOKUP($B45,'Draft List'!$D$4:$AB$2598,AY$3,FALSE),"")</f>
        <v/>
      </c>
    </row>
    <row r="46" spans="1:51">
      <c r="A46" t="str">
        <f>IF(C46="C","C-",C46)&amp;D46&amp;E46</f>
        <v>1BJuan Rodríguez21</v>
      </c>
      <c r="B46" t="e">
        <f>VLOOKUP($A46,draft_listing_batters_stats!$A$1:$B$1324,2,FALSE)</f>
        <v>#N/A</v>
      </c>
      <c r="C46" s="1" t="s">
        <v>2092</v>
      </c>
      <c r="D46" s="1" t="s">
        <v>1206</v>
      </c>
      <c r="E46" s="1">
        <v>21</v>
      </c>
      <c r="F46" s="1" t="s">
        <v>2022</v>
      </c>
      <c r="G46" s="1" t="s">
        <v>2022</v>
      </c>
      <c r="H46" s="1" t="s">
        <v>2033</v>
      </c>
      <c r="I46" s="1" t="s">
        <v>2033</v>
      </c>
      <c r="J46" s="1" t="s">
        <v>2026</v>
      </c>
      <c r="K46" s="1" t="s">
        <v>2026</v>
      </c>
      <c r="L46" s="1">
        <v>4</v>
      </c>
      <c r="M46" s="1">
        <v>5</v>
      </c>
      <c r="N46" s="1">
        <v>3</v>
      </c>
      <c r="O46" s="1">
        <v>3</v>
      </c>
      <c r="P46" s="1">
        <v>2</v>
      </c>
      <c r="Q46" s="1">
        <v>6</v>
      </c>
      <c r="R46" s="1">
        <v>7</v>
      </c>
      <c r="S46" s="1">
        <v>6</v>
      </c>
      <c r="T46" s="1">
        <v>4</v>
      </c>
      <c r="U46" s="1">
        <v>5</v>
      </c>
      <c r="V46" s="1">
        <v>4</v>
      </c>
      <c r="W46" s="1">
        <v>3</v>
      </c>
      <c r="X46" s="1">
        <v>1</v>
      </c>
      <c r="Y46" s="1" t="s">
        <v>2027</v>
      </c>
      <c r="Z46" s="1">
        <v>4</v>
      </c>
      <c r="AA46" s="1" t="s">
        <v>2027</v>
      </c>
      <c r="AB46" s="1" t="s">
        <v>2027</v>
      </c>
      <c r="AC46" s="1" t="s">
        <v>2027</v>
      </c>
      <c r="AD46" s="1" t="s">
        <v>2027</v>
      </c>
      <c r="AE46" s="1" t="s">
        <v>2027</v>
      </c>
      <c r="AF46" s="1" t="s">
        <v>2027</v>
      </c>
      <c r="AG46" s="1">
        <v>3</v>
      </c>
      <c r="AH46" s="1">
        <v>2</v>
      </c>
      <c r="AI46" s="1">
        <v>3</v>
      </c>
      <c r="AJ46" s="52" t="s">
        <v>2029</v>
      </c>
      <c r="AK46" s="9">
        <f>($L$3*(L46-$Q$1)/$Q$2+$M$3*(M46-$R$1)/$R$2+$N$3*(N46-$S$1)/$S$2+$O$3*(O46-$T$1)/$T$2+$P$3*(P46-$U$1)/$U$2)/(SUM($L$3:$P$3))</f>
        <v>-0.52687789486068537</v>
      </c>
      <c r="AL46" s="9">
        <f>($L$3*(Q46-$Q$1)/$Q$2+$M$3*(R46-$R$1)/$R$2+$N$3*(S46-$S$1)/$S$2+$O$3*(T46-$T$1)/$T$2+$P$3*(U46-$U$1)/$U$2)/(SUM($L$3:$P$3))</f>
        <v>0.67929658831460704</v>
      </c>
      <c r="AM46">
        <f>IF(AVERAGE(AG46:AH46)&gt;9,1,0)+IF(AVERAGE(AG46:AH46)&gt;7,1,0)+IF(AG46&gt;7,1,0)+IF(AH46&gt;7,1,0)+IF(AI46&gt;8,1,0)+IF(AI46&gt;6,1,0)</f>
        <v>0</v>
      </c>
      <c r="AN46" s="6">
        <f>MIN(2,IF(OR(Y46="-",X46&lt;5),0,1+IF(Y46&gt;7,1+IF(X46&gt;7,0.25,0),IF(Y46&gt;4,0.5+IF(X46&gt;7,0.25,0),0+IF(X46&gt;7,0.25))))+IF(Z46="-",0,IF(Z46&gt;9,0.5,IF(Z46&gt;7,0.25,0)))+IF(AA46="-",0,IF(AA46&gt;7,1.1,IF(AA46&gt;4,0.6,0)))+IF(OR(AB46="-",V46&lt;5),0,IF(AB46&gt;7,1+IF(V46&gt;7,0.25,0),IF(AB46&gt;4,0.5+IF(V46&gt;7,0.25,0),0)))+IF(AC46="-",0,IF(AC46&gt;7,1.5,IF(AC46&gt;4,1,0)))+IF(AD46="-",0,IF(AD46&gt;9,0.5,IF(AD46&gt;7,0.25,0)))+IF(AE46="-",0,IF(AE46&gt;7,1.25,IF(AE46&gt;4,0.75,0)))+IF(OR(AF46="-",W46&lt;4),0,IF(AF46&gt;7,1+IF(W46&gt;7,0.15,0),IF(AF46&gt;4,0.5+IF(W46&gt;7,0.15,0),0))))</f>
        <v>0</v>
      </c>
      <c r="AO46" s="9">
        <f>($AK$3*AK46+$AL$3*AL46+$AM$3*AM46+$AN$3*AN46)+$J$3*VLOOKUP(J46,COND!$A$2:$C$7,2,FALSE)+$K$3*VLOOKUP(K46,COND!$A$2:$C$7,3,FALSE)</f>
        <v>17.898871270289217</v>
      </c>
      <c r="AP46" s="37">
        <f>STANDARDIZE(AO46,AVERAGE($AO$5:$AO$1295),STDEVP($AO$5:$AO$1295))</f>
        <v>1.0047461372839865</v>
      </c>
      <c r="AQ46" t="str">
        <f>IF(AND(Y46&lt;&gt;"-",X46&gt;1),"C",IF(AA46=MAX(AA46:AC46),"2B",IF(AC46=MAX(AA46:AC46),"SS",IF(OR(AB46=MAX(Z46:AC46),AND(AB46&lt;&gt;"-",AB46&gt;4,V46&gt;5)),"3B",IF(AE46=MAX(AD46:AF46),"CF",IF(AND(AF46=MAX(AD46,AF46),AND(W46&gt;5,AD46&lt;&gt;"-")),"RF",IF(AD46&lt;&gt;"-","LF",IF(Z46&lt;&gt;"-","1B","DH"))))))))</f>
        <v>1B</v>
      </c>
      <c r="AR46">
        <v>42</v>
      </c>
      <c r="AT46" t="s">
        <v>154</v>
      </c>
      <c r="AU46" t="str">
        <f>IF(AND($Q46&gt;=6,AVERAGE($S46:$T46)&gt;=6),"Likely",IF(OR($Q46&gt;6,AND($Q46=6,AVERAGE($S46:$T46)&gt;=3),AND($Q46&gt;=5,AVERAGE($S46:$T46)&gt;=5),AVERAGE($Q46,$S46:$T46)&gt;5),"Possible","Unlikely"))</f>
        <v>Possible</v>
      </c>
      <c r="AW46" t="e">
        <f>IF(VLOOKUP($B46,'Draft List'!$D$4:$AB$2598,AW$3,FALSE)&lt;&gt;0,VLOOKUP($B46,'Draft List'!$D$4:$AB$2598,AW$3,FALSE),"")</f>
        <v>#N/A</v>
      </c>
      <c r="AX46" t="e">
        <f>IF(VLOOKUP($B46,'Draft List'!$D$4:$AB$2598,AX$3,FALSE)&lt;&gt;0,VLOOKUP($B46,'Draft List'!$D$4:$AB$2598,AX$3,FALSE),"")</f>
        <v>#N/A</v>
      </c>
      <c r="AY46" t="e">
        <f>IF(VLOOKUP($B46,'Draft List'!$D$4:$AB$2598,AY$3,FALSE)&lt;&gt;0,VLOOKUP($B46,'Draft List'!$D$4:$AB$2598,AY$3,FALSE),"")</f>
        <v>#N/A</v>
      </c>
    </row>
    <row r="47" spans="1:51">
      <c r="A47" t="str">
        <f>IF(C47="C","C-",C47)&amp;D47&amp;E47</f>
        <v>LFTom Gilmore21</v>
      </c>
      <c r="B47">
        <f>VLOOKUP($A47,draft_listing_batters_stats!$A$1:$B$1324,2,FALSE)</f>
        <v>3993</v>
      </c>
      <c r="C47" s="1" t="s">
        <v>2035</v>
      </c>
      <c r="D47" s="1" t="s">
        <v>1300</v>
      </c>
      <c r="E47" s="1">
        <v>21</v>
      </c>
      <c r="F47" s="1" t="s">
        <v>2038</v>
      </c>
      <c r="G47" s="1" t="s">
        <v>2038</v>
      </c>
      <c r="H47" s="1" t="s">
        <v>2033</v>
      </c>
      <c r="I47" s="1" t="s">
        <v>2033</v>
      </c>
      <c r="J47" s="1" t="s">
        <v>2030</v>
      </c>
      <c r="K47" s="1" t="s">
        <v>2025</v>
      </c>
      <c r="L47" s="1">
        <v>5</v>
      </c>
      <c r="M47" s="1">
        <v>6</v>
      </c>
      <c r="N47" s="1">
        <v>4</v>
      </c>
      <c r="O47" s="1">
        <v>3</v>
      </c>
      <c r="P47" s="1">
        <v>3</v>
      </c>
      <c r="Q47" s="1">
        <v>6</v>
      </c>
      <c r="R47" s="1">
        <v>7</v>
      </c>
      <c r="S47" s="1">
        <v>4</v>
      </c>
      <c r="T47" s="1">
        <v>4</v>
      </c>
      <c r="U47" s="1">
        <v>4</v>
      </c>
      <c r="V47" s="1">
        <v>5</v>
      </c>
      <c r="W47" s="1">
        <v>6</v>
      </c>
      <c r="X47" s="1">
        <v>1</v>
      </c>
      <c r="Y47" s="1" t="s">
        <v>2027</v>
      </c>
      <c r="Z47" s="1">
        <v>2</v>
      </c>
      <c r="AA47" s="1" t="s">
        <v>2027</v>
      </c>
      <c r="AB47" s="1" t="s">
        <v>2027</v>
      </c>
      <c r="AC47" s="1" t="s">
        <v>2027</v>
      </c>
      <c r="AD47" s="1">
        <v>8</v>
      </c>
      <c r="AE47" s="1">
        <v>2</v>
      </c>
      <c r="AF47" s="1">
        <v>4</v>
      </c>
      <c r="AG47" s="1">
        <v>8</v>
      </c>
      <c r="AH47" s="1">
        <v>9</v>
      </c>
      <c r="AI47" s="1">
        <v>10</v>
      </c>
      <c r="AJ47" s="52" t="s">
        <v>2029</v>
      </c>
      <c r="AK47" s="9">
        <f>($L$3*(L47-$Q$1)/$Q$2+$M$3*(M47-$R$1)/$R$2+$N$3*(N47-$S$1)/$S$2+$O$3*(O47-$T$1)/$T$2+$P$3*(P47-$U$1)/$U$2)/(SUM($L$3:$P$3))</f>
        <v>-3.0184345198322183E-2</v>
      </c>
      <c r="AL47" s="9">
        <f>($L$3*(Q47-$Q$1)/$Q$2+$M$3*(R47-$R$1)/$R$2+$N$3*(S47-$S$1)/$S$2+$O$3*(T47-$T$1)/$T$2+$P$3*(U47-$U$1)/$U$2)/(SUM($L$3:$P$3))</f>
        <v>0.47315726044972051</v>
      </c>
      <c r="AM47">
        <f>IF(AVERAGE(AG47:AH47)&gt;9,1,0)+IF(AVERAGE(AG47:AH47)&gt;7,1,0)+IF(AG47&gt;7,1,0)+IF(AH47&gt;7,1,0)+IF(AI47&gt;8,1,0)+IF(AI47&gt;6,1,0)</f>
        <v>5</v>
      </c>
      <c r="AN47" s="6">
        <f>MIN(2,IF(OR(Y47="-",X47&lt;5),0,1+IF(Y47&gt;7,1+IF(X47&gt;7,0.25,0),IF(Y47&gt;4,0.5+IF(X47&gt;7,0.25,0),0+IF(X47&gt;7,0.25))))+IF(Z47="-",0,IF(Z47&gt;9,0.5,IF(Z47&gt;7,0.25,0)))+IF(AA47="-",0,IF(AA47&gt;7,1.1,IF(AA47&gt;4,0.6,0)))+IF(OR(AB47="-",V47&lt;5),0,IF(AB47&gt;7,1+IF(V47&gt;7,0.25,0),IF(AB47&gt;4,0.5+IF(V47&gt;7,0.25,0),0)))+IF(AC47="-",0,IF(AC47&gt;7,1.5,IF(AC47&gt;4,1,0)))+IF(AD47="-",0,IF(AD47&gt;9,0.5,IF(AD47&gt;7,0.25,0)))+IF(AE47="-",0,IF(AE47&gt;7,1.25,IF(AE47&gt;4,0.75,0)))+IF(OR(AF47="-",W47&lt;4),0,IF(AF47&gt;7,1+IF(W47&gt;7,0.15,0),IF(AF47&gt;4,0.5+IF(W47&gt;7,0.15,0),0))))</f>
        <v>0.25</v>
      </c>
      <c r="AO47" s="9">
        <f>($AK$3*AK47+$AL$3*AL47+$AM$3*AM47+$AN$3*AN47)+$J$3*VLOOKUP(J47,COND!$A$2:$C$7,2,FALSE)+$K$3*VLOOKUP(K47,COND!$A$2:$C$7,3,FALSE)</f>
        <v>16.858202024210147</v>
      </c>
      <c r="AP47" s="37">
        <f>STANDARDIZE(AO47,AVERAGE($AO$5:$AO$1295),STDEVP($AO$5:$AO$1295))</f>
        <v>0.86017256417026655</v>
      </c>
      <c r="AQ47" t="str">
        <f>IF(AND(Y47&lt;&gt;"-",X47&gt;1),"C",IF(AA47=MAX(AA47:AC47),"2B",IF(AC47=MAX(AA47:AC47),"SS",IF(OR(AB47=MAX(Z47:AC47),AND(AB47&lt;&gt;"-",AB47&gt;4,V47&gt;5)),"3B",IF(AE47=MAX(AD47:AF47),"CF",IF(AND(AF47=MAX(AD47,AF47),AND(W47&gt;5,AD47&lt;&gt;"-")),"RF",IF(AD47&lt;&gt;"-","LF",IF(Z47&lt;&gt;"-","1B","DH"))))))))</f>
        <v>LF</v>
      </c>
      <c r="AR47">
        <v>43</v>
      </c>
      <c r="AT47" t="s">
        <v>155</v>
      </c>
      <c r="AU47" t="str">
        <f>IF(AND($Q47&gt;=6,AVERAGE($S47:$T47)&gt;=6),"Likely",IF(OR($Q47&gt;6,AND($Q47=6,AVERAGE($S47:$T47)&gt;=3),AND($Q47&gt;=5,AVERAGE($S47:$T47)&gt;=5),AVERAGE($Q47,$S47:$T47)&gt;5),"Possible","Unlikely"))</f>
        <v>Possible</v>
      </c>
      <c r="AW47" t="str">
        <f>IF(VLOOKUP($B47,'Draft List'!$D$4:$AB$2598,AW$3,FALSE)&lt;&gt;0,VLOOKUP($B47,'Draft List'!$D$4:$AB$2598,AW$3,FALSE),"")</f>
        <v/>
      </c>
      <c r="AX47" t="str">
        <f>IF(VLOOKUP($B47,'Draft List'!$D$4:$AB$2598,AX$3,FALSE)&lt;&gt;0,VLOOKUP($B47,'Draft List'!$D$4:$AB$2598,AX$3,FALSE),"")</f>
        <v/>
      </c>
      <c r="AY47" t="str">
        <f>IF(VLOOKUP($B47,'Draft List'!$D$4:$AB$2598,AY$3,FALSE)&lt;&gt;0,VLOOKUP($B47,'Draft List'!$D$4:$AB$2598,AY$3,FALSE),"")</f>
        <v/>
      </c>
    </row>
    <row r="48" spans="1:51">
      <c r="A48" t="str">
        <f>IF(C48="C","C-",C48)&amp;D48&amp;E48</f>
        <v>CFPablo Padilla21</v>
      </c>
      <c r="B48">
        <f>VLOOKUP($A48,draft_listing_batters_stats!$A$1:$B$1324,2,FALSE)</f>
        <v>7665</v>
      </c>
      <c r="C48" s="1" t="s">
        <v>2079</v>
      </c>
      <c r="D48" s="1" t="s">
        <v>1394</v>
      </c>
      <c r="E48" s="1">
        <v>21</v>
      </c>
      <c r="F48" s="1" t="s">
        <v>2038</v>
      </c>
      <c r="G48" s="1" t="s">
        <v>2038</v>
      </c>
      <c r="H48" s="1" t="s">
        <v>2033</v>
      </c>
      <c r="I48" s="1" t="s">
        <v>2033</v>
      </c>
      <c r="J48" s="1" t="s">
        <v>2026</v>
      </c>
      <c r="K48" s="1" t="s">
        <v>2036</v>
      </c>
      <c r="L48" s="1">
        <v>3</v>
      </c>
      <c r="M48" s="1">
        <v>6</v>
      </c>
      <c r="N48" s="1">
        <v>2</v>
      </c>
      <c r="O48" s="1">
        <v>3</v>
      </c>
      <c r="P48" s="1">
        <v>3</v>
      </c>
      <c r="Q48" s="1">
        <v>5</v>
      </c>
      <c r="R48" s="1">
        <v>8</v>
      </c>
      <c r="S48" s="1">
        <v>5</v>
      </c>
      <c r="T48" s="1">
        <v>4</v>
      </c>
      <c r="U48" s="1">
        <v>5</v>
      </c>
      <c r="V48" s="1">
        <v>1</v>
      </c>
      <c r="W48" s="1">
        <v>3</v>
      </c>
      <c r="X48" s="1">
        <v>1</v>
      </c>
      <c r="Y48" s="1" t="s">
        <v>2027</v>
      </c>
      <c r="Z48" s="1">
        <v>1</v>
      </c>
      <c r="AA48" s="1" t="s">
        <v>2027</v>
      </c>
      <c r="AB48" s="1" t="s">
        <v>2027</v>
      </c>
      <c r="AC48" s="1" t="s">
        <v>2027</v>
      </c>
      <c r="AD48" s="1">
        <v>1</v>
      </c>
      <c r="AE48" s="1">
        <v>2</v>
      </c>
      <c r="AF48" s="1">
        <v>5</v>
      </c>
      <c r="AG48" s="1">
        <v>6</v>
      </c>
      <c r="AH48" s="1">
        <v>6</v>
      </c>
      <c r="AI48" s="1">
        <v>5</v>
      </c>
      <c r="AJ48" s="52" t="s">
        <v>2029</v>
      </c>
      <c r="AK48" s="9">
        <f>($L$3*(L48-$Q$1)/$Q$2+$M$3*(M48-$R$1)/$R$2+$N$3*(N48-$S$1)/$S$2+$O$3*(O48-$T$1)/$T$2+$P$3*(P48-$U$1)/$U$2)/(SUM($L$3:$P$3))</f>
        <v>-0.84141900565147465</v>
      </c>
      <c r="AL48" s="9">
        <f>($L$3*(Q48-$Q$1)/$Q$2+$M$3*(R48-$R$1)/$R$2+$N$3*(S48-$S$1)/$S$2+$O$3*(T48-$T$1)/$T$2+$P$3*(U48-$U$1)/$U$2)/(SUM($L$3:$P$3))</f>
        <v>0.32473913770673424</v>
      </c>
      <c r="AM48">
        <f>IF(AVERAGE(AG48:AH48)&gt;9,1,0)+IF(AVERAGE(AG48:AH48)&gt;7,1,0)+IF(AG48&gt;7,1,0)+IF(AH48&gt;7,1,0)+IF(AI48&gt;8,1,0)+IF(AI48&gt;6,1,0)</f>
        <v>0</v>
      </c>
      <c r="AN48" s="6">
        <f>MIN(2,IF(OR(Y48="-",X48&lt;5),0,1+IF(Y48&gt;7,1+IF(X48&gt;7,0.25,0),IF(Y48&gt;4,0.5+IF(X48&gt;7,0.25,0),0+IF(X48&gt;7,0.25))))+IF(Z48="-",0,IF(Z48&gt;9,0.5,IF(Z48&gt;7,0.25,0)))+IF(AA48="-",0,IF(AA48&gt;7,1.1,IF(AA48&gt;4,0.6,0)))+IF(OR(AB48="-",V48&lt;5),0,IF(AB48&gt;7,1+IF(V48&gt;7,0.25,0),IF(AB48&gt;4,0.5+IF(V48&gt;7,0.25,0),0)))+IF(AC48="-",0,IF(AC48&gt;7,1.5,IF(AC48&gt;4,1,0)))+IF(AD48="-",0,IF(AD48&gt;9,0.5,IF(AD48&gt;7,0.25,0)))+IF(AE48="-",0,IF(AE48&gt;7,1.25,IF(AE48&gt;4,0.75,0)))+IF(OR(AF48="-",W48&lt;4),0,IF(AF48&gt;7,1+IF(W48&gt;7,0.15,0),IF(AF48&gt;4,0.5+IF(W48&gt;7,0.15,0),0))))</f>
        <v>0</v>
      </c>
      <c r="AO48" s="9">
        <f>($AK$3*AK48+$AL$3*AL48+$AM$3*AM48+$AN$3*AN48)+$J$3*VLOOKUP(J48,COND!$A$2:$C$7,2,FALSE)+$K$3*VLOOKUP(K48,COND!$A$2:$C$7,3,FALSE)</f>
        <v>13.962727751915663</v>
      </c>
      <c r="AP48" s="37">
        <f>STANDARDIZE(AO48,AVERAGE($AO$5:$AO$1295),STDEVP($AO$5:$AO$1295))</f>
        <v>0.45792270141929564</v>
      </c>
      <c r="AQ48" t="str">
        <f>IF(AND(Y48&lt;&gt;"-",X48&gt;1),"C",IF(AA48=MAX(AA48:AC48),"2B",IF(AC48=MAX(AA48:AC48),"SS",IF(OR(AB48=MAX(Z48:AC48),AND(AB48&lt;&gt;"-",AB48&gt;4,V48&gt;5)),"3B",IF(AE48=MAX(AD48:AF48),"CF",IF(AND(AF48=MAX(AD48,AF48),AND(W48&gt;5,AD48&lt;&gt;"-")),"RF",IF(AD48&lt;&gt;"-","LF",IF(Z48&lt;&gt;"-","1B","DH"))))))))</f>
        <v>LF</v>
      </c>
      <c r="AR48">
        <v>44</v>
      </c>
      <c r="AT48" t="s">
        <v>157</v>
      </c>
      <c r="AU48" t="str">
        <f>IF(AND($Q48&gt;=6,AVERAGE($S48:$T48)&gt;=6),"Likely",IF(OR($Q48&gt;6,AND($Q48=6,AVERAGE($S48:$T48)&gt;=3),AND($Q48&gt;=5,AVERAGE($S48:$T48)&gt;=5),AVERAGE($Q48,$S48:$T48)&gt;5),"Possible","Unlikely"))</f>
        <v>Unlikely</v>
      </c>
      <c r="AW48" t="e">
        <f>IF(VLOOKUP($B48,'Draft List'!$D$4:$AB$2598,AW$3,FALSE)&lt;&gt;0,VLOOKUP($B48,'Draft List'!$D$4:$AB$2598,AW$3,FALSE),"")</f>
        <v>#N/A</v>
      </c>
      <c r="AX48" t="e">
        <f>IF(VLOOKUP($B48,'Draft List'!$D$4:$AB$2598,AX$3,FALSE)&lt;&gt;0,VLOOKUP($B48,'Draft List'!$D$4:$AB$2598,AX$3,FALSE),"")</f>
        <v>#N/A</v>
      </c>
      <c r="AY48" t="e">
        <f>IF(VLOOKUP($B48,'Draft List'!$D$4:$AB$2598,AY$3,FALSE)&lt;&gt;0,VLOOKUP($B48,'Draft List'!$D$4:$AB$2598,AY$3,FALSE),"")</f>
        <v>#N/A</v>
      </c>
    </row>
    <row r="49" spans="1:51">
      <c r="A49" t="str">
        <f>IF(C49="C","C-",C49)&amp;D49&amp;E49</f>
        <v>3BNelson Cardenas18</v>
      </c>
      <c r="B49">
        <f>VLOOKUP($A49,draft_listing_batters_stats!$A$1:$B$1324,2,FALSE)</f>
        <v>13822</v>
      </c>
      <c r="C49" s="1" t="s">
        <v>2061</v>
      </c>
      <c r="D49" s="1" t="s">
        <v>1432</v>
      </c>
      <c r="E49" s="1">
        <v>18</v>
      </c>
      <c r="F49" s="1" t="s">
        <v>2022</v>
      </c>
      <c r="G49" s="1" t="s">
        <v>2022</v>
      </c>
      <c r="H49" s="1" t="s">
        <v>2033</v>
      </c>
      <c r="I49" s="1" t="s">
        <v>2023</v>
      </c>
      <c r="J49" s="1" t="s">
        <v>2025</v>
      </c>
      <c r="K49" s="1" t="s">
        <v>2030</v>
      </c>
      <c r="L49" s="1">
        <v>1</v>
      </c>
      <c r="M49" s="1">
        <v>2</v>
      </c>
      <c r="N49" s="1">
        <v>1</v>
      </c>
      <c r="O49" s="1">
        <v>1</v>
      </c>
      <c r="P49" s="1">
        <v>1</v>
      </c>
      <c r="Q49" s="1">
        <v>6</v>
      </c>
      <c r="R49" s="1">
        <v>9</v>
      </c>
      <c r="S49" s="1">
        <v>7</v>
      </c>
      <c r="T49" s="1">
        <v>5</v>
      </c>
      <c r="U49" s="1">
        <v>4</v>
      </c>
      <c r="V49" s="1">
        <v>7</v>
      </c>
      <c r="W49" s="1">
        <v>2</v>
      </c>
      <c r="X49" s="1">
        <v>1</v>
      </c>
      <c r="Y49" s="1" t="s">
        <v>2027</v>
      </c>
      <c r="Z49" s="1">
        <v>1</v>
      </c>
      <c r="AA49" s="1">
        <v>1</v>
      </c>
      <c r="AB49" s="1">
        <v>2</v>
      </c>
      <c r="AC49" s="1">
        <v>1</v>
      </c>
      <c r="AD49" s="1" t="s">
        <v>2027</v>
      </c>
      <c r="AE49" s="1" t="s">
        <v>2027</v>
      </c>
      <c r="AF49" s="1" t="s">
        <v>2027</v>
      </c>
      <c r="AG49" s="1">
        <v>2</v>
      </c>
      <c r="AH49" s="1">
        <v>5</v>
      </c>
      <c r="AI49" s="1">
        <v>4</v>
      </c>
      <c r="AJ49" s="52" t="s">
        <v>2029</v>
      </c>
      <c r="AK49" s="9">
        <f>($L$3*(L49-$Q$1)/$Q$2+$M$3*(M49-$R$1)/$R$2+$N$3*(N49-$S$1)/$S$2+$O$3*(O49-$T$1)/$T$2+$P$3*(P49-$U$1)/$U$2)/(SUM($L$3:$P$3))</f>
        <v>-2.0332834702088682</v>
      </c>
      <c r="AL49" s="9">
        <f>($L$3*(Q49-$Q$1)/$Q$2+$M$3*(R49-$R$1)/$R$2+$N$3*(S49-$S$1)/$S$2+$O$3*(T49-$T$1)/$T$2+$P$3*(U49-$U$1)/$U$2)/(SUM($L$3:$P$3))</f>
        <v>0.91417105176841307</v>
      </c>
      <c r="AM49">
        <f>IF(AVERAGE(AG49:AH49)&gt;9,1,0)+IF(AVERAGE(AG49:AH49)&gt;7,1,0)+IF(AG49&gt;7,1,0)+IF(AH49&gt;7,1,0)+IF(AI49&gt;8,1,0)+IF(AI49&gt;6,1,0)</f>
        <v>0</v>
      </c>
      <c r="AN49" s="6">
        <f>MIN(2,IF(OR(Y49="-",X49&lt;5),0,1+IF(Y49&gt;7,1+IF(X49&gt;7,0.25,0),IF(Y49&gt;4,0.5+IF(X49&gt;7,0.25,0),0+IF(X49&gt;7,0.25))))+IF(Z49="-",0,IF(Z49&gt;9,0.5,IF(Z49&gt;7,0.25,0)))+IF(AA49="-",0,IF(AA49&gt;7,1.1,IF(AA49&gt;4,0.6,0)))+IF(OR(AB49="-",V49&lt;5),0,IF(AB49&gt;7,1+IF(V49&gt;7,0.25,0),IF(AB49&gt;4,0.5+IF(V49&gt;7,0.25,0),0)))+IF(AC49="-",0,IF(AC49&gt;7,1.5,IF(AC49&gt;4,1,0)))+IF(AD49="-",0,IF(AD49&gt;9,0.5,IF(AD49&gt;7,0.25,0)))+IF(AE49="-",0,IF(AE49&gt;7,1.25,IF(AE49&gt;4,0.75,0)))+IF(OR(AF49="-",W49&lt;4),0,IF(AF49&gt;7,1+IF(W49&gt;7,0.15,0),IF(AF49&gt;4,0.5+IF(W49&gt;7,0.15,0),0))))</f>
        <v>0</v>
      </c>
      <c r="AO49" s="9">
        <f>($AK$3*AK49+$AL$3*AL49+$AM$3*AM49+$AN$3*AN49)+$J$3*VLOOKUP(J49,COND!$A$2:$C$7,2,FALSE)+$K$3*VLOOKUP(K49,COND!$A$2:$C$7,3,FALSE)</f>
        <v>20.866724274200067</v>
      </c>
      <c r="AP49" s="37">
        <f>STANDARDIZE(AO49,AVERAGE($AO$5:$AO$1295),STDEVP($AO$5:$AO$1295))</f>
        <v>1.4170511178225182</v>
      </c>
      <c r="AQ49" t="str">
        <f>IF(AND(Y49&lt;&gt;"-",X49&gt;1),"C",IF(AA49=MAX(AA49:AC49),"2B",IF(AC49=MAX(AA49:AC49),"SS",IF(OR(AB49=MAX(Z49:AC49),AND(AB49&lt;&gt;"-",AB49&gt;4,V49&gt;5)),"3B",IF(AE49=MAX(AD49:AF49),"CF",IF(AND(AF49=MAX(AD49,AF49),AND(W49&gt;5,AD49&lt;&gt;"-")),"RF",IF(AD49&lt;&gt;"-","LF",IF(Z49&lt;&gt;"-","1B","DH"))))))))</f>
        <v>3B</v>
      </c>
      <c r="AR49">
        <v>45</v>
      </c>
      <c r="AT49" t="s">
        <v>158</v>
      </c>
      <c r="AU49" t="str">
        <f>IF(AND($Q49&gt;=6,AVERAGE($S49:$T49)&gt;=6),"Likely",IF(OR($Q49&gt;6,AND($Q49=6,AVERAGE($S49:$T49)&gt;=3),AND($Q49&gt;=5,AVERAGE($S49:$T49)&gt;=5),AVERAGE($Q49,$S49:$T49)&gt;5),"Possible","Unlikely"))</f>
        <v>Likely</v>
      </c>
      <c r="AW49" t="str">
        <f>IF(VLOOKUP($B49,'Draft List'!$D$4:$AB$2598,AW$3,FALSE)&lt;&gt;0,VLOOKUP($B49,'Draft List'!$D$4:$AB$2598,AW$3,FALSE),"")</f>
        <v/>
      </c>
      <c r="AX49" t="str">
        <f>IF(VLOOKUP($B49,'Draft List'!$D$4:$AB$2598,AX$3,FALSE)&lt;&gt;0,VLOOKUP($B49,'Draft List'!$D$4:$AB$2598,AX$3,FALSE),"")</f>
        <v/>
      </c>
      <c r="AY49" t="str">
        <f>IF(VLOOKUP($B49,'Draft List'!$D$4:$AB$2598,AY$3,FALSE)&lt;&gt;0,VLOOKUP($B49,'Draft List'!$D$4:$AB$2598,AY$3,FALSE),"")</f>
        <v/>
      </c>
    </row>
    <row r="50" spans="1:51">
      <c r="A50" t="str">
        <f>IF(C50="C","C-",C50)&amp;D50&amp;E50</f>
        <v>SSDan Bailey21</v>
      </c>
      <c r="B50">
        <f>VLOOKUP($A50,draft_listing_batters_stats!$A$1:$B$1324,2,FALSE)</f>
        <v>3391</v>
      </c>
      <c r="C50" s="1" t="s">
        <v>2074</v>
      </c>
      <c r="D50" s="1" t="s">
        <v>1450</v>
      </c>
      <c r="E50" s="1">
        <v>21</v>
      </c>
      <c r="F50" s="1" t="s">
        <v>2022</v>
      </c>
      <c r="G50" s="1" t="s">
        <v>2022</v>
      </c>
      <c r="H50" s="1" t="s">
        <v>2033</v>
      </c>
      <c r="I50" s="1" t="s">
        <v>2033</v>
      </c>
      <c r="J50" s="1" t="s">
        <v>2026</v>
      </c>
      <c r="K50" s="1" t="s">
        <v>2030</v>
      </c>
      <c r="L50" s="1">
        <v>3</v>
      </c>
      <c r="M50" s="1">
        <v>5</v>
      </c>
      <c r="N50" s="1">
        <v>2</v>
      </c>
      <c r="O50" s="1">
        <v>4</v>
      </c>
      <c r="P50" s="1">
        <v>2</v>
      </c>
      <c r="Q50" s="1">
        <v>4</v>
      </c>
      <c r="R50" s="1">
        <v>7</v>
      </c>
      <c r="S50" s="1">
        <v>2</v>
      </c>
      <c r="T50" s="1">
        <v>6</v>
      </c>
      <c r="U50" s="1">
        <v>4</v>
      </c>
      <c r="V50" s="1">
        <v>6</v>
      </c>
      <c r="W50" s="1">
        <v>4</v>
      </c>
      <c r="X50" s="1">
        <v>1</v>
      </c>
      <c r="Y50" s="1" t="s">
        <v>2027</v>
      </c>
      <c r="Z50" s="1">
        <v>6</v>
      </c>
      <c r="AA50" s="1">
        <v>5</v>
      </c>
      <c r="AB50" s="1" t="s">
        <v>2027</v>
      </c>
      <c r="AC50" s="1">
        <v>7</v>
      </c>
      <c r="AD50" s="1" t="s">
        <v>2027</v>
      </c>
      <c r="AE50" s="1" t="s">
        <v>2027</v>
      </c>
      <c r="AF50" s="1" t="s">
        <v>2027</v>
      </c>
      <c r="AG50" s="1">
        <v>8</v>
      </c>
      <c r="AH50" s="1">
        <v>10</v>
      </c>
      <c r="AI50" s="1">
        <v>10</v>
      </c>
      <c r="AJ50" s="52" t="s">
        <v>2029</v>
      </c>
      <c r="AK50" s="9">
        <f>($L$3*(L50-$Q$1)/$Q$2+$M$3*(M50-$R$1)/$R$2+$N$3*(N50-$S$1)/$S$2+$O$3*(O50-$T$1)/$T$2+$P$3*(P50-$U$1)/$U$2)/(SUM($L$3:$P$3))</f>
        <v>-0.84278567507768054</v>
      </c>
      <c r="AL50" s="9">
        <f>($L$3*(Q50-$Q$1)/$Q$2+$M$3*(R50-$R$1)/$R$2+$N$3*(S50-$S$1)/$S$2+$O$3*(T50-$T$1)/$T$2+$P$3*(U50-$U$1)/$U$2)/(SUM($L$3:$P$3))</f>
        <v>-0.15865829998426981</v>
      </c>
      <c r="AM50">
        <f>IF(AVERAGE(AG50:AH50)&gt;9,1,0)+IF(AVERAGE(AG50:AH50)&gt;7,1,0)+IF(AG50&gt;7,1,0)+IF(AH50&gt;7,1,0)+IF(AI50&gt;8,1,0)+IF(AI50&gt;6,1,0)</f>
        <v>5</v>
      </c>
      <c r="AN50" s="6">
        <f>MIN(2,IF(OR(Y50="-",X50&lt;5),0,1+IF(Y50&gt;7,1+IF(X50&gt;7,0.25,0),IF(Y50&gt;4,0.5+IF(X50&gt;7,0.25,0),0+IF(X50&gt;7,0.25))))+IF(Z50="-",0,IF(Z50&gt;9,0.5,IF(Z50&gt;7,0.25,0)))+IF(AA50="-",0,IF(AA50&gt;7,1.1,IF(AA50&gt;4,0.6,0)))+IF(OR(AB50="-",V50&lt;5),0,IF(AB50&gt;7,1+IF(V50&gt;7,0.25,0),IF(AB50&gt;4,0.5+IF(V50&gt;7,0.25,0),0)))+IF(AC50="-",0,IF(AC50&gt;7,1.5,IF(AC50&gt;4,1,0)))+IF(AD50="-",0,IF(AD50&gt;9,0.5,IF(AD50&gt;7,0.25,0)))+IF(AE50="-",0,IF(AE50&gt;7,1.25,IF(AE50&gt;4,0.75,0)))+IF(OR(AF50="-",W50&lt;4),0,IF(AF50&gt;7,1+IF(W50&gt;7,0.15,0),IF(AF50&gt;4,0.5+IF(W50&gt;7,0.15,0),0))))</f>
        <v>1.6</v>
      </c>
      <c r="AO50" s="9">
        <f>($AK$3*AK50+$AL$3*AL50+$AM$3*AM50+$AN$3*AN50)+$J$3*VLOOKUP(J50,COND!$A$2:$C$7,2,FALSE)+$K$3*VLOOKUP(K50,COND!$A$2:$C$7,3,FALSE)</f>
        <v>10.445155166014327</v>
      </c>
      <c r="AP50" s="37">
        <f>STANDARDIZE(AO50,AVERAGE($AO$5:$AO$1295),STDEVP($AO$5:$AO$1295))</f>
        <v>-3.0751331513532116E-2</v>
      </c>
      <c r="AQ50" t="str">
        <f>IF(AND(Y50&lt;&gt;"-",X50&gt;1),"C",IF(AA50=MAX(AA50:AC50),"2B",IF(AC50=MAX(AA50:AC50),"SS",IF(OR(AB50=MAX(Z50:AC50),AND(AB50&lt;&gt;"-",AB50&gt;4,V50&gt;5)),"3B",IF(AE50=MAX(AD50:AF50),"CF",IF(AND(AF50=MAX(AD50,AF50),AND(W50&gt;5,AD50&lt;&gt;"-")),"RF",IF(AD50&lt;&gt;"-","LF",IF(Z50&lt;&gt;"-","1B","DH"))))))))</f>
        <v>SS</v>
      </c>
      <c r="AR50">
        <v>46</v>
      </c>
      <c r="AT50" t="s">
        <v>155</v>
      </c>
      <c r="AU50" t="str">
        <f>IF(AND($Q50&gt;=6,AVERAGE($S50:$T50)&gt;=6),"Likely",IF(OR($Q50&gt;6,AND($Q50=6,AVERAGE($S50:$T50)&gt;=3),AND($Q50&gt;=5,AVERAGE($S50:$T50)&gt;=5),AVERAGE($Q50,$S50:$T50)&gt;5),"Possible","Unlikely"))</f>
        <v>Unlikely</v>
      </c>
      <c r="AW50" t="str">
        <f>IF(VLOOKUP($B50,'Draft List'!$D$4:$AB$2598,AW$3,FALSE)&lt;&gt;0,VLOOKUP($B50,'Draft List'!$D$4:$AB$2598,AW$3,FALSE),"")</f>
        <v/>
      </c>
      <c r="AX50" t="str">
        <f>IF(VLOOKUP($B50,'Draft List'!$D$4:$AB$2598,AX$3,FALSE)&lt;&gt;0,VLOOKUP($B50,'Draft List'!$D$4:$AB$2598,AX$3,FALSE),"")</f>
        <v/>
      </c>
      <c r="AY50" t="str">
        <f>IF(VLOOKUP($B50,'Draft List'!$D$4:$AB$2598,AY$3,FALSE)&lt;&gt;0,VLOOKUP($B50,'Draft List'!$D$4:$AB$2598,AY$3,FALSE),"")</f>
        <v/>
      </c>
    </row>
    <row r="51" spans="1:51">
      <c r="A51" t="str">
        <f>IF(C51="C","C-",C51)&amp;D51&amp;E51</f>
        <v>LFBlair Humphrey21</v>
      </c>
      <c r="B51">
        <f>VLOOKUP($A51,draft_listing_batters_stats!$A$1:$B$1324,2,FALSE)</f>
        <v>3287</v>
      </c>
      <c r="C51" s="1" t="s">
        <v>2035</v>
      </c>
      <c r="D51" s="1" t="s">
        <v>1317</v>
      </c>
      <c r="E51" s="1">
        <v>21</v>
      </c>
      <c r="F51" s="1" t="s">
        <v>2038</v>
      </c>
      <c r="G51" s="1" t="s">
        <v>2022</v>
      </c>
      <c r="H51" s="1" t="s">
        <v>2033</v>
      </c>
      <c r="I51" s="1" t="s">
        <v>2033</v>
      </c>
      <c r="J51" s="1" t="s">
        <v>2026</v>
      </c>
      <c r="K51" s="1" t="s">
        <v>2040</v>
      </c>
      <c r="L51" s="1">
        <v>4</v>
      </c>
      <c r="M51" s="1">
        <v>4</v>
      </c>
      <c r="N51" s="1">
        <v>2</v>
      </c>
      <c r="O51" s="1">
        <v>6</v>
      </c>
      <c r="P51" s="1">
        <v>3</v>
      </c>
      <c r="Q51" s="1">
        <v>5</v>
      </c>
      <c r="R51" s="1">
        <v>6</v>
      </c>
      <c r="S51" s="1">
        <v>4</v>
      </c>
      <c r="T51" s="1">
        <v>6</v>
      </c>
      <c r="U51" s="1">
        <v>5</v>
      </c>
      <c r="V51" s="1">
        <v>1</v>
      </c>
      <c r="W51" s="1">
        <v>8</v>
      </c>
      <c r="X51" s="1">
        <v>1</v>
      </c>
      <c r="Y51" s="1" t="s">
        <v>2027</v>
      </c>
      <c r="Z51" s="1">
        <v>1</v>
      </c>
      <c r="AA51" s="1" t="s">
        <v>2027</v>
      </c>
      <c r="AB51" s="1" t="s">
        <v>2027</v>
      </c>
      <c r="AC51" s="1" t="s">
        <v>2027</v>
      </c>
      <c r="AD51" s="1">
        <v>6</v>
      </c>
      <c r="AE51" s="1">
        <v>1</v>
      </c>
      <c r="AF51" s="1">
        <v>4</v>
      </c>
      <c r="AG51" s="1">
        <v>6</v>
      </c>
      <c r="AH51" s="1">
        <v>8</v>
      </c>
      <c r="AI51" s="1">
        <v>6</v>
      </c>
      <c r="AJ51" s="52">
        <v>240000</v>
      </c>
      <c r="AK51" s="9">
        <f>($L$3*(L51-$Q$1)/$Q$2+$M$3*(M51-$R$1)/$R$2+$N$3*(N51-$S$1)/$S$2+$O$3*(O51-$T$1)/$T$2+$P$3*(P51-$U$1)/$U$2)/(SUM($L$3:$P$3))</f>
        <v>-0.35185427865746383</v>
      </c>
      <c r="AL51" s="9">
        <f>($L$3*(Q51-$Q$1)/$Q$2+$M$3*(R51-$R$1)/$R$2+$N$3*(S51-$S$1)/$S$2+$O$3*(T51-$T$1)/$T$2+$P$3*(U51-$U$1)/$U$2)/(SUM($L$3:$P$3))</f>
        <v>0.31897698446458783</v>
      </c>
      <c r="AM51">
        <f>IF(AVERAGE(AG51:AH51)&gt;9,1,0)+IF(AVERAGE(AG51:AH51)&gt;7,1,0)+IF(AG51&gt;7,1,0)+IF(AH51&gt;7,1,0)+IF(AI51&gt;8,1,0)+IF(AI51&gt;6,1,0)</f>
        <v>1</v>
      </c>
      <c r="AN51" s="6">
        <f>MIN(2,IF(OR(Y51="-",X51&lt;5),0,1+IF(Y51&gt;7,1+IF(X51&gt;7,0.25,0),IF(Y51&gt;4,0.5+IF(X51&gt;7,0.25,0),0+IF(X51&gt;7,0.25))))+IF(Z51="-",0,IF(Z51&gt;9,0.5,IF(Z51&gt;7,0.25,0)))+IF(AA51="-",0,IF(AA51&gt;7,1.1,IF(AA51&gt;4,0.6,0)))+IF(OR(AB51="-",V51&lt;5),0,IF(AB51&gt;7,1+IF(V51&gt;7,0.25,0),IF(AB51&gt;4,0.5+IF(V51&gt;7,0.25,0),0)))+IF(AC51="-",0,IF(AC51&gt;7,1.5,IF(AC51&gt;4,1,0)))+IF(AD51="-",0,IF(AD51&gt;9,0.5,IF(AD51&gt;7,0.25,0)))+IF(AE51="-",0,IF(AE51&gt;7,1.25,IF(AE51&gt;4,0.75,0)))+IF(OR(AF51="-",W51&lt;4),0,IF(AF51&gt;7,1+IF(W51&gt;7,0.15,0),IF(AF51&gt;4,0.5+IF(W51&gt;7,0.15,0),0))))</f>
        <v>0</v>
      </c>
      <c r="AO51" s="9">
        <f>($AK$3*AK51+$AL$3*AL51+$AM$3*AM51+$AN$3*AN51)+$J$3*VLOOKUP(J51,COND!$A$2:$C$7,2,FALSE)+$K$3*VLOOKUP(K51,COND!$A$2:$C$7,3,FALSE)</f>
        <v>13.359205052375975</v>
      </c>
      <c r="AP51" s="37">
        <f>STANDARDIZE(AO51,AVERAGE($AO$5:$AO$1295),STDEVP($AO$5:$AO$1295))</f>
        <v>0.37407912339829069</v>
      </c>
      <c r="AQ51" t="str">
        <f>IF(AND(Y51&lt;&gt;"-",X51&gt;1),"C",IF(AA51=MAX(AA51:AC51),"2B",IF(AC51=MAX(AA51:AC51),"SS",IF(OR(AB51=MAX(Z51:AC51),AND(AB51&lt;&gt;"-",AB51&gt;4,V51&gt;5)),"3B",IF(AE51=MAX(AD51:AF51),"CF",IF(AND(AF51=MAX(AD51,AF51),AND(W51&gt;5,AD51&lt;&gt;"-")),"RF",IF(AD51&lt;&gt;"-","LF",IF(Z51&lt;&gt;"-","1B","DH"))))))))</f>
        <v>LF</v>
      </c>
      <c r="AR51">
        <v>47</v>
      </c>
      <c r="AT51" t="s">
        <v>154</v>
      </c>
      <c r="AU51" t="str">
        <f>IF(AND($Q51&gt;=6,AVERAGE($S51:$T51)&gt;=6),"Likely",IF(OR($Q51&gt;6,AND($Q51=6,AVERAGE($S51:$T51)&gt;=3),AND($Q51&gt;=5,AVERAGE($S51:$T51)&gt;=5),AVERAGE($Q51,$S51:$T51)&gt;5),"Possible","Unlikely"))</f>
        <v>Possible</v>
      </c>
      <c r="AW51" t="e">
        <f>IF(VLOOKUP($B51,'Draft List'!$D$4:$AB$2598,AW$3,FALSE)&lt;&gt;0,VLOOKUP($B51,'Draft List'!$D$4:$AB$2598,AW$3,FALSE),"")</f>
        <v>#N/A</v>
      </c>
      <c r="AX51" t="e">
        <f>IF(VLOOKUP($B51,'Draft List'!$D$4:$AB$2598,AX$3,FALSE)&lt;&gt;0,VLOOKUP($B51,'Draft List'!$D$4:$AB$2598,AX$3,FALSE),"")</f>
        <v>#N/A</v>
      </c>
      <c r="AY51" t="e">
        <f>IF(VLOOKUP($B51,'Draft List'!$D$4:$AB$2598,AY$3,FALSE)&lt;&gt;0,VLOOKUP($B51,'Draft List'!$D$4:$AB$2598,AY$3,FALSE),"")</f>
        <v>#N/A</v>
      </c>
    </row>
    <row r="52" spans="1:51">
      <c r="A52" t="str">
        <f>IF(C52="C","C-",C52)&amp;D52&amp;E52</f>
        <v>3BRobert Lewis21</v>
      </c>
      <c r="B52">
        <f>VLOOKUP($A52,draft_listing_batters_stats!$A$1:$B$1324,2,FALSE)</f>
        <v>4017</v>
      </c>
      <c r="C52" s="1" t="s">
        <v>2061</v>
      </c>
      <c r="D52" s="1" t="s">
        <v>1345</v>
      </c>
      <c r="E52" s="1">
        <v>21</v>
      </c>
      <c r="F52" s="1" t="s">
        <v>2022</v>
      </c>
      <c r="G52" s="1" t="s">
        <v>2022</v>
      </c>
      <c r="H52" s="1" t="s">
        <v>2033</v>
      </c>
      <c r="I52" s="1" t="s">
        <v>2033</v>
      </c>
      <c r="J52" s="1" t="s">
        <v>2036</v>
      </c>
      <c r="K52" s="1" t="s">
        <v>2040</v>
      </c>
      <c r="L52" s="1">
        <v>4</v>
      </c>
      <c r="M52" s="1">
        <v>4</v>
      </c>
      <c r="N52" s="1">
        <v>4</v>
      </c>
      <c r="O52" s="1">
        <v>4</v>
      </c>
      <c r="P52" s="1">
        <v>2</v>
      </c>
      <c r="Q52" s="1">
        <v>5</v>
      </c>
      <c r="R52" s="1">
        <v>6</v>
      </c>
      <c r="S52" s="1">
        <v>6</v>
      </c>
      <c r="T52" s="1">
        <v>6</v>
      </c>
      <c r="U52" s="1">
        <v>4</v>
      </c>
      <c r="V52" s="1">
        <v>9</v>
      </c>
      <c r="W52" s="1">
        <v>2</v>
      </c>
      <c r="X52" s="1">
        <v>2</v>
      </c>
      <c r="Y52" s="1" t="s">
        <v>2027</v>
      </c>
      <c r="Z52" s="1">
        <v>5</v>
      </c>
      <c r="AA52" s="1" t="s">
        <v>2027</v>
      </c>
      <c r="AB52" s="1">
        <v>7</v>
      </c>
      <c r="AC52" s="1" t="s">
        <v>2027</v>
      </c>
      <c r="AD52" s="1" t="s">
        <v>2027</v>
      </c>
      <c r="AE52" s="1" t="s">
        <v>2027</v>
      </c>
      <c r="AF52" s="1" t="s">
        <v>2027</v>
      </c>
      <c r="AG52" s="1">
        <v>5</v>
      </c>
      <c r="AH52" s="1">
        <v>2</v>
      </c>
      <c r="AI52" s="1">
        <v>1</v>
      </c>
      <c r="AJ52" s="52" t="s">
        <v>2029</v>
      </c>
      <c r="AK52" s="9">
        <f>($L$3*(L52-$Q$1)/$Q$2+$M$3*(M52-$R$1)/$R$2+$N$3*(N52-$S$1)/$S$2+$O$3*(O52-$T$1)/$T$2+$P$3*(P52-$U$1)/$U$2)/(SUM($L$3:$P$3))</f>
        <v>-0.40516673044590634</v>
      </c>
      <c r="AL52" s="9">
        <f>($L$3*(Q52-$Q$1)/$Q$2+$M$3*(R52-$R$1)/$R$2+$N$3*(S52-$S$1)/$S$2+$O$3*(T52-$T$1)/$T$2+$P$3*(U52-$U$1)/$U$2)/(SUM($L$3:$P$3))</f>
        <v>0.44508363269530743</v>
      </c>
      <c r="AM52">
        <f>IF(AVERAGE(AG52:AH52)&gt;9,1,0)+IF(AVERAGE(AG52:AH52)&gt;7,1,0)+IF(AG52&gt;7,1,0)+IF(AH52&gt;7,1,0)+IF(AI52&gt;8,1,0)+IF(AI52&gt;6,1,0)</f>
        <v>0</v>
      </c>
      <c r="AN52" s="6">
        <f>MIN(2,IF(OR(Y52="-",X52&lt;5),0,1+IF(Y52&gt;7,1+IF(X52&gt;7,0.25,0),IF(Y52&gt;4,0.5+IF(X52&gt;7,0.25,0),0+IF(X52&gt;7,0.25))))+IF(Z52="-",0,IF(Z52&gt;9,0.5,IF(Z52&gt;7,0.25,0)))+IF(AA52="-",0,IF(AA52&gt;7,1.1,IF(AA52&gt;4,0.6,0)))+IF(OR(AB52="-",V52&lt;5),0,IF(AB52&gt;7,1+IF(V52&gt;7,0.25,0),IF(AB52&gt;4,0.5+IF(V52&gt;7,0.25,0),0)))+IF(AC52="-",0,IF(AC52&gt;7,1.5,IF(AC52&gt;4,1,0)))+IF(AD52="-",0,IF(AD52&gt;9,0.5,IF(AD52&gt;7,0.25,0)))+IF(AE52="-",0,IF(AE52&gt;7,1.25,IF(AE52&gt;4,0.75,0)))+IF(OR(AF52="-",W52&lt;4),0,IF(AF52&gt;7,1+IF(W52&gt;7,0.15,0),IF(AF52&gt;4,0.5+IF(W52&gt;7,0.15,0),0))))</f>
        <v>0.75</v>
      </c>
      <c r="AO52" s="9">
        <f>($AK$3*AK52+$AL$3*AL52+$AM$3*AM52+$AN$3*AN52)+$J$3*VLOOKUP(J52,COND!$A$2:$C$7,2,FALSE)+$K$3*VLOOKUP(K52,COND!$A$2:$C$7,3,FALSE)</f>
        <v>15.800486919299098</v>
      </c>
      <c r="AP52" s="37">
        <f>STANDARDIZE(AO52,AVERAGE($AO$5:$AO$1295),STDEVP($AO$5:$AO$1295))</f>
        <v>0.71323091808099115</v>
      </c>
      <c r="AQ52" t="str">
        <f>IF(AND(Y52&lt;&gt;"-",X52&gt;1),"C",IF(AA52=MAX(AA52:AC52),"2B",IF(AC52=MAX(AA52:AC52),"SS",IF(OR(AB52=MAX(Z52:AC52),AND(AB52&lt;&gt;"-",AB52&gt;4,V52&gt;5)),"3B",IF(AE52=MAX(AD52:AF52),"CF",IF(AND(AF52=MAX(AD52,AF52),AND(W52&gt;5,AD52&lt;&gt;"-")),"RF",IF(AD52&lt;&gt;"-","LF",IF(Z52&lt;&gt;"-","1B","DH"))))))))</f>
        <v>3B</v>
      </c>
      <c r="AR52">
        <v>48</v>
      </c>
      <c r="AT52" t="s">
        <v>156</v>
      </c>
      <c r="AU52" t="str">
        <f>IF(AND($Q52&gt;=6,AVERAGE($S52:$T52)&gt;=6),"Likely",IF(OR($Q52&gt;6,AND($Q52=6,AVERAGE($S52:$T52)&gt;=3),AND($Q52&gt;=5,AVERAGE($S52:$T52)&gt;=5),AVERAGE($Q52,$S52:$T52)&gt;5),"Possible","Unlikely"))</f>
        <v>Possible</v>
      </c>
      <c r="AW52" t="str">
        <f>IF(VLOOKUP($B52,'Draft List'!$D$4:$AB$2598,AW$3,FALSE)&lt;&gt;0,VLOOKUP($B52,'Draft List'!$D$4:$AB$2598,AW$3,FALSE),"")</f>
        <v/>
      </c>
      <c r="AX52" t="str">
        <f>IF(VLOOKUP($B52,'Draft List'!$D$4:$AB$2598,AX$3,FALSE)&lt;&gt;0,VLOOKUP($B52,'Draft List'!$D$4:$AB$2598,AX$3,FALSE),"")</f>
        <v/>
      </c>
      <c r="AY52" t="str">
        <f>IF(VLOOKUP($B52,'Draft List'!$D$4:$AB$2598,AY$3,FALSE)&lt;&gt;0,VLOOKUP($B52,'Draft List'!$D$4:$AB$2598,AY$3,FALSE),"")</f>
        <v/>
      </c>
    </row>
    <row r="53" spans="1:51">
      <c r="A53" t="str">
        <f>IF(C53="C","C-",C53)&amp;D53&amp;E53</f>
        <v>1BHenry Blencowe21</v>
      </c>
      <c r="B53">
        <f>VLOOKUP($A53,draft_listing_batters_stats!$A$1:$B$1324,2,FALSE)</f>
        <v>3855</v>
      </c>
      <c r="C53" s="1" t="s">
        <v>2092</v>
      </c>
      <c r="D53" s="1" t="s">
        <v>1457</v>
      </c>
      <c r="E53" s="1">
        <v>21</v>
      </c>
      <c r="F53" s="1" t="s">
        <v>2022</v>
      </c>
      <c r="G53" s="1" t="s">
        <v>2022</v>
      </c>
      <c r="H53" s="1" t="s">
        <v>2033</v>
      </c>
      <c r="I53" s="1" t="s">
        <v>2033</v>
      </c>
      <c r="J53" s="1" t="s">
        <v>2030</v>
      </c>
      <c r="K53" s="1" t="s">
        <v>2026</v>
      </c>
      <c r="L53" s="1">
        <v>3</v>
      </c>
      <c r="M53" s="1">
        <v>4</v>
      </c>
      <c r="N53" s="1">
        <v>3</v>
      </c>
      <c r="O53" s="1">
        <v>3</v>
      </c>
      <c r="P53" s="1">
        <v>2</v>
      </c>
      <c r="Q53" s="1">
        <v>6</v>
      </c>
      <c r="R53" s="1">
        <v>4</v>
      </c>
      <c r="S53" s="1">
        <v>7</v>
      </c>
      <c r="T53" s="1">
        <v>5</v>
      </c>
      <c r="U53" s="1">
        <v>5</v>
      </c>
      <c r="V53" s="1">
        <v>3</v>
      </c>
      <c r="W53" s="1">
        <v>4</v>
      </c>
      <c r="X53" s="1">
        <v>1</v>
      </c>
      <c r="Y53" s="1" t="s">
        <v>2027</v>
      </c>
      <c r="Z53" s="1">
        <v>7</v>
      </c>
      <c r="AA53" s="1" t="s">
        <v>2027</v>
      </c>
      <c r="AB53" s="1" t="s">
        <v>2027</v>
      </c>
      <c r="AC53" s="1" t="s">
        <v>2027</v>
      </c>
      <c r="AD53" s="1" t="s">
        <v>2027</v>
      </c>
      <c r="AE53" s="1" t="s">
        <v>2027</v>
      </c>
      <c r="AF53" s="1" t="s">
        <v>2027</v>
      </c>
      <c r="AG53" s="1">
        <v>3</v>
      </c>
      <c r="AH53" s="1">
        <v>2</v>
      </c>
      <c r="AI53" s="1">
        <v>2</v>
      </c>
      <c r="AJ53" s="52" t="s">
        <v>2029</v>
      </c>
      <c r="AK53" s="9">
        <f>($L$3*(L53-$Q$1)/$Q$2+$M$3*(M53-$R$1)/$R$2+$N$3*(N53-$S$1)/$S$2+$O$3*(O53-$T$1)/$T$2+$P$3*(P53-$U$1)/$U$2)/(SUM($L$3:$P$3))</f>
        <v>-0.90049361068206368</v>
      </c>
      <c r="AL53" s="9">
        <f>($L$3*(Q53-$Q$1)/$Q$2+$M$3*(R53-$R$1)/$R$2+$N$3*(S53-$S$1)/$S$2+$O$3*(T53-$T$1)/$T$2+$P$3*(U53-$U$1)/$U$2)/(SUM($L$3:$P$3))</f>
        <v>0.69888799349197905</v>
      </c>
      <c r="AM53">
        <f>IF(AVERAGE(AG53:AH53)&gt;9,1,0)+IF(AVERAGE(AG53:AH53)&gt;7,1,0)+IF(AG53&gt;7,1,0)+IF(AH53&gt;7,1,0)+IF(AI53&gt;8,1,0)+IF(AI53&gt;6,1,0)</f>
        <v>0</v>
      </c>
      <c r="AN53" s="6">
        <f>MIN(2,IF(OR(Y53="-",X53&lt;5),0,1+IF(Y53&gt;7,1+IF(X53&gt;7,0.25,0),IF(Y53&gt;4,0.5+IF(X53&gt;7,0.25,0),0+IF(X53&gt;7,0.25))))+IF(Z53="-",0,IF(Z53&gt;9,0.5,IF(Z53&gt;7,0.25,0)))+IF(AA53="-",0,IF(AA53&gt;7,1.1,IF(AA53&gt;4,0.6,0)))+IF(OR(AB53="-",V53&lt;5),0,IF(AB53&gt;7,1+IF(V53&gt;7,0.25,0),IF(AB53&gt;4,0.5+IF(V53&gt;7,0.25,0),0)))+IF(AC53="-",0,IF(AC53&gt;7,1.5,IF(AC53&gt;4,1,0)))+IF(AD53="-",0,IF(AD53&gt;9,0.5,IF(AD53&gt;7,0.25,0)))+IF(AE53="-",0,IF(AE53&gt;7,1.25,IF(AE53&gt;4,0.75,0)))+IF(OR(AF53="-",W53&lt;4),0,IF(AF53&gt;7,1+IF(W53&gt;7,0.15,0),IF(AF53&gt;4,0.5+IF(W53&gt;7,0.15,0),0))))</f>
        <v>0</v>
      </c>
      <c r="AO53" s="9">
        <f>($AK$3*AK53+$AL$3*AL53+$AM$3*AM53+$AN$3*AN53)+$J$3*VLOOKUP(J53,COND!$A$2:$C$7,2,FALSE)+$K$3*VLOOKUP(K53,COND!$A$2:$C$7,3,FALSE)</f>
        <v>18.296606560835542</v>
      </c>
      <c r="AP53" s="37">
        <f>STANDARDIZE(AO53,AVERAGE($AO$5:$AO$1295),STDEVP($AO$5:$AO$1295))</f>
        <v>1.0600009767292342</v>
      </c>
      <c r="AQ53" t="str">
        <f>IF(AND(Y53&lt;&gt;"-",X53&gt;1),"C",IF(AA53=MAX(AA53:AC53),"2B",IF(AC53=MAX(AA53:AC53),"SS",IF(OR(AB53=MAX(Z53:AC53),AND(AB53&lt;&gt;"-",AB53&gt;4,V53&gt;5)),"3B",IF(AE53=MAX(AD53:AF53),"CF",IF(AND(AF53=MAX(AD53,AF53),AND(W53&gt;5,AD53&lt;&gt;"-")),"RF",IF(AD53&lt;&gt;"-","LF",IF(Z53&lt;&gt;"-","1B","DH"))))))))</f>
        <v>1B</v>
      </c>
      <c r="AR53">
        <v>49</v>
      </c>
      <c r="AT53" t="s">
        <v>155</v>
      </c>
      <c r="AU53" t="str">
        <f>IF(AND($Q53&gt;=6,AVERAGE($S53:$T53)&gt;=6),"Likely",IF(OR($Q53&gt;6,AND($Q53=6,AVERAGE($S53:$T53)&gt;=3),AND($Q53&gt;=5,AVERAGE($S53:$T53)&gt;=5),AVERAGE($Q53,$S53:$T53)&gt;5),"Possible","Unlikely"))</f>
        <v>Likely</v>
      </c>
      <c r="AW53" t="str">
        <f>IF(VLOOKUP($B53,'Draft List'!$D$4:$AB$2598,AW$3,FALSE)&lt;&gt;0,VLOOKUP($B53,'Draft List'!$D$4:$AB$2598,AW$3,FALSE),"")</f>
        <v/>
      </c>
      <c r="AX53" t="str">
        <f>IF(VLOOKUP($B53,'Draft List'!$D$4:$AB$2598,AX$3,FALSE)&lt;&gt;0,VLOOKUP($B53,'Draft List'!$D$4:$AB$2598,AX$3,FALSE),"")</f>
        <v/>
      </c>
      <c r="AY53" t="str">
        <f>IF(VLOOKUP($B53,'Draft List'!$D$4:$AB$2598,AY$3,FALSE)&lt;&gt;0,VLOOKUP($B53,'Draft List'!$D$4:$AB$2598,AY$3,FALSE),"")</f>
        <v/>
      </c>
    </row>
    <row r="54" spans="1:51">
      <c r="A54" t="str">
        <f>IF(C54="C","C-",C54)&amp;D54&amp;E54</f>
        <v>C-Michael Tucker21</v>
      </c>
      <c r="B54">
        <f>VLOOKUP($A54,draft_listing_batters_stats!$A$1:$B$1324,2,FALSE)</f>
        <v>7622</v>
      </c>
      <c r="C54" s="1" t="s">
        <v>2091</v>
      </c>
      <c r="D54" s="1" t="s">
        <v>1233</v>
      </c>
      <c r="E54" s="1">
        <v>21</v>
      </c>
      <c r="F54" s="1" t="s">
        <v>2022</v>
      </c>
      <c r="G54" s="1" t="s">
        <v>2022</v>
      </c>
      <c r="H54" s="1" t="s">
        <v>2033</v>
      </c>
      <c r="I54" s="1" t="s">
        <v>2033</v>
      </c>
      <c r="J54" s="1" t="s">
        <v>2026</v>
      </c>
      <c r="K54" s="1" t="s">
        <v>2025</v>
      </c>
      <c r="L54" s="1">
        <v>3</v>
      </c>
      <c r="M54" s="1">
        <v>3</v>
      </c>
      <c r="N54" s="1">
        <v>1</v>
      </c>
      <c r="O54" s="1">
        <v>2</v>
      </c>
      <c r="P54" s="1">
        <v>3</v>
      </c>
      <c r="Q54" s="1">
        <v>5</v>
      </c>
      <c r="R54" s="1">
        <v>8</v>
      </c>
      <c r="S54" s="1">
        <v>5</v>
      </c>
      <c r="T54" s="1">
        <v>5</v>
      </c>
      <c r="U54" s="1">
        <v>5</v>
      </c>
      <c r="V54" s="1">
        <v>4</v>
      </c>
      <c r="W54" s="1">
        <v>4</v>
      </c>
      <c r="X54" s="1">
        <v>6</v>
      </c>
      <c r="Y54" s="1">
        <v>5</v>
      </c>
      <c r="Z54" s="1" t="s">
        <v>2027</v>
      </c>
      <c r="AA54" s="1" t="s">
        <v>2027</v>
      </c>
      <c r="AB54" s="1" t="s">
        <v>2027</v>
      </c>
      <c r="AC54" s="1" t="s">
        <v>2027</v>
      </c>
      <c r="AD54" s="1" t="s">
        <v>2027</v>
      </c>
      <c r="AE54" s="1" t="s">
        <v>2027</v>
      </c>
      <c r="AF54" s="1" t="s">
        <v>2027</v>
      </c>
      <c r="AG54" s="1">
        <v>4</v>
      </c>
      <c r="AH54" s="1">
        <v>1</v>
      </c>
      <c r="AI54" s="1">
        <v>2</v>
      </c>
      <c r="AJ54" s="52" t="s">
        <v>2029</v>
      </c>
      <c r="AK54" s="9">
        <f>($L$3*(L54-$Q$1)/$Q$2+$M$3*(M54-$R$1)/$R$2+$N$3*(N54-$S$1)/$S$2+$O$3*(O54-$T$1)/$T$2+$P$3*(P54-$U$1)/$U$2)/(SUM($L$3:$P$3))</f>
        <v>-1.1673696885410676</v>
      </c>
      <c r="AL54" s="9">
        <f>($L$3*(Q54-$Q$1)/$Q$2+$M$3*(R54-$R$1)/$R$2+$N$3*(S54-$S$1)/$S$2+$O$3*(T54-$T$1)/$T$2+$P$3*(U54-$U$1)/$U$2)/(SUM($L$3:$P$3))</f>
        <v>0.41444868771631527</v>
      </c>
      <c r="AM54">
        <f>IF(AVERAGE(AG54:AH54)&gt;9,1,0)+IF(AVERAGE(AG54:AH54)&gt;7,1,0)+IF(AG54&gt;7,1,0)+IF(AH54&gt;7,1,0)+IF(AI54&gt;8,1,0)+IF(AI54&gt;6,1,0)</f>
        <v>0</v>
      </c>
      <c r="AN54" s="6">
        <f>MIN(2,IF(OR(Y54="-",X54&lt;5),0,1+IF(Y54&gt;7,1+IF(X54&gt;7,0.25,0),IF(Y54&gt;4,0.5+IF(X54&gt;7,0.25,0),0+IF(X54&gt;7,0.25))))+IF(Z54="-",0,IF(Z54&gt;9,0.5,IF(Z54&gt;7,0.25,0)))+IF(AA54="-",0,IF(AA54&gt;7,1.1,IF(AA54&gt;4,0.6,0)))+IF(OR(AB54="-",V54&lt;5),0,IF(AB54&gt;7,1+IF(V54&gt;7,0.25,0),IF(AB54&gt;4,0.5+IF(V54&gt;7,0.25,0),0)))+IF(AC54="-",0,IF(AC54&gt;7,1.5,IF(AC54&gt;4,1,0)))+IF(AD54="-",0,IF(AD54&gt;9,0.5,IF(AD54&gt;7,0.25,0)))+IF(AE54="-",0,IF(AE54&gt;7,1.25,IF(AE54&gt;4,0.75,0)))+IF(OR(AF54="-",W54&lt;4),0,IF(AF54&gt;7,1+IF(W54&gt;7,0.15,0),IF(AF54&gt;4,0.5+IF(W54&gt;7,0.15,0),0))))</f>
        <v>1.5</v>
      </c>
      <c r="AO54" s="9">
        <f>($AK$3*AK54+$AL$3*AL54+$AM$3*AM54+$AN$3*AN54)+$J$3*VLOOKUP(J54,COND!$A$2:$C$7,2,FALSE)+$K$3*VLOOKUP(K54,COND!$A$2:$C$7,3,FALSE)</f>
        <v>16.256647283741678</v>
      </c>
      <c r="AP54" s="37">
        <f>STANDARDIZE(AO54,AVERAGE($AO$5:$AO$1295),STDEVP($AO$5:$AO$1295))</f>
        <v>0.77660238221216993</v>
      </c>
      <c r="AQ54" t="str">
        <f>IF(AND(Y54&lt;&gt;"-",X54&gt;1),"C",IF(AA54=MAX(AA54:AC54),"2B",IF(AC54=MAX(AA54:AC54),"SS",IF(OR(AB54=MAX(Z54:AC54),AND(AB54&lt;&gt;"-",AB54&gt;4,V54&gt;5)),"3B",IF(AE54=MAX(AD54:AF54),"CF",IF(AND(AF54=MAX(AD54,AF54),AND(W54&gt;5,AD54&lt;&gt;"-")),"RF",IF(AD54&lt;&gt;"-","LF",IF(Z54&lt;&gt;"-","1B","DH"))))))))</f>
        <v>C</v>
      </c>
      <c r="AR54">
        <v>50</v>
      </c>
      <c r="AT54" t="s">
        <v>154</v>
      </c>
      <c r="AU54" t="str">
        <f>IF(AND($Q54&gt;=6,AVERAGE($S54:$T54)&gt;=6),"Likely",IF(OR($Q54&gt;6,AND($Q54=6,AVERAGE($S54:$T54)&gt;=3),AND($Q54&gt;=5,AVERAGE($S54:$T54)&gt;=5),AVERAGE($Q54,$S54:$T54)&gt;5),"Possible","Unlikely"))</f>
        <v>Possible</v>
      </c>
      <c r="AW54" t="str">
        <f>IF(VLOOKUP($B54,'Draft List'!$D$4:$AB$2598,AW$3,FALSE)&lt;&gt;0,VLOOKUP($B54,'Draft List'!$D$4:$AB$2598,AW$3,FALSE),"")</f>
        <v/>
      </c>
      <c r="AX54" t="str">
        <f>IF(VLOOKUP($B54,'Draft List'!$D$4:$AB$2598,AX$3,FALSE)&lt;&gt;0,VLOOKUP($B54,'Draft List'!$D$4:$AB$2598,AX$3,FALSE),"")</f>
        <v/>
      </c>
      <c r="AY54" t="str">
        <f>IF(VLOOKUP($B54,'Draft List'!$D$4:$AB$2598,AY$3,FALSE)&lt;&gt;0,VLOOKUP($B54,'Draft List'!$D$4:$AB$2598,AY$3,FALSE),"")</f>
        <v/>
      </c>
    </row>
    <row r="55" spans="1:51">
      <c r="A55" t="str">
        <f>IF(C55="C","C-",C55)&amp;D55&amp;E55</f>
        <v>RFJosé Garza18</v>
      </c>
      <c r="B55" t="e">
        <f>VLOOKUP($A55,draft_listing_batters_stats!$A$1:$B$1324,2,FALSE)</f>
        <v>#N/A</v>
      </c>
      <c r="C55" s="1" t="s">
        <v>2057</v>
      </c>
      <c r="D55" s="1" t="s">
        <v>1503</v>
      </c>
      <c r="E55" s="1">
        <v>18</v>
      </c>
      <c r="F55" s="1" t="s">
        <v>2022</v>
      </c>
      <c r="G55" s="1" t="s">
        <v>2022</v>
      </c>
      <c r="H55" s="1" t="s">
        <v>2033</v>
      </c>
      <c r="I55" s="1" t="s">
        <v>2033</v>
      </c>
      <c r="J55" s="1" t="s">
        <v>2036</v>
      </c>
      <c r="K55" s="1" t="s">
        <v>2026</v>
      </c>
      <c r="L55" s="1">
        <v>1</v>
      </c>
      <c r="M55" s="1">
        <v>2</v>
      </c>
      <c r="N55" s="1">
        <v>1</v>
      </c>
      <c r="O55" s="1">
        <v>1</v>
      </c>
      <c r="P55" s="1">
        <v>1</v>
      </c>
      <c r="Q55" s="1">
        <v>5</v>
      </c>
      <c r="R55" s="1">
        <v>8</v>
      </c>
      <c r="S55" s="1">
        <v>7</v>
      </c>
      <c r="T55" s="1">
        <v>4</v>
      </c>
      <c r="U55" s="1">
        <v>4</v>
      </c>
      <c r="V55" s="1">
        <v>1</v>
      </c>
      <c r="W55" s="1">
        <v>6</v>
      </c>
      <c r="X55" s="1">
        <v>1</v>
      </c>
      <c r="Y55" s="1" t="s">
        <v>2027</v>
      </c>
      <c r="Z55" s="1">
        <v>1</v>
      </c>
      <c r="AA55" s="1" t="s">
        <v>2027</v>
      </c>
      <c r="AB55" s="1" t="s">
        <v>2027</v>
      </c>
      <c r="AC55" s="1" t="s">
        <v>2027</v>
      </c>
      <c r="AD55" s="1">
        <v>1</v>
      </c>
      <c r="AE55" s="1" t="s">
        <v>2027</v>
      </c>
      <c r="AF55" s="1">
        <v>3</v>
      </c>
      <c r="AG55" s="1">
        <v>6</v>
      </c>
      <c r="AH55" s="1">
        <v>7</v>
      </c>
      <c r="AI55" s="1">
        <v>6</v>
      </c>
      <c r="AJ55" s="52">
        <v>2600000</v>
      </c>
      <c r="AK55" s="9">
        <f>($L$3*(L55-$Q$1)/$Q$2+$M$3*(M55-$R$1)/$R$2+$N$3*(N55-$S$1)/$S$2+$O$3*(O55-$T$1)/$T$2+$P$3*(P55-$U$1)/$U$2)/(SUM($L$3:$P$3))</f>
        <v>-2.0332834702088682</v>
      </c>
      <c r="AL55" s="9">
        <f>($L$3*(Q55-$Q$1)/$Q$2+$M$3*(R55-$R$1)/$R$2+$N$3*(S55-$S$1)/$S$2+$O$3*(T55-$T$1)/$T$2+$P$3*(U55-$U$1)/$U$2)/(SUM($L$3:$P$3))</f>
        <v>0.45084578593745384</v>
      </c>
      <c r="AM55">
        <f>IF(AVERAGE(AG55:AH55)&gt;9,1,0)+IF(AVERAGE(AG55:AH55)&gt;7,1,0)+IF(AG55&gt;7,1,0)+IF(AH55&gt;7,1,0)+IF(AI55&gt;8,1,0)+IF(AI55&gt;6,1,0)</f>
        <v>0</v>
      </c>
      <c r="AN55" s="6">
        <f>MIN(2,IF(OR(Y55="-",X55&lt;5),0,1+IF(Y55&gt;7,1+IF(X55&gt;7,0.25,0),IF(Y55&gt;4,0.5+IF(X55&gt;7,0.25,0),0+IF(X55&gt;7,0.25))))+IF(Z55="-",0,IF(Z55&gt;9,0.5,IF(Z55&gt;7,0.25,0)))+IF(AA55="-",0,IF(AA55&gt;7,1.1,IF(AA55&gt;4,0.6,0)))+IF(OR(AB55="-",V55&lt;5),0,IF(AB55&gt;7,1+IF(V55&gt;7,0.25,0),IF(AB55&gt;4,0.5+IF(V55&gt;7,0.25,0),0)))+IF(AC55="-",0,IF(AC55&gt;7,1.5,IF(AC55&gt;4,1,0)))+IF(AD55="-",0,IF(AD55&gt;9,0.5,IF(AD55&gt;7,0.25,0)))+IF(AE55="-",0,IF(AE55&gt;7,1.25,IF(AE55&gt;4,0.75,0)))+IF(OR(AF55="-",W55&lt;4),0,IF(AF55&gt;7,1+IF(W55&gt;7,0.15,0),IF(AF55&gt;4,0.5+IF(W55&gt;7,0.15,0),0))))</f>
        <v>0</v>
      </c>
      <c r="AO55" s="9">
        <f>($AK$3*AK55+$AL$3*AL55+$AM$3*AM55+$AN$3*AN55)+$J$3*VLOOKUP(J55,COND!$A$2:$C$7,2,FALSE)+$K$3*VLOOKUP(K55,COND!$A$2:$C$7,3,FALSE)</f>
        <v>15.356821084228558</v>
      </c>
      <c r="AP55" s="37">
        <f>STANDARDIZE(AO55,AVERAGE($AO$5:$AO$1295),STDEVP($AO$5:$AO$1295))</f>
        <v>0.65159523961129528</v>
      </c>
      <c r="AQ55" t="str">
        <f>IF(AND(Y55&lt;&gt;"-",X55&gt;1),"C",IF(AA55=MAX(AA55:AC55),"2B",IF(AC55=MAX(AA55:AC55),"SS",IF(OR(AB55=MAX(Z55:AC55),AND(AB55&lt;&gt;"-",AB55&gt;4,V55&gt;5)),"3B",IF(AE55=MAX(AD55:AF55),"CF",IF(AND(AF55=MAX(AD55,AF55),AND(W55&gt;5,AD55&lt;&gt;"-")),"RF",IF(AD55&lt;&gt;"-","LF",IF(Z55&lt;&gt;"-","1B","DH"))))))))</f>
        <v>RF</v>
      </c>
      <c r="AR55">
        <v>51</v>
      </c>
      <c r="AT55" t="s">
        <v>34</v>
      </c>
      <c r="AU55" t="str">
        <f>IF(AND($Q55&gt;=6,AVERAGE($S55:$T55)&gt;=6),"Likely",IF(OR($Q55&gt;6,AND($Q55=6,AVERAGE($S55:$T55)&gt;=3),AND($Q55&gt;=5,AVERAGE($S55:$T55)&gt;=5),AVERAGE($Q55,$S55:$T55)&gt;5),"Possible","Unlikely"))</f>
        <v>Possible</v>
      </c>
      <c r="AW55" t="e">
        <f>IF(VLOOKUP($B55,'Draft List'!$D$4:$AB$2598,AW$3,FALSE)&lt;&gt;0,VLOOKUP($B55,'Draft List'!$D$4:$AB$2598,AW$3,FALSE),"")</f>
        <v>#N/A</v>
      </c>
      <c r="AX55" t="e">
        <f>IF(VLOOKUP($B55,'Draft List'!$D$4:$AB$2598,AX$3,FALSE)&lt;&gt;0,VLOOKUP($B55,'Draft List'!$D$4:$AB$2598,AX$3,FALSE),"")</f>
        <v>#N/A</v>
      </c>
      <c r="AY55" t="e">
        <f>IF(VLOOKUP($B55,'Draft List'!$D$4:$AB$2598,AY$3,FALSE)&lt;&gt;0,VLOOKUP($B55,'Draft List'!$D$4:$AB$2598,AY$3,FALSE),"")</f>
        <v>#N/A</v>
      </c>
    </row>
    <row r="56" spans="1:51">
      <c r="A56" t="str">
        <f>IF(C56="C","C-",C56)&amp;D56&amp;E56</f>
        <v>CFWilliam Collins21</v>
      </c>
      <c r="B56">
        <f>VLOOKUP($A56,draft_listing_batters_stats!$A$1:$B$1324,2,FALSE)</f>
        <v>6785</v>
      </c>
      <c r="C56" s="1" t="s">
        <v>2079</v>
      </c>
      <c r="D56" s="1" t="s">
        <v>1477</v>
      </c>
      <c r="E56" s="1">
        <v>21</v>
      </c>
      <c r="F56" s="1" t="s">
        <v>2038</v>
      </c>
      <c r="G56" s="1" t="s">
        <v>2022</v>
      </c>
      <c r="H56" s="1" t="s">
        <v>2033</v>
      </c>
      <c r="I56" s="1" t="s">
        <v>2033</v>
      </c>
      <c r="J56" s="1" t="s">
        <v>2026</v>
      </c>
      <c r="K56" s="1" t="s">
        <v>2030</v>
      </c>
      <c r="L56" s="1">
        <v>3</v>
      </c>
      <c r="M56" s="1">
        <v>5</v>
      </c>
      <c r="N56" s="1">
        <v>1</v>
      </c>
      <c r="O56" s="1">
        <v>4</v>
      </c>
      <c r="P56" s="1">
        <v>3</v>
      </c>
      <c r="Q56" s="1">
        <v>5</v>
      </c>
      <c r="R56" s="1">
        <v>5</v>
      </c>
      <c r="S56" s="1">
        <v>1</v>
      </c>
      <c r="T56" s="1">
        <v>6</v>
      </c>
      <c r="U56" s="1">
        <v>5</v>
      </c>
      <c r="V56" s="1">
        <v>1</v>
      </c>
      <c r="W56" s="1">
        <v>7</v>
      </c>
      <c r="X56" s="1">
        <v>1</v>
      </c>
      <c r="Y56" s="1" t="s">
        <v>2027</v>
      </c>
      <c r="Z56" s="1">
        <v>1</v>
      </c>
      <c r="AA56" s="1" t="s">
        <v>2027</v>
      </c>
      <c r="AB56" s="1" t="s">
        <v>2027</v>
      </c>
      <c r="AC56" s="1" t="s">
        <v>2027</v>
      </c>
      <c r="AD56" s="1">
        <v>7</v>
      </c>
      <c r="AE56" s="1">
        <v>9</v>
      </c>
      <c r="AF56" s="1">
        <v>5</v>
      </c>
      <c r="AG56" s="1">
        <v>8</v>
      </c>
      <c r="AH56" s="1">
        <v>6</v>
      </c>
      <c r="AI56" s="1">
        <v>5</v>
      </c>
      <c r="AJ56" s="52" t="s">
        <v>2029</v>
      </c>
      <c r="AK56" s="9">
        <f>($L$3*(L56-$Q$1)/$Q$2+$M$3*(M56-$R$1)/$R$2+$N$3*(N56-$S$1)/$S$2+$O$3*(O56-$T$1)/$T$2+$P$3*(P56-$U$1)/$U$2)/(SUM($L$3:$P$3))</f>
        <v>-0.88583082928449863</v>
      </c>
      <c r="AL56" s="9">
        <f>($L$3*(Q56-$Q$1)/$Q$2+$M$3*(R56-$R$1)/$R$2+$N$3*(S56-$S$1)/$S$2+$O$3*(T56-$T$1)/$T$2+$P$3*(U56-$U$1)/$U$2)/(SUM($L$3:$P$3))</f>
        <v>1.873262277417986E-2</v>
      </c>
      <c r="AM56">
        <f>IF(AVERAGE(AG56:AH56)&gt;9,1,0)+IF(AVERAGE(AG56:AH56)&gt;7,1,0)+IF(AG56&gt;7,1,0)+IF(AH56&gt;7,1,0)+IF(AI56&gt;8,1,0)+IF(AI56&gt;6,1,0)</f>
        <v>1</v>
      </c>
      <c r="AN56" s="6">
        <f>MIN(2,IF(OR(Y56="-",X56&lt;5),0,1+IF(Y56&gt;7,1+IF(X56&gt;7,0.25,0),IF(Y56&gt;4,0.5+IF(X56&gt;7,0.25,0),0+IF(X56&gt;7,0.25))))+IF(Z56="-",0,IF(Z56&gt;9,0.5,IF(Z56&gt;7,0.25,0)))+IF(AA56="-",0,IF(AA56&gt;7,1.1,IF(AA56&gt;4,0.6,0)))+IF(OR(AB56="-",V56&lt;5),0,IF(AB56&gt;7,1+IF(V56&gt;7,0.25,0),IF(AB56&gt;4,0.5+IF(V56&gt;7,0.25,0),0)))+IF(AC56="-",0,IF(AC56&gt;7,1.5,IF(AC56&gt;4,1,0)))+IF(AD56="-",0,IF(AD56&gt;9,0.5,IF(AD56&gt;7,0.25,0)))+IF(AE56="-",0,IF(AE56&gt;7,1.25,IF(AE56&gt;4,0.75,0)))+IF(OR(AF56="-",W56&lt;4),0,IF(AF56&gt;7,1+IF(W56&gt;7,0.15,0),IF(AF56&gt;4,0.5+IF(W56&gt;7,0.15,0),0))))</f>
        <v>1.75</v>
      </c>
      <c r="AO56" s="9">
        <f>($AK$3*AK56+$AL$3*AL56+$AM$3*AM56+$AN$3*AN56)+$J$3*VLOOKUP(J56,COND!$A$2:$C$7,2,FALSE)+$K$3*VLOOKUP(K56,COND!$A$2:$C$7,3,FALSE)</f>
        <v>12.052875057028375</v>
      </c>
      <c r="AP56" s="37">
        <f>STANDARDIZE(AO56,AVERAGE($AO$5:$AO$1295),STDEVP($AO$5:$AO$1295))</f>
        <v>0.19259898856716848</v>
      </c>
      <c r="AQ56" t="str">
        <f>IF(AND(Y56&lt;&gt;"-",X56&gt;1),"C",IF(AA56=MAX(AA56:AC56),"2B",IF(AC56=MAX(AA56:AC56),"SS",IF(OR(AB56=MAX(Z56:AC56),AND(AB56&lt;&gt;"-",AB56&gt;4,V56&gt;5)),"3B",IF(AE56=MAX(AD56:AF56),"CF",IF(AND(AF56=MAX(AD56,AF56),AND(W56&gt;5,AD56&lt;&gt;"-")),"RF",IF(AD56&lt;&gt;"-","LF",IF(Z56&lt;&gt;"-","1B","DH"))))))))</f>
        <v>CF</v>
      </c>
      <c r="AR56">
        <v>52</v>
      </c>
      <c r="AT56" t="s">
        <v>157</v>
      </c>
      <c r="AU56" t="str">
        <f>IF(AND($Q56&gt;=6,AVERAGE($S56:$T56)&gt;=6),"Likely",IF(OR($Q56&gt;6,AND($Q56=6,AVERAGE($S56:$T56)&gt;=3),AND($Q56&gt;=5,AVERAGE($S56:$T56)&gt;=5),AVERAGE($Q56,$S56:$T56)&gt;5),"Possible","Unlikely"))</f>
        <v>Unlikely</v>
      </c>
      <c r="AW56" t="str">
        <f>IF(VLOOKUP($B56,'Draft List'!$D$4:$AB$2598,AW$3,FALSE)&lt;&gt;0,VLOOKUP($B56,'Draft List'!$D$4:$AB$2598,AW$3,FALSE),"")</f>
        <v/>
      </c>
      <c r="AX56" t="str">
        <f>IF(VLOOKUP($B56,'Draft List'!$D$4:$AB$2598,AX$3,FALSE)&lt;&gt;0,VLOOKUP($B56,'Draft List'!$D$4:$AB$2598,AX$3,FALSE),"")</f>
        <v/>
      </c>
      <c r="AY56" t="str">
        <f>IF(VLOOKUP($B56,'Draft List'!$D$4:$AB$2598,AY$3,FALSE)&lt;&gt;0,VLOOKUP($B56,'Draft List'!$D$4:$AB$2598,AY$3,FALSE),"")</f>
        <v/>
      </c>
    </row>
    <row r="57" spans="1:51">
      <c r="A57" t="str">
        <f>IF(C57="C","C-",C57)&amp;D57&amp;E57</f>
        <v>RFJuan Pérez21</v>
      </c>
      <c r="B57" t="e">
        <f>VLOOKUP($A57,draft_listing_batters_stats!$A$1:$B$1324,2,FALSE)</f>
        <v>#N/A</v>
      </c>
      <c r="C57" s="1" t="s">
        <v>2057</v>
      </c>
      <c r="D57" s="1" t="s">
        <v>2072</v>
      </c>
      <c r="E57" s="1">
        <v>21</v>
      </c>
      <c r="F57" s="1" t="s">
        <v>2038</v>
      </c>
      <c r="G57" s="1" t="s">
        <v>2038</v>
      </c>
      <c r="H57" s="1" t="s">
        <v>2033</v>
      </c>
      <c r="I57" s="1" t="s">
        <v>2033</v>
      </c>
      <c r="J57" s="1" t="s">
        <v>2025</v>
      </c>
      <c r="K57" s="1" t="s">
        <v>2036</v>
      </c>
      <c r="L57" s="1">
        <v>3</v>
      </c>
      <c r="M57" s="1">
        <v>3</v>
      </c>
      <c r="N57" s="1">
        <v>2</v>
      </c>
      <c r="O57" s="1">
        <v>2</v>
      </c>
      <c r="P57" s="1">
        <v>1</v>
      </c>
      <c r="Q57" s="1">
        <v>5</v>
      </c>
      <c r="R57" s="1">
        <v>5</v>
      </c>
      <c r="S57" s="1">
        <v>5</v>
      </c>
      <c r="T57" s="1">
        <v>5</v>
      </c>
      <c r="U57" s="1">
        <v>4</v>
      </c>
      <c r="V57" s="1">
        <v>4</v>
      </c>
      <c r="W57" s="1">
        <v>5</v>
      </c>
      <c r="X57" s="1">
        <v>1</v>
      </c>
      <c r="Y57" s="1" t="s">
        <v>2027</v>
      </c>
      <c r="Z57" s="1">
        <v>2</v>
      </c>
      <c r="AA57" s="1" t="s">
        <v>2027</v>
      </c>
      <c r="AB57" s="1" t="s">
        <v>2027</v>
      </c>
      <c r="AC57" s="1" t="s">
        <v>2027</v>
      </c>
      <c r="AD57" s="1">
        <v>3</v>
      </c>
      <c r="AE57" s="1">
        <v>2</v>
      </c>
      <c r="AF57" s="1">
        <v>6</v>
      </c>
      <c r="AG57" s="1">
        <v>6</v>
      </c>
      <c r="AH57" s="1">
        <v>7</v>
      </c>
      <c r="AI57" s="1">
        <v>7</v>
      </c>
      <c r="AJ57" s="52" t="s">
        <v>2029</v>
      </c>
      <c r="AK57" s="9">
        <f>($L$3*(L57-$Q$1)/$Q$2+$M$3*(M57-$R$1)/$R$2+$N$3*(N57-$S$1)/$S$2+$O$3*(O57-$T$1)/$T$2+$P$3*(P57-$U$1)/$U$2)/(SUM($L$3:$P$3))</f>
        <v>-1.164340874151333</v>
      </c>
      <c r="AL57" s="9">
        <f>($L$3*(Q57-$Q$1)/$Q$2+$M$3*(R57-$R$1)/$R$2+$N$3*(S57-$S$1)/$S$2+$O$3*(T57-$T$1)/$T$2+$P$3*(U57-$U$1)/$U$2)/(SUM($L$3:$P$3))</f>
        <v>0.22125270904312133</v>
      </c>
      <c r="AM57">
        <f>IF(AVERAGE(AG57:AH57)&gt;9,1,0)+IF(AVERAGE(AG57:AH57)&gt;7,1,0)+IF(AG57&gt;7,1,0)+IF(AH57&gt;7,1,0)+IF(AI57&gt;8,1,0)+IF(AI57&gt;6,1,0)</f>
        <v>1</v>
      </c>
      <c r="AN57" s="6">
        <f>MIN(2,IF(OR(Y57="-",X57&lt;5),0,1+IF(Y57&gt;7,1+IF(X57&gt;7,0.25,0),IF(Y57&gt;4,0.5+IF(X57&gt;7,0.25,0),0+IF(X57&gt;7,0.25))))+IF(Z57="-",0,IF(Z57&gt;9,0.5,IF(Z57&gt;7,0.25,0)))+IF(AA57="-",0,IF(AA57&gt;7,1.1,IF(AA57&gt;4,0.6,0)))+IF(OR(AB57="-",V57&lt;5),0,IF(AB57&gt;7,1+IF(V57&gt;7,0.25,0),IF(AB57&gt;4,0.5+IF(V57&gt;7,0.25,0),0)))+IF(AC57="-",0,IF(AC57&gt;7,1.5,IF(AC57&gt;4,1,0)))+IF(AD57="-",0,IF(AD57&gt;9,0.5,IF(AD57&gt;7,0.25,0)))+IF(AE57="-",0,IF(AE57&gt;7,1.25,IF(AE57&gt;4,0.75,0)))+IF(OR(AF57="-",W57&lt;4),0,IF(AF57&gt;7,1+IF(W57&gt;7,0.15,0),IF(AF57&gt;4,0.5+IF(W57&gt;7,0.15,0),0))))</f>
        <v>0.5</v>
      </c>
      <c r="AO57" s="9">
        <f>($AK$3*AK57+$AL$3*AL57+$AM$3*AM57+$AN$3*AN57)+$J$3*VLOOKUP(J57,COND!$A$2:$C$7,2,FALSE)+$K$3*VLOOKUP(K57,COND!$A$2:$C$7,3,FALSE)</f>
        <v>13.455265087768989</v>
      </c>
      <c r="AP57" s="37">
        <f>STANDARDIZE(AO57,AVERAGE($AO$5:$AO$1295),STDEVP($AO$5:$AO$1295))</f>
        <v>0.38742413441165863</v>
      </c>
      <c r="AQ57" t="str">
        <f>IF(AND(Y57&lt;&gt;"-",X57&gt;1),"C",IF(AA57=MAX(AA57:AC57),"2B",IF(AC57=MAX(AA57:AC57),"SS",IF(OR(AB57=MAX(Z57:AC57),AND(AB57&lt;&gt;"-",AB57&gt;4,V57&gt;5)),"3B",IF(AE57=MAX(AD57:AF57),"CF",IF(AND(AF57=MAX(AD57,AF57),AND(W57&gt;5,AD57&lt;&gt;"-")),"RF",IF(AD57&lt;&gt;"-","LF",IF(Z57&lt;&gt;"-","1B","DH"))))))))</f>
        <v>LF</v>
      </c>
      <c r="AR57">
        <v>53</v>
      </c>
      <c r="AT57" t="s">
        <v>37</v>
      </c>
      <c r="AU57" t="str">
        <f>IF(AND($Q57&gt;=6,AVERAGE($S57:$T57)&gt;=6),"Likely",IF(OR($Q57&gt;6,AND($Q57=6,AVERAGE($S57:$T57)&gt;=3),AND($Q57&gt;=5,AVERAGE($S57:$T57)&gt;=5),AVERAGE($Q57,$S57:$T57)&gt;5),"Possible","Unlikely"))</f>
        <v>Possible</v>
      </c>
      <c r="AW57" t="e">
        <f>IF(VLOOKUP($B57,'Draft List'!$D$4:$AB$2598,AW$3,FALSE)&lt;&gt;0,VLOOKUP($B57,'Draft List'!$D$4:$AB$2598,AW$3,FALSE),"")</f>
        <v>#N/A</v>
      </c>
      <c r="AX57" t="e">
        <f>IF(VLOOKUP($B57,'Draft List'!$D$4:$AB$2598,AX$3,FALSE)&lt;&gt;0,VLOOKUP($B57,'Draft List'!$D$4:$AB$2598,AX$3,FALSE),"")</f>
        <v>#N/A</v>
      </c>
      <c r="AY57" t="e">
        <f>IF(VLOOKUP($B57,'Draft List'!$D$4:$AB$2598,AY$3,FALSE)&lt;&gt;0,VLOOKUP($B57,'Draft List'!$D$4:$AB$2598,AY$3,FALSE),"")</f>
        <v>#N/A</v>
      </c>
    </row>
    <row r="58" spans="1:51">
      <c r="A58" t="str">
        <f>IF(C58="C","C-",C58)&amp;D58&amp;E58</f>
        <v>2BJavier Torres18</v>
      </c>
      <c r="B58">
        <f>VLOOKUP($A58,draft_listing_batters_stats!$A$1:$B$1324,2,FALSE)</f>
        <v>1162</v>
      </c>
      <c r="C58" s="1" t="s">
        <v>2069</v>
      </c>
      <c r="D58" s="1" t="s">
        <v>1414</v>
      </c>
      <c r="E58" s="1">
        <v>18</v>
      </c>
      <c r="F58" s="1" t="s">
        <v>2022</v>
      </c>
      <c r="G58" s="1" t="s">
        <v>2022</v>
      </c>
      <c r="H58" s="1" t="s">
        <v>2033</v>
      </c>
      <c r="I58" s="1" t="s">
        <v>2043</v>
      </c>
      <c r="J58" s="1" t="s">
        <v>2025</v>
      </c>
      <c r="K58" s="1" t="s">
        <v>2026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8</v>
      </c>
      <c r="R58" s="1">
        <v>9</v>
      </c>
      <c r="S58" s="1">
        <v>6</v>
      </c>
      <c r="T58" s="1">
        <v>4</v>
      </c>
      <c r="U58" s="1">
        <v>6</v>
      </c>
      <c r="V58" s="1">
        <v>6</v>
      </c>
      <c r="W58" s="1">
        <v>2</v>
      </c>
      <c r="X58" s="1">
        <v>1</v>
      </c>
      <c r="Y58" s="1" t="s">
        <v>2027</v>
      </c>
      <c r="Z58" s="1">
        <v>1</v>
      </c>
      <c r="AA58" s="1">
        <v>4</v>
      </c>
      <c r="AB58" s="1">
        <v>1</v>
      </c>
      <c r="AC58" s="1">
        <v>1</v>
      </c>
      <c r="AD58" s="1" t="s">
        <v>2027</v>
      </c>
      <c r="AE58" s="1" t="s">
        <v>2027</v>
      </c>
      <c r="AF58" s="1" t="s">
        <v>2027</v>
      </c>
      <c r="AG58" s="1">
        <v>8</v>
      </c>
      <c r="AH58" s="1">
        <v>10</v>
      </c>
      <c r="AI58" s="1">
        <v>10</v>
      </c>
      <c r="AJ58" s="52">
        <v>2800000</v>
      </c>
      <c r="AK58" s="9">
        <f>($L$3*(L58-$Q$1)/$Q$2+$M$3*(M58-$R$1)/$R$2+$N$3*(N58-$S$1)/$S$2+$O$3*(O58-$T$1)/$T$2+$P$3*(P58-$U$1)/$U$2)/(SUM($L$3:$P$3))</f>
        <v>-2.0843433498275723</v>
      </c>
      <c r="AL58" s="9">
        <f>($L$3*(Q58-$Q$1)/$Q$2+$M$3*(R58-$R$1)/$R$2+$N$3*(S58-$S$1)/$S$2+$O$3*(T58-$T$1)/$T$2+$P$3*(U58-$U$1)/$U$2)/(SUM($L$3:$P$3))</f>
        <v>1.4665443597744467</v>
      </c>
      <c r="AM58">
        <f>IF(AVERAGE(AG58:AH58)&gt;9,1,0)+IF(AVERAGE(AG58:AH58)&gt;7,1,0)+IF(AG58&gt;7,1,0)+IF(AH58&gt;7,1,0)+IF(AI58&gt;8,1,0)+IF(AI58&gt;6,1,0)</f>
        <v>5</v>
      </c>
      <c r="AN58" s="6">
        <f>MIN(2,IF(OR(Y58="-",X58&lt;5),0,1+IF(Y58&gt;7,1+IF(X58&gt;7,0.25,0),IF(Y58&gt;4,0.5+IF(X58&gt;7,0.25,0),0+IF(X58&gt;7,0.25))))+IF(Z58="-",0,IF(Z58&gt;9,0.5,IF(Z58&gt;7,0.25,0)))+IF(AA58="-",0,IF(AA58&gt;7,1.1,IF(AA58&gt;4,0.6,0)))+IF(OR(AB58="-",V58&lt;5),0,IF(AB58&gt;7,1+IF(V58&gt;7,0.25,0),IF(AB58&gt;4,0.5+IF(V58&gt;7,0.25,0),0)))+IF(AC58="-",0,IF(AC58&gt;7,1.5,IF(AC58&gt;4,1,0)))+IF(AD58="-",0,IF(AD58&gt;9,0.5,IF(AD58&gt;7,0.25,0)))+IF(AE58="-",0,IF(AE58&gt;7,1.25,IF(AE58&gt;4,0.75,0)))+IF(OR(AF58="-",W58&lt;4),0,IF(AF58&gt;7,1+IF(W58&gt;7,0.15,0),IF(AF58&gt;4,0.5+IF(W58&gt;7,0.15,0),0))))</f>
        <v>0</v>
      </c>
      <c r="AO58" s="9">
        <f>($AK$3*AK58+$AL$3*AL58+$AM$3*AM58+$AN$3*AN58)+$J$3*VLOOKUP(J58,COND!$A$2:$C$7,2,FALSE)+$K$3*VLOOKUP(K58,COND!$A$2:$C$7,3,FALSE)</f>
        <v>28.123431315643934</v>
      </c>
      <c r="AP58" s="37">
        <f>STANDARDIZE(AO58,AVERAGE($AO$5:$AO$1295),STDEVP($AO$5:$AO$1295))</f>
        <v>2.4251793679594695</v>
      </c>
      <c r="AQ58" t="str">
        <f>IF(AND(Y58&lt;&gt;"-",X58&gt;1),"C",IF(AA58=MAX(AA58:AC58),"2B",IF(AC58=MAX(AA58:AC58),"SS",IF(OR(AB58=MAX(Z58:AC58),AND(AB58&lt;&gt;"-",AB58&gt;4,V58&gt;5)),"3B",IF(AE58=MAX(AD58:AF58),"CF",IF(AND(AF58=MAX(AD58,AF58),AND(W58&gt;5,AD58&lt;&gt;"-")),"RF",IF(AD58&lt;&gt;"-","LF",IF(Z58&lt;&gt;"-","1B","DH"))))))))</f>
        <v>2B</v>
      </c>
      <c r="AR58">
        <v>54</v>
      </c>
      <c r="AT58" t="s">
        <v>157</v>
      </c>
      <c r="AU58" t="str">
        <f>IF(AND($Q58&gt;=6,AVERAGE($S58:$T58)&gt;=6),"Likely",IF(OR($Q58&gt;6,AND($Q58=6,AVERAGE($S58:$T58)&gt;=3),AND($Q58&gt;=5,AVERAGE($S58:$T58)&gt;=5),AVERAGE($Q58,$S58:$T58)&gt;5),"Possible","Unlikely"))</f>
        <v>Possible</v>
      </c>
      <c r="AW58" t="str">
        <f>IF(VLOOKUP($B58,'Draft List'!$D$4:$AB$2598,AW$3,FALSE)&lt;&gt;0,VLOOKUP($B58,'Draft List'!$D$4:$AB$2598,AW$3,FALSE),"")</f>
        <v/>
      </c>
      <c r="AX58" t="str">
        <f>IF(VLOOKUP($B58,'Draft List'!$D$4:$AB$2598,AX$3,FALSE)&lt;&gt;0,VLOOKUP($B58,'Draft List'!$D$4:$AB$2598,AX$3,FALSE),"")</f>
        <v/>
      </c>
      <c r="AY58" t="str">
        <f>IF(VLOOKUP($B58,'Draft List'!$D$4:$AB$2598,AY$3,FALSE)&lt;&gt;0,VLOOKUP($B58,'Draft List'!$D$4:$AB$2598,AY$3,FALSE),"")</f>
        <v/>
      </c>
    </row>
    <row r="59" spans="1:51">
      <c r="A59" t="str">
        <f>IF(C59="C","C-",C59)&amp;D59&amp;E59</f>
        <v>LFStu Greer18</v>
      </c>
      <c r="B59">
        <f>VLOOKUP($A59,draft_listing_batters_stats!$A$1:$B$1324,2,FALSE)</f>
        <v>1753</v>
      </c>
      <c r="C59" s="1" t="s">
        <v>2035</v>
      </c>
      <c r="D59" s="1" t="s">
        <v>1425</v>
      </c>
      <c r="E59" s="1">
        <v>18</v>
      </c>
      <c r="F59" s="1" t="s">
        <v>2022</v>
      </c>
      <c r="G59" s="1" t="s">
        <v>2022</v>
      </c>
      <c r="H59" s="1" t="s">
        <v>2033</v>
      </c>
      <c r="I59" s="1" t="s">
        <v>2023</v>
      </c>
      <c r="J59" s="1" t="s">
        <v>2026</v>
      </c>
      <c r="K59" s="1" t="s">
        <v>2040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7</v>
      </c>
      <c r="R59" s="1">
        <v>6</v>
      </c>
      <c r="S59" s="1">
        <v>6</v>
      </c>
      <c r="T59" s="1">
        <v>6</v>
      </c>
      <c r="U59" s="1">
        <v>5</v>
      </c>
      <c r="V59" s="1">
        <v>1</v>
      </c>
      <c r="W59" s="1">
        <v>6</v>
      </c>
      <c r="X59" s="1">
        <v>1</v>
      </c>
      <c r="Y59" s="1" t="s">
        <v>2027</v>
      </c>
      <c r="Z59" s="1" t="s">
        <v>2027</v>
      </c>
      <c r="AA59" s="1" t="s">
        <v>2027</v>
      </c>
      <c r="AB59" s="1" t="s">
        <v>2027</v>
      </c>
      <c r="AC59" s="1" t="s">
        <v>2027</v>
      </c>
      <c r="AD59" s="1">
        <v>3</v>
      </c>
      <c r="AE59" s="1" t="s">
        <v>2027</v>
      </c>
      <c r="AF59" s="1">
        <v>1</v>
      </c>
      <c r="AG59" s="1">
        <v>8</v>
      </c>
      <c r="AH59" s="1">
        <v>10</v>
      </c>
      <c r="AI59" s="1">
        <v>8</v>
      </c>
      <c r="AJ59" s="52" t="s">
        <v>2029</v>
      </c>
      <c r="AK59" s="9">
        <f>($L$3*(L59-$Q$1)/$Q$2+$M$3*(M59-$R$1)/$R$2+$N$3*(N59-$S$1)/$S$2+$O$3*(O59-$T$1)/$T$2+$P$3*(P59-$U$1)/$U$2)/(SUM($L$3:$P$3))</f>
        <v>-2.0843433498275723</v>
      </c>
      <c r="AL59" s="9">
        <f>($L$3*(Q59-$Q$1)/$Q$2+$M$3*(R59-$R$1)/$R$2+$N$3*(S59-$S$1)/$S$2+$O$3*(T59-$T$1)/$T$2+$P$3*(U59-$U$1)/$U$2)/(SUM($L$3:$P$3))</f>
        <v>1.1302116449177402</v>
      </c>
      <c r="AM59">
        <f>IF(AVERAGE(AG59:AH59)&gt;9,1,0)+IF(AVERAGE(AG59:AH59)&gt;7,1,0)+IF(AG59&gt;7,1,0)+IF(AH59&gt;7,1,0)+IF(AI59&gt;8,1,0)+IF(AI59&gt;6,1,0)</f>
        <v>4</v>
      </c>
      <c r="AN59" s="6">
        <f>MIN(2,IF(OR(Y59="-",X59&lt;5),0,1+IF(Y59&gt;7,1+IF(X59&gt;7,0.25,0),IF(Y59&gt;4,0.5+IF(X59&gt;7,0.25,0),0+IF(X59&gt;7,0.25))))+IF(Z59="-",0,IF(Z59&gt;9,0.5,IF(Z59&gt;7,0.25,0)))+IF(AA59="-",0,IF(AA59&gt;7,1.1,IF(AA59&gt;4,0.6,0)))+IF(OR(AB59="-",V59&lt;5),0,IF(AB59&gt;7,1+IF(V59&gt;7,0.25,0),IF(AB59&gt;4,0.5+IF(V59&gt;7,0.25,0),0)))+IF(AC59="-",0,IF(AC59&gt;7,1.5,IF(AC59&gt;4,1,0)))+IF(AD59="-",0,IF(AD59&gt;9,0.5,IF(AD59&gt;7,0.25,0)))+IF(AE59="-",0,IF(AE59&gt;7,1.25,IF(AE59&gt;4,0.75,0)))+IF(OR(AF59="-",W59&lt;4),0,IF(AF59&gt;7,1+IF(W59&gt;7,0.15,0),IF(AF59&gt;4,0.5+IF(W59&gt;7,0.15,0),0))))</f>
        <v>0</v>
      </c>
      <c r="AO59" s="9">
        <f>($AK$3*AK59+$AL$3*AL59+$AM$3*AM59+$AN$3*AN59)+$J$3*VLOOKUP(J59,COND!$A$2:$C$7,2,FALSE)+$K$3*VLOOKUP(K59,COND!$A$2:$C$7,3,FALSE)</f>
        <v>23.420772070696792</v>
      </c>
      <c r="AP59" s="37">
        <f>STANDARDIZE(AO59,AVERAGE($AO$5:$AO$1295),STDEVP($AO$5:$AO$1295))</f>
        <v>1.7718687673629177</v>
      </c>
      <c r="AQ59" t="str">
        <f>IF(AND(Y59&lt;&gt;"-",X59&gt;1),"C",IF(AA59=MAX(AA59:AC59),"2B",IF(AC59=MAX(AA59:AC59),"SS",IF(OR(AB59=MAX(Z59:AC59),AND(AB59&lt;&gt;"-",AB59&gt;4,V59&gt;5)),"3B",IF(AE59=MAX(AD59:AF59),"CF",IF(AND(AF59=MAX(AD59,AF59),AND(W59&gt;5,AD59&lt;&gt;"-")),"RF",IF(AD59&lt;&gt;"-","LF",IF(Z59&lt;&gt;"-","1B","DH"))))))))</f>
        <v>LF</v>
      </c>
      <c r="AR59">
        <v>55</v>
      </c>
      <c r="AT59" t="s">
        <v>154</v>
      </c>
      <c r="AU59" t="str">
        <f>IF(AND($Q59&gt;=6,AVERAGE($S59:$T59)&gt;=6),"Likely",IF(OR($Q59&gt;6,AND($Q59=6,AVERAGE($S59:$T59)&gt;=3),AND($Q59&gt;=5,AVERAGE($S59:$T59)&gt;=5),AVERAGE($Q59,$S59:$T59)&gt;5),"Possible","Unlikely"))</f>
        <v>Likely</v>
      </c>
      <c r="AW59" t="str">
        <f>IF(VLOOKUP($B59,'Draft List'!$D$4:$AB$2598,AW$3,FALSE)&lt;&gt;0,VLOOKUP($B59,'Draft List'!$D$4:$AB$2598,AW$3,FALSE),"")</f>
        <v/>
      </c>
      <c r="AX59" t="str">
        <f>IF(VLOOKUP($B59,'Draft List'!$D$4:$AB$2598,AX$3,FALSE)&lt;&gt;0,VLOOKUP($B59,'Draft List'!$D$4:$AB$2598,AX$3,FALSE),"")</f>
        <v/>
      </c>
      <c r="AY59" t="str">
        <f>IF(VLOOKUP($B59,'Draft List'!$D$4:$AB$2598,AY$3,FALSE)&lt;&gt;0,VLOOKUP($B59,'Draft List'!$D$4:$AB$2598,AY$3,FALSE),"")</f>
        <v/>
      </c>
    </row>
    <row r="60" spans="1:51">
      <c r="A60" t="str">
        <f>IF(C60="C","C-",C60)&amp;D60&amp;E60</f>
        <v>LFKenny Hand21</v>
      </c>
      <c r="B60">
        <f>VLOOKUP($A60,draft_listing_batters_stats!$A$1:$B$1324,2,FALSE)</f>
        <v>6534</v>
      </c>
      <c r="C60" s="1" t="s">
        <v>2035</v>
      </c>
      <c r="D60" s="1" t="s">
        <v>1307</v>
      </c>
      <c r="E60" s="1">
        <v>21</v>
      </c>
      <c r="F60" s="1" t="s">
        <v>2022</v>
      </c>
      <c r="G60" s="1" t="s">
        <v>2022</v>
      </c>
      <c r="H60" s="1" t="s">
        <v>2033</v>
      </c>
      <c r="I60" s="1" t="s">
        <v>2033</v>
      </c>
      <c r="J60" s="1" t="s">
        <v>2025</v>
      </c>
      <c r="K60" s="1" t="s">
        <v>2025</v>
      </c>
      <c r="L60" s="1">
        <v>3</v>
      </c>
      <c r="M60" s="1">
        <v>3</v>
      </c>
      <c r="N60" s="1">
        <v>4</v>
      </c>
      <c r="O60" s="1">
        <v>4</v>
      </c>
      <c r="P60" s="1">
        <v>2</v>
      </c>
      <c r="Q60" s="1">
        <v>5</v>
      </c>
      <c r="R60" s="1">
        <v>5</v>
      </c>
      <c r="S60" s="1">
        <v>5</v>
      </c>
      <c r="T60" s="1">
        <v>4</v>
      </c>
      <c r="U60" s="1">
        <v>4</v>
      </c>
      <c r="V60" s="1">
        <v>1</v>
      </c>
      <c r="W60" s="1">
        <v>8</v>
      </c>
      <c r="X60" s="1">
        <v>1</v>
      </c>
      <c r="Y60" s="1" t="s">
        <v>2027</v>
      </c>
      <c r="Z60" s="1">
        <v>1</v>
      </c>
      <c r="AA60" s="1" t="s">
        <v>2027</v>
      </c>
      <c r="AB60" s="1" t="s">
        <v>2027</v>
      </c>
      <c r="AC60" s="1" t="s">
        <v>2027</v>
      </c>
      <c r="AD60" s="1">
        <v>5</v>
      </c>
      <c r="AE60" s="1">
        <v>2</v>
      </c>
      <c r="AF60" s="1">
        <v>6</v>
      </c>
      <c r="AG60" s="1">
        <v>7</v>
      </c>
      <c r="AH60" s="1">
        <v>8</v>
      </c>
      <c r="AI60" s="1">
        <v>9</v>
      </c>
      <c r="AJ60" s="52" t="s">
        <v>2029</v>
      </c>
      <c r="AK60" s="9">
        <f>($L$3*(L60-$Q$1)/$Q$2+$M$3*(M60-$R$1)/$R$2+$N$3*(N60-$S$1)/$S$2+$O$3*(O60-$T$1)/$T$2+$P$3*(P60-$U$1)/$U$2)/(SUM($L$3:$P$3))</f>
        <v>-0.77878244626728443</v>
      </c>
      <c r="AL60" s="9">
        <f>($L$3*(Q60-$Q$1)/$Q$2+$M$3*(R60-$R$1)/$R$2+$N$3*(S60-$S$1)/$S$2+$O$3*(T60-$T$1)/$T$2+$P$3*(U60-$U$1)/$U$2)/(SUM($L$3:$P$3))</f>
        <v>0.1315431590335403</v>
      </c>
      <c r="AM60">
        <f>IF(AVERAGE(AG60:AH60)&gt;9,1,0)+IF(AVERAGE(AG60:AH60)&gt;7,1,0)+IF(AG60&gt;7,1,0)+IF(AH60&gt;7,1,0)+IF(AI60&gt;8,1,0)+IF(AI60&gt;6,1,0)</f>
        <v>4</v>
      </c>
      <c r="AN60" s="6">
        <f>MIN(2,IF(OR(Y60="-",X60&lt;5),0,1+IF(Y60&gt;7,1+IF(X60&gt;7,0.25,0),IF(Y60&gt;4,0.5+IF(X60&gt;7,0.25,0),0+IF(X60&gt;7,0.25))))+IF(Z60="-",0,IF(Z60&gt;9,0.5,IF(Z60&gt;7,0.25,0)))+IF(AA60="-",0,IF(AA60&gt;7,1.1,IF(AA60&gt;4,0.6,0)))+IF(OR(AB60="-",V60&lt;5),0,IF(AB60&gt;7,1+IF(V60&gt;7,0.25,0),IF(AB60&gt;4,0.5+IF(V60&gt;7,0.25,0),0)))+IF(AC60="-",0,IF(AC60&gt;7,1.5,IF(AC60&gt;4,1,0)))+IF(AD60="-",0,IF(AD60&gt;9,0.5,IF(AD60&gt;7,0.25,0)))+IF(AE60="-",0,IF(AE60&gt;7,1.25,IF(AE60&gt;4,0.75,0)))+IF(OR(AF60="-",W60&lt;4),0,IF(AF60&gt;7,1+IF(W60&gt;7,0.15,0),IF(AF60&gt;4,0.5+IF(W60&gt;7,0.15,0),0))))</f>
        <v>0.65</v>
      </c>
      <c r="AO60" s="9">
        <f>($AK$3*AK60+$AL$3*AL60+$AM$3*AM60+$AN$3*AN60)+$J$3*VLOOKUP(J60,COND!$A$2:$C$7,2,FALSE)+$K$3*VLOOKUP(K60,COND!$A$2:$C$7,3,FALSE)</f>
        <v>12.817306330442422</v>
      </c>
      <c r="AP60" s="37">
        <f>STANDARDIZE(AO60,AVERAGE($AO$5:$AO$1295),STDEVP($AO$5:$AO$1295))</f>
        <v>0.29879657345183114</v>
      </c>
      <c r="AQ60" t="str">
        <f>IF(AND(Y60&lt;&gt;"-",X60&gt;1),"C",IF(AA60=MAX(AA60:AC60),"2B",IF(AC60=MAX(AA60:AC60),"SS",IF(OR(AB60=MAX(Z60:AC60),AND(AB60&lt;&gt;"-",AB60&gt;4,V60&gt;5)),"3B",IF(AE60=MAX(AD60:AF60),"CF",IF(AND(AF60=MAX(AD60,AF60),AND(W60&gt;5,AD60&lt;&gt;"-")),"RF",IF(AD60&lt;&gt;"-","LF",IF(Z60&lt;&gt;"-","1B","DH"))))))))</f>
        <v>RF</v>
      </c>
      <c r="AR60">
        <v>56</v>
      </c>
      <c r="AT60" t="s">
        <v>155</v>
      </c>
      <c r="AU60" t="str">
        <f>IF(AND($Q60&gt;=6,AVERAGE($S60:$T60)&gt;=6),"Likely",IF(OR($Q60&gt;6,AND($Q60=6,AVERAGE($S60:$T60)&gt;=3),AND($Q60&gt;=5,AVERAGE($S60:$T60)&gt;=5),AVERAGE($Q60,$S60:$T60)&gt;5),"Possible","Unlikely"))</f>
        <v>Unlikely</v>
      </c>
      <c r="AW60" t="str">
        <f>IF(VLOOKUP($B60,'Draft List'!$D$4:$AB$2598,AW$3,FALSE)&lt;&gt;0,VLOOKUP($B60,'Draft List'!$D$4:$AB$2598,AW$3,FALSE),"")</f>
        <v/>
      </c>
      <c r="AX60" t="str">
        <f>IF(VLOOKUP($B60,'Draft List'!$D$4:$AB$2598,AX$3,FALSE)&lt;&gt;0,VLOOKUP($B60,'Draft List'!$D$4:$AB$2598,AX$3,FALSE),"")</f>
        <v/>
      </c>
      <c r="AY60" t="str">
        <f>IF(VLOOKUP($B60,'Draft List'!$D$4:$AB$2598,AY$3,FALSE)&lt;&gt;0,VLOOKUP($B60,'Draft List'!$D$4:$AB$2598,AY$3,FALSE),"")</f>
        <v/>
      </c>
    </row>
    <row r="61" spans="1:51">
      <c r="A61" t="str">
        <f>IF(C61="C","C-",C61)&amp;D61&amp;E61</f>
        <v>SSBobby Miller21</v>
      </c>
      <c r="B61">
        <f>VLOOKUP($A61,draft_listing_batters_stats!$A$1:$B$1324,2,FALSE)</f>
        <v>2017</v>
      </c>
      <c r="C61" s="1" t="s">
        <v>2074</v>
      </c>
      <c r="D61" s="1" t="s">
        <v>1370</v>
      </c>
      <c r="E61" s="1">
        <v>21</v>
      </c>
      <c r="F61" s="1" t="s">
        <v>2022</v>
      </c>
      <c r="G61" s="1" t="s">
        <v>2022</v>
      </c>
      <c r="H61" s="1" t="s">
        <v>2033</v>
      </c>
      <c r="I61" s="1" t="s">
        <v>2033</v>
      </c>
      <c r="J61" s="1" t="s">
        <v>2040</v>
      </c>
      <c r="K61" s="1" t="s">
        <v>2036</v>
      </c>
      <c r="L61" s="1">
        <v>3</v>
      </c>
      <c r="M61" s="1">
        <v>4</v>
      </c>
      <c r="N61" s="1">
        <v>1</v>
      </c>
      <c r="O61" s="1">
        <v>4</v>
      </c>
      <c r="P61" s="1">
        <v>1</v>
      </c>
      <c r="Q61" s="1">
        <v>5</v>
      </c>
      <c r="R61" s="1">
        <v>4</v>
      </c>
      <c r="S61" s="1">
        <v>2</v>
      </c>
      <c r="T61" s="1">
        <v>6</v>
      </c>
      <c r="U61" s="1">
        <v>4</v>
      </c>
      <c r="V61" s="1">
        <v>5</v>
      </c>
      <c r="W61" s="1">
        <v>2</v>
      </c>
      <c r="X61" s="1">
        <v>1</v>
      </c>
      <c r="Y61" s="1" t="s">
        <v>2027</v>
      </c>
      <c r="Z61" s="1" t="s">
        <v>2027</v>
      </c>
      <c r="AA61" s="1" t="s">
        <v>2027</v>
      </c>
      <c r="AB61" s="1">
        <v>4</v>
      </c>
      <c r="AC61" s="1">
        <v>8</v>
      </c>
      <c r="AD61" s="1" t="s">
        <v>2027</v>
      </c>
      <c r="AE61" s="1" t="s">
        <v>2027</v>
      </c>
      <c r="AF61" s="1" t="s">
        <v>2027</v>
      </c>
      <c r="AG61" s="1">
        <v>9</v>
      </c>
      <c r="AH61" s="1">
        <v>8</v>
      </c>
      <c r="AI61" s="1">
        <v>7</v>
      </c>
      <c r="AJ61" s="52" t="s">
        <v>2029</v>
      </c>
      <c r="AK61" s="9">
        <f>($L$3*(L61-$Q$1)/$Q$2+$M$3*(M61-$R$1)/$R$2+$N$3*(N61-$S$1)/$S$2+$O$3*(O61-$T$1)/$T$2+$P$3*(P61-$U$1)/$U$2)/(SUM($L$3:$P$3))</f>
        <v>-1.016923388537369</v>
      </c>
      <c r="AL61" s="9">
        <f>($L$3*(Q61-$Q$1)/$Q$2+$M$3*(R61-$R$1)/$R$2+$N$3*(S61-$S$1)/$S$2+$O$3*(T61-$T$1)/$T$2+$P$3*(U61-$U$1)/$U$2)/(SUM($L$3:$P$3))</f>
        <v>1.0717897362294391E-2</v>
      </c>
      <c r="AM61">
        <f>IF(AVERAGE(AG61:AH61)&gt;9,1,0)+IF(AVERAGE(AG61:AH61)&gt;7,1,0)+IF(AG61&gt;7,1,0)+IF(AH61&gt;7,1,0)+IF(AI61&gt;8,1,0)+IF(AI61&gt;6,1,0)</f>
        <v>4</v>
      </c>
      <c r="AN61" s="6">
        <f>MIN(2,IF(OR(Y61="-",X61&lt;5),0,1+IF(Y61&gt;7,1+IF(X61&gt;7,0.25,0),IF(Y61&gt;4,0.5+IF(X61&gt;7,0.25,0),0+IF(X61&gt;7,0.25))))+IF(Z61="-",0,IF(Z61&gt;9,0.5,IF(Z61&gt;7,0.25,0)))+IF(AA61="-",0,IF(AA61&gt;7,1.1,IF(AA61&gt;4,0.6,0)))+IF(OR(AB61="-",V61&lt;5),0,IF(AB61&gt;7,1+IF(V61&gt;7,0.25,0),IF(AB61&gt;4,0.5+IF(V61&gt;7,0.25,0),0)))+IF(AC61="-",0,IF(AC61&gt;7,1.5,IF(AC61&gt;4,1,0)))+IF(AD61="-",0,IF(AD61&gt;9,0.5,IF(AD61&gt;7,0.25,0)))+IF(AE61="-",0,IF(AE61&gt;7,1.25,IF(AE61&gt;4,0.75,0)))+IF(OR(AF61="-",W61&lt;4),0,IF(AF61&gt;7,1+IF(W61&gt;7,0.15,0),IF(AF61&gt;4,0.5+IF(W61&gt;7,0.15,0),0))))</f>
        <v>1.5</v>
      </c>
      <c r="AO61" s="9">
        <f>($AK$3*AK61+$AL$3*AL61+$AM$3*AM61+$AN$3*AN61)+$J$3*VLOOKUP(J61,COND!$A$2:$C$7,2,FALSE)+$K$3*VLOOKUP(K61,COND!$A$2:$C$7,3,FALSE)</f>
        <v>11.943589096160462</v>
      </c>
      <c r="AP61" s="37">
        <f>STANDARDIZE(AO61,AVERAGE($AO$5:$AO$1295),STDEVP($AO$5:$AO$1295))</f>
        <v>0.1774165836740004</v>
      </c>
      <c r="AQ61" t="str">
        <f>IF(AND(Y61&lt;&gt;"-",X61&gt;1),"C",IF(AA61=MAX(AA61:AC61),"2B",IF(AC61=MAX(AA61:AC61),"SS",IF(OR(AB61=MAX(Z61:AC61),AND(AB61&lt;&gt;"-",AB61&gt;4,V61&gt;5)),"3B",IF(AE61=MAX(AD61:AF61),"CF",IF(AND(AF61=MAX(AD61,AF61),AND(W61&gt;5,AD61&lt;&gt;"-")),"RF",IF(AD61&lt;&gt;"-","LF",IF(Z61&lt;&gt;"-","1B","DH"))))))))</f>
        <v>SS</v>
      </c>
      <c r="AR61">
        <v>57</v>
      </c>
      <c r="AT61" t="s">
        <v>155</v>
      </c>
      <c r="AU61" t="str">
        <f>IF(AND($Q61&gt;=6,AVERAGE($S61:$T61)&gt;=6),"Likely",IF(OR($Q61&gt;6,AND($Q61=6,AVERAGE($S61:$T61)&gt;=3),AND($Q61&gt;=5,AVERAGE($S61:$T61)&gt;=5),AVERAGE($Q61,$S61:$T61)&gt;5),"Possible","Unlikely"))</f>
        <v>Unlikely</v>
      </c>
      <c r="AW61" t="str">
        <f>IF(VLOOKUP($B61,'Draft List'!$D$4:$AB$2598,AW$3,FALSE)&lt;&gt;0,VLOOKUP($B61,'Draft List'!$D$4:$AB$2598,AW$3,FALSE),"")</f>
        <v/>
      </c>
      <c r="AX61" t="str">
        <f>IF(VLOOKUP($B61,'Draft List'!$D$4:$AB$2598,AX$3,FALSE)&lt;&gt;0,VLOOKUP($B61,'Draft List'!$D$4:$AB$2598,AX$3,FALSE),"")</f>
        <v/>
      </c>
      <c r="AY61" t="str">
        <f>IF(VLOOKUP($B61,'Draft List'!$D$4:$AB$2598,AY$3,FALSE)&lt;&gt;0,VLOOKUP($B61,'Draft List'!$D$4:$AB$2598,AY$3,FALSE),"")</f>
        <v/>
      </c>
    </row>
    <row r="62" spans="1:51">
      <c r="A62" t="str">
        <f>IF(C62="C","C-",C62)&amp;D62&amp;E62</f>
        <v>CFOliver McBride21</v>
      </c>
      <c r="B62">
        <f>VLOOKUP($A62,draft_listing_batters_stats!$A$1:$B$1324,2,FALSE)</f>
        <v>8929</v>
      </c>
      <c r="C62" s="1" t="s">
        <v>2079</v>
      </c>
      <c r="D62" s="1" t="s">
        <v>1361</v>
      </c>
      <c r="E62" s="1">
        <v>21</v>
      </c>
      <c r="F62" s="1" t="s">
        <v>2022</v>
      </c>
      <c r="G62" s="1" t="s">
        <v>2022</v>
      </c>
      <c r="H62" s="1" t="s">
        <v>2033</v>
      </c>
      <c r="I62" s="1" t="s">
        <v>2033</v>
      </c>
      <c r="J62" s="1" t="s">
        <v>2036</v>
      </c>
      <c r="K62" s="1" t="s">
        <v>2026</v>
      </c>
      <c r="L62" s="1">
        <v>3</v>
      </c>
      <c r="M62" s="1">
        <v>3</v>
      </c>
      <c r="N62" s="1">
        <v>1</v>
      </c>
      <c r="O62" s="1">
        <v>2</v>
      </c>
      <c r="P62" s="1">
        <v>2</v>
      </c>
      <c r="Q62" s="1">
        <v>5</v>
      </c>
      <c r="R62" s="1">
        <v>4</v>
      </c>
      <c r="S62" s="1">
        <v>2</v>
      </c>
      <c r="T62" s="1">
        <v>4</v>
      </c>
      <c r="U62" s="1">
        <v>4</v>
      </c>
      <c r="V62" s="1">
        <v>1</v>
      </c>
      <c r="W62" s="1">
        <v>7</v>
      </c>
      <c r="X62" s="1">
        <v>1</v>
      </c>
      <c r="Y62" s="1" t="s">
        <v>2027</v>
      </c>
      <c r="Z62" s="1" t="s">
        <v>2027</v>
      </c>
      <c r="AA62" s="1" t="s">
        <v>2027</v>
      </c>
      <c r="AB62" s="1" t="s">
        <v>2027</v>
      </c>
      <c r="AC62" s="1" t="s">
        <v>2027</v>
      </c>
      <c r="AD62" s="1">
        <v>5</v>
      </c>
      <c r="AE62" s="1">
        <v>10</v>
      </c>
      <c r="AF62" s="1">
        <v>9</v>
      </c>
      <c r="AG62" s="1">
        <v>10</v>
      </c>
      <c r="AH62" s="1">
        <v>10</v>
      </c>
      <c r="AI62" s="1">
        <v>10</v>
      </c>
      <c r="AJ62" s="52" t="s">
        <v>2029</v>
      </c>
      <c r="AK62" s="9">
        <f>($L$3*(L62-$Q$1)/$Q$2+$M$3*(M62-$R$1)/$R$2+$N$3*(N62-$S$1)/$S$2+$O$3*(O62-$T$1)/$T$2+$P$3*(P62-$U$1)/$U$2)/(SUM($L$3:$P$3))</f>
        <v>-1.207386028358151</v>
      </c>
      <c r="AL62" s="9">
        <f>($L$3*(Q62-$Q$1)/$Q$2+$M$3*(R62-$R$1)/$R$2+$N$3*(S62-$S$1)/$S$2+$O$3*(T62-$T$1)/$T$2+$P$3*(U62-$U$1)/$U$2)/(SUM($L$3:$P$3))</f>
        <v>-0.16870120265686769</v>
      </c>
      <c r="AM62">
        <f>IF(AVERAGE(AG62:AH62)&gt;9,1,0)+IF(AVERAGE(AG62:AH62)&gt;7,1,0)+IF(AG62&gt;7,1,0)+IF(AH62&gt;7,1,0)+IF(AI62&gt;8,1,0)+IF(AI62&gt;6,1,0)</f>
        <v>6</v>
      </c>
      <c r="AN62" s="6">
        <f>MIN(2,IF(OR(Y62="-",X62&lt;5),0,1+IF(Y62&gt;7,1+IF(X62&gt;7,0.25,0),IF(Y62&gt;4,0.5+IF(X62&gt;7,0.25,0),0+IF(X62&gt;7,0.25))))+IF(Z62="-",0,IF(Z62&gt;9,0.5,IF(Z62&gt;7,0.25,0)))+IF(AA62="-",0,IF(AA62&gt;7,1.1,IF(AA62&gt;4,0.6,0)))+IF(OR(AB62="-",V62&lt;5),0,IF(AB62&gt;7,1+IF(V62&gt;7,0.25,0),IF(AB62&gt;4,0.5+IF(V62&gt;7,0.25,0),0)))+IF(AC62="-",0,IF(AC62&gt;7,1.5,IF(AC62&gt;4,1,0)))+IF(AD62="-",0,IF(AD62&gt;9,0.5,IF(AD62&gt;7,0.25,0)))+IF(AE62="-",0,IF(AE62&gt;7,1.25,IF(AE62&gt;4,0.75,0)))+IF(OR(AF62="-",W62&lt;4),0,IF(AF62&gt;7,1+IF(W62&gt;7,0.15,0),IF(AF62&gt;4,0.5+IF(W62&gt;7,0.15,0),0))))</f>
        <v>2</v>
      </c>
      <c r="AO62" s="9">
        <f>($AK$3*AK62+$AL$3*AL62+$AM$3*AM62+$AN$3*AN62)+$J$3*VLOOKUP(J62,COND!$A$2:$C$7,2,FALSE)+$K$3*VLOOKUP(K62,COND!$A$2:$C$7,3,FALSE)</f>
        <v>11.004846965281773</v>
      </c>
      <c r="AP62" s="37">
        <f>STANDARDIZE(AO62,AVERAGE($AO$5:$AO$1295),STDEVP($AO$5:$AO$1295))</f>
        <v>4.7003097732274235E-2</v>
      </c>
      <c r="AQ62" t="str">
        <f>IF(AND(Y62&lt;&gt;"-",X62&gt;1),"C",IF(AA62=MAX(AA62:AC62),"2B",IF(AC62=MAX(AA62:AC62),"SS",IF(OR(AB62=MAX(Z62:AC62),AND(AB62&lt;&gt;"-",AB62&gt;4,V62&gt;5)),"3B",IF(AE62=MAX(AD62:AF62),"CF",IF(AND(AF62=MAX(AD62,AF62),AND(W62&gt;5,AD62&lt;&gt;"-")),"RF",IF(AD62&lt;&gt;"-","LF",IF(Z62&lt;&gt;"-","1B","DH"))))))))</f>
        <v>CF</v>
      </c>
      <c r="AR62">
        <v>58</v>
      </c>
      <c r="AT62" t="s">
        <v>155</v>
      </c>
      <c r="AU62" t="str">
        <f>IF(AND($Q62&gt;=6,AVERAGE($S62:$T62)&gt;=6),"Likely",IF(OR($Q62&gt;6,AND($Q62=6,AVERAGE($S62:$T62)&gt;=3),AND($Q62&gt;=5,AVERAGE($S62:$T62)&gt;=5),AVERAGE($Q62,$S62:$T62)&gt;5),"Possible","Unlikely"))</f>
        <v>Unlikely</v>
      </c>
      <c r="AW62" t="str">
        <f>IF(VLOOKUP($B62,'Draft List'!$D$4:$AB$2598,AW$3,FALSE)&lt;&gt;0,VLOOKUP($B62,'Draft List'!$D$4:$AB$2598,AW$3,FALSE),"")</f>
        <v/>
      </c>
      <c r="AX62" t="str">
        <f>IF(VLOOKUP($B62,'Draft List'!$D$4:$AB$2598,AX$3,FALSE)&lt;&gt;0,VLOOKUP($B62,'Draft List'!$D$4:$AB$2598,AX$3,FALSE),"")</f>
        <v/>
      </c>
      <c r="AY62" t="str">
        <f>IF(VLOOKUP($B62,'Draft List'!$D$4:$AB$2598,AY$3,FALSE)&lt;&gt;0,VLOOKUP($B62,'Draft List'!$D$4:$AB$2598,AY$3,FALSE),"")</f>
        <v/>
      </c>
    </row>
    <row r="63" spans="1:51">
      <c r="A63" t="str">
        <f>IF(C63="C","C-",C63)&amp;D63&amp;E63</f>
        <v>1BGeorge Thomas20</v>
      </c>
      <c r="B63">
        <f>VLOOKUP($A63,draft_listing_batters_stats!$A$1:$B$1324,2,FALSE)</f>
        <v>10375</v>
      </c>
      <c r="C63" s="1" t="s">
        <v>2092</v>
      </c>
      <c r="D63" s="1" t="s">
        <v>1229</v>
      </c>
      <c r="E63" s="1">
        <v>20</v>
      </c>
      <c r="F63" s="1" t="s">
        <v>2022</v>
      </c>
      <c r="G63" s="1" t="s">
        <v>2022</v>
      </c>
      <c r="H63" s="1" t="s">
        <v>2033</v>
      </c>
      <c r="I63" s="1" t="s">
        <v>2033</v>
      </c>
      <c r="J63" s="1" t="s">
        <v>2026</v>
      </c>
      <c r="K63" s="1" t="s">
        <v>2030</v>
      </c>
      <c r="L63" s="1">
        <v>2</v>
      </c>
      <c r="M63" s="1">
        <v>3</v>
      </c>
      <c r="N63" s="1">
        <v>1</v>
      </c>
      <c r="O63" s="1">
        <v>2</v>
      </c>
      <c r="P63" s="1">
        <v>1</v>
      </c>
      <c r="Q63" s="1">
        <v>5</v>
      </c>
      <c r="R63" s="1">
        <v>5</v>
      </c>
      <c r="S63" s="1">
        <v>6</v>
      </c>
      <c r="T63" s="1">
        <v>6</v>
      </c>
      <c r="U63" s="1">
        <v>5</v>
      </c>
      <c r="V63" s="1">
        <v>2</v>
      </c>
      <c r="W63" s="1">
        <v>1</v>
      </c>
      <c r="X63" s="1">
        <v>1</v>
      </c>
      <c r="Y63" s="1" t="s">
        <v>2027</v>
      </c>
      <c r="Z63" s="1">
        <v>2</v>
      </c>
      <c r="AA63" s="1" t="s">
        <v>2027</v>
      </c>
      <c r="AB63" s="1" t="s">
        <v>2027</v>
      </c>
      <c r="AC63" s="1" t="s">
        <v>2027</v>
      </c>
      <c r="AD63" s="1" t="s">
        <v>2027</v>
      </c>
      <c r="AE63" s="1" t="s">
        <v>2027</v>
      </c>
      <c r="AF63" s="1" t="s">
        <v>2027</v>
      </c>
      <c r="AG63" s="1">
        <v>6</v>
      </c>
      <c r="AH63" s="1">
        <v>9</v>
      </c>
      <c r="AI63" s="1">
        <v>8</v>
      </c>
      <c r="AJ63" s="52">
        <v>210000</v>
      </c>
      <c r="AK63" s="9">
        <f>($L$3*(L63-$Q$1)/$Q$2+$M$3*(M63-$R$1)/$R$2+$N$3*(N63-$S$1)/$S$2+$O$3*(O63-$T$1)/$T$2+$P$3*(P63-$U$1)/$U$2)/(SUM($L$3:$P$3))</f>
        <v>-1.5699582043779094</v>
      </c>
      <c r="AL63" s="9">
        <f>($L$3*(Q63-$Q$1)/$Q$2+$M$3*(R63-$R$1)/$R$2+$N$3*(S63-$S$1)/$S$2+$O$3*(T63-$T$1)/$T$2+$P$3*(U63-$U$1)/$U$2)/(SUM($L$3:$P$3))</f>
        <v>0.43404009289368728</v>
      </c>
      <c r="AM63">
        <f>IF(AVERAGE(AG63:AH63)&gt;9,1,0)+IF(AVERAGE(AG63:AH63)&gt;7,1,0)+IF(AG63&gt;7,1,0)+IF(AH63&gt;7,1,0)+IF(AI63&gt;8,1,0)+IF(AI63&gt;6,1,0)</f>
        <v>3</v>
      </c>
      <c r="AN63" s="6">
        <f>MIN(2,IF(OR(Y63="-",X63&lt;5),0,1+IF(Y63&gt;7,1+IF(X63&gt;7,0.25,0),IF(Y63&gt;4,0.5+IF(X63&gt;7,0.25,0),0+IF(X63&gt;7,0.25))))+IF(Z63="-",0,IF(Z63&gt;9,0.5,IF(Z63&gt;7,0.25,0)))+IF(AA63="-",0,IF(AA63&gt;7,1.1,IF(AA63&gt;4,0.6,0)))+IF(OR(AB63="-",V63&lt;5),0,IF(AB63&gt;7,1+IF(V63&gt;7,0.25,0),IF(AB63&gt;4,0.5+IF(V63&gt;7,0.25,0),0)))+IF(AC63="-",0,IF(AC63&gt;7,1.5,IF(AC63&gt;4,1,0)))+IF(AD63="-",0,IF(AD63&gt;9,0.5,IF(AD63&gt;7,0.25,0)))+IF(AE63="-",0,IF(AE63&gt;7,1.25,IF(AE63&gt;4,0.75,0)))+IF(OR(AF63="-",W63&lt;4),0,IF(AF63&gt;7,1+IF(W63&gt;7,0.15,0),IF(AF63&gt;4,0.5+IF(W63&gt;7,0.15,0),0))))</f>
        <v>0</v>
      </c>
      <c r="AO63" s="9">
        <f>($AK$3*AK63+$AL$3*AL63+$AM$3*AM63+$AN$3*AN63)+$J$3*VLOOKUP(J63,COND!$A$2:$C$7,2,FALSE)+$K$3*VLOOKUP(K63,COND!$A$2:$C$7,3,FALSE)</f>
        <v>15.551485294286456</v>
      </c>
      <c r="AP63" s="37">
        <f>STANDARDIZE(AO63,AVERAGE($AO$5:$AO$1295),STDEVP($AO$5:$AO$1295))</f>
        <v>0.67863870275913551</v>
      </c>
      <c r="AQ63" t="str">
        <f>IF(AND(Y63&lt;&gt;"-",X63&gt;1),"C",IF(AA63=MAX(AA63:AC63),"2B",IF(AC63=MAX(AA63:AC63),"SS",IF(OR(AB63=MAX(Z63:AC63),AND(AB63&lt;&gt;"-",AB63&gt;4,V63&gt;5)),"3B",IF(AE63=MAX(AD63:AF63),"CF",IF(AND(AF63=MAX(AD63,AF63),AND(W63&gt;5,AD63&lt;&gt;"-")),"RF",IF(AD63&lt;&gt;"-","LF",IF(Z63&lt;&gt;"-","1B","DH"))))))))</f>
        <v>1B</v>
      </c>
      <c r="AR63">
        <v>59</v>
      </c>
      <c r="AT63" t="s">
        <v>157</v>
      </c>
      <c r="AU63" t="str">
        <f>IF(AND($Q63&gt;=6,AVERAGE($S63:$T63)&gt;=6),"Likely",IF(OR($Q63&gt;6,AND($Q63=6,AVERAGE($S63:$T63)&gt;=3),AND($Q63&gt;=5,AVERAGE($S63:$T63)&gt;=5),AVERAGE($Q63,$S63:$T63)&gt;5),"Possible","Unlikely"))</f>
        <v>Possible</v>
      </c>
      <c r="AW63" t="str">
        <f>IF(VLOOKUP($B63,'Draft List'!$D$4:$AB$2598,AW$3,FALSE)&lt;&gt;0,VLOOKUP($B63,'Draft List'!$D$4:$AB$2598,AW$3,FALSE),"")</f>
        <v/>
      </c>
      <c r="AX63" t="str">
        <f>IF(VLOOKUP($B63,'Draft List'!$D$4:$AB$2598,AX$3,FALSE)&lt;&gt;0,VLOOKUP($B63,'Draft List'!$D$4:$AB$2598,AX$3,FALSE),"")</f>
        <v/>
      </c>
      <c r="AY63" t="str">
        <f>IF(VLOOKUP($B63,'Draft List'!$D$4:$AB$2598,AY$3,FALSE)&lt;&gt;0,VLOOKUP($B63,'Draft List'!$D$4:$AB$2598,AY$3,FALSE),"")</f>
        <v/>
      </c>
    </row>
    <row r="64" spans="1:51">
      <c r="A64" t="str">
        <f>IF(C64="C","C-",C64)&amp;D64&amp;E64</f>
        <v>RFMario Machado18</v>
      </c>
      <c r="B64">
        <f>VLOOKUP($A64,draft_listing_batters_stats!$A$1:$B$1324,2,FALSE)</f>
        <v>13810</v>
      </c>
      <c r="C64" s="1" t="s">
        <v>2057</v>
      </c>
      <c r="D64" s="1" t="s">
        <v>1351</v>
      </c>
      <c r="E64" s="1">
        <v>18</v>
      </c>
      <c r="F64" s="1" t="s">
        <v>2038</v>
      </c>
      <c r="G64" s="1" t="s">
        <v>2038</v>
      </c>
      <c r="H64" s="1" t="s">
        <v>2033</v>
      </c>
      <c r="I64" s="1" t="s">
        <v>2033</v>
      </c>
      <c r="J64" s="1" t="s">
        <v>2026</v>
      </c>
      <c r="K64" s="1" t="s">
        <v>2026</v>
      </c>
      <c r="L64" s="1">
        <v>1</v>
      </c>
      <c r="M64" s="1">
        <v>2</v>
      </c>
      <c r="N64" s="1">
        <v>1</v>
      </c>
      <c r="O64" s="1">
        <v>1</v>
      </c>
      <c r="P64" s="1">
        <v>1</v>
      </c>
      <c r="Q64" s="1">
        <v>5</v>
      </c>
      <c r="R64" s="1">
        <v>7</v>
      </c>
      <c r="S64" s="1">
        <v>7</v>
      </c>
      <c r="T64" s="1">
        <v>3</v>
      </c>
      <c r="U64" s="1">
        <v>4</v>
      </c>
      <c r="V64" s="1">
        <v>1</v>
      </c>
      <c r="W64" s="1">
        <v>4</v>
      </c>
      <c r="X64" s="1">
        <v>1</v>
      </c>
      <c r="Y64" s="1" t="s">
        <v>2027</v>
      </c>
      <c r="Z64" s="1" t="s">
        <v>2027</v>
      </c>
      <c r="AA64" s="1" t="s">
        <v>2027</v>
      </c>
      <c r="AB64" s="1" t="s">
        <v>2027</v>
      </c>
      <c r="AC64" s="1" t="s">
        <v>2027</v>
      </c>
      <c r="AD64" s="1">
        <v>1</v>
      </c>
      <c r="AE64" s="1">
        <v>1</v>
      </c>
      <c r="AF64" s="1">
        <v>2</v>
      </c>
      <c r="AG64" s="1">
        <v>6</v>
      </c>
      <c r="AH64" s="1">
        <v>2</v>
      </c>
      <c r="AI64" s="1">
        <v>1</v>
      </c>
      <c r="AJ64" s="52">
        <v>1900000</v>
      </c>
      <c r="AK64" s="9">
        <f>($L$3*(L64-$Q$1)/$Q$2+$M$3*(M64-$R$1)/$R$2+$N$3*(N64-$S$1)/$S$2+$O$3*(O64-$T$1)/$T$2+$P$3*(P64-$U$1)/$U$2)/(SUM($L$3:$P$3))</f>
        <v>-2.0332834702088682</v>
      </c>
      <c r="AL64" s="9">
        <f>($L$3*(Q64-$Q$1)/$Q$2+$M$3*(R64-$R$1)/$R$2+$N$3*(S64-$S$1)/$S$2+$O$3*(T64-$T$1)/$T$2+$P$3*(U64-$U$1)/$U$2)/(SUM($L$3:$P$3))</f>
        <v>0.31007635630916924</v>
      </c>
      <c r="AM64">
        <f>IF(AVERAGE(AG64:AH64)&gt;9,1,0)+IF(AVERAGE(AG64:AH64)&gt;7,1,0)+IF(AG64&gt;7,1,0)+IF(AH64&gt;7,1,0)+IF(AI64&gt;8,1,0)+IF(AI64&gt;6,1,0)</f>
        <v>0</v>
      </c>
      <c r="AN64" s="6">
        <f>MIN(2,IF(OR(Y64="-",X64&lt;5),0,1+IF(Y64&gt;7,1+IF(X64&gt;7,0.25,0),IF(Y64&gt;4,0.5+IF(X64&gt;7,0.25,0),0+IF(X64&gt;7,0.25))))+IF(Z64="-",0,IF(Z64&gt;9,0.5,IF(Z64&gt;7,0.25,0)))+IF(AA64="-",0,IF(AA64&gt;7,1.1,IF(AA64&gt;4,0.6,0)))+IF(OR(AB64="-",V64&lt;5),0,IF(AB64&gt;7,1+IF(V64&gt;7,0.25,0),IF(AB64&gt;4,0.5+IF(V64&gt;7,0.25,0),0)))+IF(AC64="-",0,IF(AC64&gt;7,1.5,IF(AC64&gt;4,1,0)))+IF(AD64="-",0,IF(AD64&gt;9,0.5,IF(AD64&gt;7,0.25,0)))+IF(AE64="-",0,IF(AE64&gt;7,1.25,IF(AE64&gt;4,0.75,0)))+IF(OR(AF64="-",W64&lt;4),0,IF(AF64&gt;7,1+IF(W64&gt;7,0.15,0),IF(AF64&gt;4,0.5+IF(W64&gt;7,0.15,0),0))))</f>
        <v>0</v>
      </c>
      <c r="AO64" s="9">
        <f>($AK$3*AK64+$AL$3*AL64+$AM$3*AM64+$AN$3*AN64)+$J$3*VLOOKUP(J64,COND!$A$2:$C$7,2,FALSE)+$K$3*VLOOKUP(K64,COND!$A$2:$C$7,3,FALSE)</f>
        <v>13.317587928689145</v>
      </c>
      <c r="AP64" s="37">
        <f>STANDARDIZE(AO64,AVERAGE($AO$5:$AO$1295),STDEVP($AO$5:$AO$1295))</f>
        <v>0.36829752055301596</v>
      </c>
      <c r="AQ64" t="str">
        <f>IF(AND(Y64&lt;&gt;"-",X64&gt;1),"C",IF(AA64=MAX(AA64:AC64),"2B",IF(AC64=MAX(AA64:AC64),"SS",IF(OR(AB64=MAX(Z64:AC64),AND(AB64&lt;&gt;"-",AB64&gt;4,V64&gt;5)),"3B",IF(AE64=MAX(AD64:AF64),"CF",IF(AND(AF64=MAX(AD64,AF64),AND(W64&gt;5,AD64&lt;&gt;"-")),"RF",IF(AD64&lt;&gt;"-","LF",IF(Z64&lt;&gt;"-","1B","DH"))))))))</f>
        <v>LF</v>
      </c>
      <c r="AR64">
        <v>60</v>
      </c>
      <c r="AT64" t="s">
        <v>155</v>
      </c>
      <c r="AU64" t="str">
        <f>IF(AND($Q64&gt;=6,AVERAGE($S64:$T64)&gt;=6),"Likely",IF(OR($Q64&gt;6,AND($Q64=6,AVERAGE($S64:$T64)&gt;=3),AND($Q64&gt;=5,AVERAGE($S64:$T64)&gt;=5),AVERAGE($Q64,$S64:$T64)&gt;5),"Possible","Unlikely"))</f>
        <v>Possible</v>
      </c>
      <c r="AW64" t="str">
        <f>IF(VLOOKUP($B64,'Draft List'!$D$4:$AB$2598,AW$3,FALSE)&lt;&gt;0,VLOOKUP($B64,'Draft List'!$D$4:$AB$2598,AW$3,FALSE),"")</f>
        <v/>
      </c>
      <c r="AX64" t="str">
        <f>IF(VLOOKUP($B64,'Draft List'!$D$4:$AB$2598,AX$3,FALSE)&lt;&gt;0,VLOOKUP($B64,'Draft List'!$D$4:$AB$2598,AX$3,FALSE),"")</f>
        <v/>
      </c>
      <c r="AY64" t="str">
        <f>IF(VLOOKUP($B64,'Draft List'!$D$4:$AB$2598,AY$3,FALSE)&lt;&gt;0,VLOOKUP($B64,'Draft List'!$D$4:$AB$2598,AY$3,FALSE),"")</f>
        <v/>
      </c>
    </row>
    <row r="65" spans="1:51">
      <c r="A65" t="str">
        <f>IF(C65="C","C-",C65)&amp;D65&amp;E65</f>
        <v>LFPaul Hughes18</v>
      </c>
      <c r="B65">
        <f>VLOOKUP($A65,draft_listing_batters_stats!$A$1:$B$1324,2,FALSE)</f>
        <v>1879</v>
      </c>
      <c r="C65" s="1" t="s">
        <v>2035</v>
      </c>
      <c r="D65" s="1" t="s">
        <v>1315</v>
      </c>
      <c r="E65" s="1">
        <v>18</v>
      </c>
      <c r="F65" s="1" t="s">
        <v>2038</v>
      </c>
      <c r="G65" s="1" t="s">
        <v>2022</v>
      </c>
      <c r="H65" s="1" t="s">
        <v>2033</v>
      </c>
      <c r="I65" s="1" t="s">
        <v>2033</v>
      </c>
      <c r="J65" s="1" t="s">
        <v>2036</v>
      </c>
      <c r="K65" s="1" t="s">
        <v>2040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5</v>
      </c>
      <c r="R65" s="1">
        <v>9</v>
      </c>
      <c r="S65" s="1">
        <v>2</v>
      </c>
      <c r="T65" s="1">
        <v>3</v>
      </c>
      <c r="U65" s="1">
        <v>4</v>
      </c>
      <c r="V65" s="1">
        <v>1</v>
      </c>
      <c r="W65" s="1">
        <v>9</v>
      </c>
      <c r="X65" s="1">
        <v>1</v>
      </c>
      <c r="Y65" s="1" t="s">
        <v>2027</v>
      </c>
      <c r="Z65" s="1">
        <v>1</v>
      </c>
      <c r="AA65" s="1" t="s">
        <v>2027</v>
      </c>
      <c r="AB65" s="1" t="s">
        <v>2027</v>
      </c>
      <c r="AC65" s="1" t="s">
        <v>2027</v>
      </c>
      <c r="AD65" s="1">
        <v>4</v>
      </c>
      <c r="AE65" s="1">
        <v>2</v>
      </c>
      <c r="AF65" s="1">
        <v>2</v>
      </c>
      <c r="AG65" s="1">
        <v>7</v>
      </c>
      <c r="AH65" s="1">
        <v>8</v>
      </c>
      <c r="AI65" s="1">
        <v>5</v>
      </c>
      <c r="AJ65" s="52">
        <v>3000000</v>
      </c>
      <c r="AK65" s="9">
        <f>($L$3*(L65-$Q$1)/$Q$2+$M$3*(M65-$R$1)/$R$2+$N$3*(N65-$S$1)/$S$2+$O$3*(O65-$T$1)/$T$2+$P$3*(P65-$U$1)/$U$2)/(SUM($L$3:$P$3))</f>
        <v>-2.0843433498275723</v>
      </c>
      <c r="AL65" s="9">
        <f>($L$3*(Q65-$Q$1)/$Q$2+$M$3*(R65-$R$1)/$R$2+$N$3*(S65-$S$1)/$S$2+$O$3*(T65-$T$1)/$T$2+$P$3*(U65-$U$1)/$U$2)/(SUM($L$3:$P$3))</f>
        <v>-3.1113545729312304E-3</v>
      </c>
      <c r="AM65">
        <f>IF(AVERAGE(AG65:AH65)&gt;9,1,0)+IF(AVERAGE(AG65:AH65)&gt;7,1,0)+IF(AG65&gt;7,1,0)+IF(AH65&gt;7,1,0)+IF(AI65&gt;8,1,0)+IF(AI65&gt;6,1,0)</f>
        <v>2</v>
      </c>
      <c r="AN65" s="6">
        <f>MIN(2,IF(OR(Y65="-",X65&lt;5),0,1+IF(Y65&gt;7,1+IF(X65&gt;7,0.25,0),IF(Y65&gt;4,0.5+IF(X65&gt;7,0.25,0),0+IF(X65&gt;7,0.25))))+IF(Z65="-",0,IF(Z65&gt;9,0.5,IF(Z65&gt;7,0.25,0)))+IF(AA65="-",0,IF(AA65&gt;7,1.1,IF(AA65&gt;4,0.6,0)))+IF(OR(AB65="-",V65&lt;5),0,IF(AB65&gt;7,1+IF(V65&gt;7,0.25,0),IF(AB65&gt;4,0.5+IF(V65&gt;7,0.25,0),0)))+IF(AC65="-",0,IF(AC65&gt;7,1.5,IF(AC65&gt;4,1,0)))+IF(AD65="-",0,IF(AD65&gt;9,0.5,IF(AD65&gt;7,0.25,0)))+IF(AE65="-",0,IF(AE65&gt;7,1.25,IF(AE65&gt;4,0.75,0)))+IF(OR(AF65="-",W65&lt;4),0,IF(AF65&gt;7,1+IF(W65&gt;7,0.15,0),IF(AF65&gt;4,0.5+IF(W65&gt;7,0.15,0),0))))</f>
        <v>0</v>
      </c>
      <c r="AO65" s="9">
        <f>($AK$3*AK65+$AL$3*AL65+$AM$3*AM65+$AN$3*AN65)+$J$3*VLOOKUP(J65,COND!$A$2:$C$7,2,FALSE)+$K$3*VLOOKUP(K65,COND!$A$2:$C$7,3,FALSE)</f>
        <v>9.8375627434754023</v>
      </c>
      <c r="AP65" s="37">
        <f>STANDARDIZE(AO65,AVERAGE($AO$5:$AO$1295),STDEVP($AO$5:$AO$1295))</f>
        <v>-0.11516029031983419</v>
      </c>
      <c r="AQ65" t="str">
        <f>IF(AND(Y65&lt;&gt;"-",X65&gt;1),"C",IF(AA65=MAX(AA65:AC65),"2B",IF(AC65=MAX(AA65:AC65),"SS",IF(OR(AB65=MAX(Z65:AC65),AND(AB65&lt;&gt;"-",AB65&gt;4,V65&gt;5)),"3B",IF(AE65=MAX(AD65:AF65),"CF",IF(AND(AF65=MAX(AD65,AF65),AND(W65&gt;5,AD65&lt;&gt;"-")),"RF",IF(AD65&lt;&gt;"-","LF",IF(Z65&lt;&gt;"-","1B","DH"))))))))</f>
        <v>LF</v>
      </c>
      <c r="AR65">
        <v>61</v>
      </c>
      <c r="AT65" t="s">
        <v>155</v>
      </c>
      <c r="AU65" t="str">
        <f>IF(AND($Q65&gt;=6,AVERAGE($S65:$T65)&gt;=6),"Likely",IF(OR($Q65&gt;6,AND($Q65=6,AVERAGE($S65:$T65)&gt;=3),AND($Q65&gt;=5,AVERAGE($S65:$T65)&gt;=5),AVERAGE($Q65,$S65:$T65)&gt;5),"Possible","Unlikely"))</f>
        <v>Unlikely</v>
      </c>
      <c r="AW65" t="str">
        <f>IF(VLOOKUP($B65,'Draft List'!$D$4:$AB$2598,AW$3,FALSE)&lt;&gt;0,VLOOKUP($B65,'Draft List'!$D$4:$AB$2598,AW$3,FALSE),"")</f>
        <v/>
      </c>
      <c r="AX65" t="str">
        <f>IF(VLOOKUP($B65,'Draft List'!$D$4:$AB$2598,AX$3,FALSE)&lt;&gt;0,VLOOKUP($B65,'Draft List'!$D$4:$AB$2598,AX$3,FALSE),"")</f>
        <v/>
      </c>
      <c r="AY65" t="str">
        <f>IF(VLOOKUP($B65,'Draft List'!$D$4:$AB$2598,AY$3,FALSE)&lt;&gt;0,VLOOKUP($B65,'Draft List'!$D$4:$AB$2598,AY$3,FALSE),"")</f>
        <v/>
      </c>
    </row>
    <row r="66" spans="1:51">
      <c r="A66" t="str">
        <f>IF(C66="C","C-",C66)&amp;D66&amp;E66</f>
        <v>CFFrançois Léveillée21</v>
      </c>
      <c r="B66" t="e">
        <f>VLOOKUP($A66,draft_listing_batters_stats!$A$1:$B$1324,2,FALSE)</f>
        <v>#N/A</v>
      </c>
      <c r="C66" s="1" t="s">
        <v>2079</v>
      </c>
      <c r="D66" s="1" t="s">
        <v>1420</v>
      </c>
      <c r="E66" s="1">
        <v>21</v>
      </c>
      <c r="F66" s="1" t="s">
        <v>2022</v>
      </c>
      <c r="G66" s="1" t="s">
        <v>2022</v>
      </c>
      <c r="H66" s="1" t="s">
        <v>2033</v>
      </c>
      <c r="I66" s="1" t="s">
        <v>2052</v>
      </c>
      <c r="J66" s="1" t="s">
        <v>2040</v>
      </c>
      <c r="K66" s="1" t="s">
        <v>2026</v>
      </c>
      <c r="L66" s="1">
        <v>3</v>
      </c>
      <c r="M66" s="1">
        <v>5</v>
      </c>
      <c r="N66" s="1">
        <v>3</v>
      </c>
      <c r="O66" s="1">
        <v>4</v>
      </c>
      <c r="P66" s="1">
        <v>4</v>
      </c>
      <c r="Q66" s="1">
        <v>7</v>
      </c>
      <c r="R66" s="1">
        <v>8</v>
      </c>
      <c r="S66" s="1">
        <v>6</v>
      </c>
      <c r="T66" s="1">
        <v>7</v>
      </c>
      <c r="U66" s="1">
        <v>8</v>
      </c>
      <c r="V66" s="1">
        <v>1</v>
      </c>
      <c r="W66" s="1">
        <v>10</v>
      </c>
      <c r="X66" s="1">
        <v>1</v>
      </c>
      <c r="Y66" s="1" t="s">
        <v>2027</v>
      </c>
      <c r="Z66" s="1" t="s">
        <v>2027</v>
      </c>
      <c r="AA66" s="1" t="s">
        <v>2027</v>
      </c>
      <c r="AB66" s="1" t="s">
        <v>2027</v>
      </c>
      <c r="AC66" s="1" t="s">
        <v>2027</v>
      </c>
      <c r="AD66" s="1">
        <v>5</v>
      </c>
      <c r="AE66" s="1">
        <v>5</v>
      </c>
      <c r="AF66" s="1">
        <v>4</v>
      </c>
      <c r="AG66" s="1">
        <v>7</v>
      </c>
      <c r="AH66" s="1">
        <v>9</v>
      </c>
      <c r="AI66" s="1">
        <v>7</v>
      </c>
      <c r="AJ66" s="52">
        <v>1800000</v>
      </c>
      <c r="AK66" s="9">
        <f>($L$3*(L66-$Q$1)/$Q$2+$M$3*(M66-$R$1)/$R$2+$N$3*(N66-$S$1)/$S$2+$O$3*(O66-$T$1)/$T$2+$P$3*(P66-$U$1)/$U$2)/(SUM($L$3:$P$3))</f>
        <v>-0.6796915014196121</v>
      </c>
      <c r="AL66" s="9">
        <f>($L$3*(Q66-$Q$1)/$Q$2+$M$3*(R66-$R$1)/$R$2+$N$3*(S66-$S$1)/$S$2+$O$3*(T66-$T$1)/$T$2+$P$3*(U66-$U$1)/$U$2)/(SUM($L$3:$P$3))</f>
        <v>1.4420899736159785</v>
      </c>
      <c r="AM66">
        <f>IF(AVERAGE(AG66:AH66)&gt;9,1,0)+IF(AVERAGE(AG66:AH66)&gt;7,1,0)+IF(AG66&gt;7,1,0)+IF(AH66&gt;7,1,0)+IF(AI66&gt;8,1,0)+IF(AI66&gt;6,1,0)</f>
        <v>3</v>
      </c>
      <c r="AN66" s="6">
        <f>MIN(2,IF(OR(Y66="-",X66&lt;5),0,1+IF(Y66&gt;7,1+IF(X66&gt;7,0.25,0),IF(Y66&gt;4,0.5+IF(X66&gt;7,0.25,0),0+IF(X66&gt;7,0.25))))+IF(Z66="-",0,IF(Z66&gt;9,0.5,IF(Z66&gt;7,0.25,0)))+IF(AA66="-",0,IF(AA66&gt;7,1.1,IF(AA66&gt;4,0.6,0)))+IF(OR(AB66="-",V66&lt;5),0,IF(AB66&gt;7,1+IF(V66&gt;7,0.25,0),IF(AB66&gt;4,0.5+IF(V66&gt;7,0.25,0),0)))+IF(AC66="-",0,IF(AC66&gt;7,1.5,IF(AC66&gt;4,1,0)))+IF(AD66="-",0,IF(AD66&gt;9,0.5,IF(AD66&gt;7,0.25,0)))+IF(AE66="-",0,IF(AE66&gt;7,1.25,IF(AE66&gt;4,0.75,0)))+IF(OR(AF66="-",W66&lt;4),0,IF(AF66&gt;7,1+IF(W66&gt;7,0.15,0),IF(AF66&gt;4,0.5+IF(W66&gt;7,0.15,0),0))))</f>
        <v>0.75</v>
      </c>
      <c r="AO66" s="9">
        <f>($AK$3*AK66+$AL$3*AL66+$AM$3*AM66+$AN$3*AN66)+$J$3*VLOOKUP(J66,COND!$A$2:$C$7,2,FALSE)+$K$3*VLOOKUP(K66,COND!$A$2:$C$7,3,FALSE)</f>
        <v>27.887110533249782</v>
      </c>
      <c r="AP66" s="37">
        <f>STANDARDIZE(AO66,AVERAGE($AO$5:$AO$1295),STDEVP($AO$5:$AO$1295))</f>
        <v>2.392348821615875</v>
      </c>
      <c r="AQ66" t="str">
        <f>IF(AND(Y66&lt;&gt;"-",X66&gt;1),"C",IF(AA66=MAX(AA66:AC66),"2B",IF(AC66=MAX(AA66:AC66),"SS",IF(OR(AB66=MAX(Z66:AC66),AND(AB66&lt;&gt;"-",AB66&gt;4,V66&gt;5)),"3B",IF(AE66=MAX(AD66:AF66),"CF",IF(AND(AF66=MAX(AD66,AF66),AND(W66&gt;5,AD66&lt;&gt;"-")),"RF",IF(AD66&lt;&gt;"-","LF",IF(Z66&lt;&gt;"-","1B","DH"))))))))</f>
        <v>CF</v>
      </c>
      <c r="AR66" t="s">
        <v>35</v>
      </c>
      <c r="AT66" t="s">
        <v>157</v>
      </c>
      <c r="AU66" t="str">
        <f>IF(AND($Q66&gt;=6,AVERAGE($S66:$T66)&gt;=6),"Likely",IF(OR($Q66&gt;6,AND($Q66=6,AVERAGE($S66:$T66)&gt;=3),AND($Q66&gt;=5,AVERAGE($S66:$T66)&gt;=5),AVERAGE($Q66,$S66:$T66)&gt;5),"Possible","Unlikely"))</f>
        <v>Likely</v>
      </c>
      <c r="AW66" t="e">
        <f>IF(VLOOKUP($B66,'Draft List'!$D$4:$AB$2598,AW$3,FALSE)&lt;&gt;0,VLOOKUP($B66,'Draft List'!$D$4:$AB$2598,AW$3,FALSE),"")</f>
        <v>#N/A</v>
      </c>
      <c r="AX66" t="e">
        <f>IF(VLOOKUP($B66,'Draft List'!$D$4:$AB$2598,AX$3,FALSE)&lt;&gt;0,VLOOKUP($B66,'Draft List'!$D$4:$AB$2598,AX$3,FALSE),"")</f>
        <v>#N/A</v>
      </c>
      <c r="AY66" t="e">
        <f>IF(VLOOKUP($B66,'Draft List'!$D$4:$AB$2598,AY$3,FALSE)&lt;&gt;0,VLOOKUP($B66,'Draft List'!$D$4:$AB$2598,AY$3,FALSE),"")</f>
        <v>#N/A</v>
      </c>
    </row>
    <row r="67" spans="1:51">
      <c r="A67" t="str">
        <f>IF(C67="C","C-",C67)&amp;D67&amp;E67</f>
        <v>CFNorberto Peralta18</v>
      </c>
      <c r="B67">
        <f>VLOOKUP($A67,draft_listing_batters_stats!$A$1:$B$1324,2,FALSE)</f>
        <v>13795</v>
      </c>
      <c r="C67" s="1" t="s">
        <v>2079</v>
      </c>
      <c r="D67" s="1" t="s">
        <v>1422</v>
      </c>
      <c r="E67" s="1">
        <v>18</v>
      </c>
      <c r="F67" s="1" t="s">
        <v>2022</v>
      </c>
      <c r="G67" s="1" t="s">
        <v>2022</v>
      </c>
      <c r="H67" s="1" t="s">
        <v>2033</v>
      </c>
      <c r="I67" s="1" t="s">
        <v>2052</v>
      </c>
      <c r="J67" s="1" t="s">
        <v>2040</v>
      </c>
      <c r="K67" s="1" t="s">
        <v>2025</v>
      </c>
      <c r="L67" s="1">
        <v>1</v>
      </c>
      <c r="M67" s="1">
        <v>2</v>
      </c>
      <c r="N67" s="1">
        <v>1</v>
      </c>
      <c r="O67" s="1">
        <v>1</v>
      </c>
      <c r="P67" s="1">
        <v>3</v>
      </c>
      <c r="Q67" s="1">
        <v>8</v>
      </c>
      <c r="R67" s="1">
        <v>9</v>
      </c>
      <c r="S67" s="1">
        <v>4</v>
      </c>
      <c r="T67" s="1">
        <v>4</v>
      </c>
      <c r="U67" s="1">
        <v>10</v>
      </c>
      <c r="V67" s="1">
        <v>1</v>
      </c>
      <c r="W67" s="1">
        <v>7</v>
      </c>
      <c r="X67" s="1">
        <v>1</v>
      </c>
      <c r="Y67" s="1" t="s">
        <v>2027</v>
      </c>
      <c r="Z67" s="1" t="s">
        <v>2027</v>
      </c>
      <c r="AA67" s="1" t="s">
        <v>2027</v>
      </c>
      <c r="AB67" s="1" t="s">
        <v>2027</v>
      </c>
      <c r="AC67" s="1" t="s">
        <v>2027</v>
      </c>
      <c r="AD67" s="1">
        <v>1</v>
      </c>
      <c r="AE67" s="1">
        <v>3</v>
      </c>
      <c r="AF67" s="1">
        <v>1</v>
      </c>
      <c r="AG67" s="1">
        <v>8</v>
      </c>
      <c r="AH67" s="1">
        <v>10</v>
      </c>
      <c r="AI67" s="1">
        <v>8</v>
      </c>
      <c r="AJ67" s="52">
        <v>2100000</v>
      </c>
      <c r="AK67" s="9">
        <f>($L$3*(L67-$Q$1)/$Q$2+$M$3*(M67-$R$1)/$R$2+$N$3*(N67-$S$1)/$S$2+$O$3*(O67-$T$1)/$T$2+$P$3*(P67-$U$1)/$U$2)/(SUM($L$3:$P$3))</f>
        <v>-1.9532507905747016</v>
      </c>
      <c r="AL67" s="9">
        <f>($L$3*(Q67-$Q$1)/$Q$2+$M$3*(R67-$R$1)/$R$2+$N$3*(S67-$S$1)/$S$2+$O$3*(T67-$T$1)/$T$2+$P$3*(U67-$U$1)/$U$2)/(SUM($L$3:$P$3))</f>
        <v>1.4604867309949776</v>
      </c>
      <c r="AM67">
        <f>IF(AVERAGE(AG67:AH67)&gt;9,1,0)+IF(AVERAGE(AG67:AH67)&gt;7,1,0)+IF(AG67&gt;7,1,0)+IF(AH67&gt;7,1,0)+IF(AI67&gt;8,1,0)+IF(AI67&gt;6,1,0)</f>
        <v>4</v>
      </c>
      <c r="AN67" s="6">
        <f>MIN(2,IF(OR(Y67="-",X67&lt;5),0,1+IF(Y67&gt;7,1+IF(X67&gt;7,0.25,0),IF(Y67&gt;4,0.5+IF(X67&gt;7,0.25,0),0+IF(X67&gt;7,0.25))))+IF(Z67="-",0,IF(Z67&gt;9,0.5,IF(Z67&gt;7,0.25,0)))+IF(AA67="-",0,IF(AA67&gt;7,1.1,IF(AA67&gt;4,0.6,0)))+IF(OR(AB67="-",V67&lt;5),0,IF(AB67&gt;7,1+IF(V67&gt;7,0.25,0),IF(AB67&gt;4,0.5+IF(V67&gt;7,0.25,0),0)))+IF(AC67="-",0,IF(AC67&gt;7,1.5,IF(AC67&gt;4,1,0)))+IF(AD67="-",0,IF(AD67&gt;9,0.5,IF(AD67&gt;7,0.25,0)))+IF(AE67="-",0,IF(AE67&gt;7,1.25,IF(AE67&gt;4,0.75,0)))+IF(OR(AF67="-",W67&lt;4),0,IF(AF67&gt;7,1+IF(W67&gt;7,0.15,0),IF(AF67&gt;4,0.5+IF(W67&gt;7,0.15,0),0))))</f>
        <v>0</v>
      </c>
      <c r="AO67" s="9">
        <f>($AK$3*AK67+$AL$3*AL67+$AM$3*AM67+$AN$3*AN67)+$J$3*VLOOKUP(J67,COND!$A$2:$C$7,2,FALSE)+$K$3*VLOOKUP(K67,COND!$A$2:$C$7,3,FALSE)</f>
        <v>27.49718235954893</v>
      </c>
      <c r="AP67" s="37">
        <f>STANDARDIZE(AO67,AVERAGE($AO$5:$AO$1295),STDEVP($AO$5:$AO$1295))</f>
        <v>2.3381785753613253</v>
      </c>
      <c r="AQ67" t="str">
        <f>IF(AND(Y67&lt;&gt;"-",X67&gt;1),"C",IF(AA67=MAX(AA67:AC67),"2B",IF(AC67=MAX(AA67:AC67),"SS",IF(OR(AB67=MAX(Z67:AC67),AND(AB67&lt;&gt;"-",AB67&gt;4,V67&gt;5)),"3B",IF(AE67=MAX(AD67:AF67),"CF",IF(AND(AF67=MAX(AD67,AF67),AND(W67&gt;5,AD67&lt;&gt;"-")),"RF",IF(AD67&lt;&gt;"-","LF",IF(Z67&lt;&gt;"-","1B","DH"))))))))</f>
        <v>CF</v>
      </c>
      <c r="AR67" t="s">
        <v>35</v>
      </c>
      <c r="AT67" t="s">
        <v>155</v>
      </c>
      <c r="AU67" t="str">
        <f>IF(AND($Q67&gt;=6,AVERAGE($S67:$T67)&gt;=6),"Likely",IF(OR($Q67&gt;6,AND($Q67=6,AVERAGE($S67:$T67)&gt;=3),AND($Q67&gt;=5,AVERAGE($S67:$T67)&gt;=5),AVERAGE($Q67,$S67:$T67)&gt;5),"Possible","Unlikely"))</f>
        <v>Possible</v>
      </c>
      <c r="AW67" t="str">
        <f>IF(VLOOKUP($B67,'Draft List'!$D$4:$AB$2598,AW$3,FALSE)&lt;&gt;0,VLOOKUP($B67,'Draft List'!$D$4:$AB$2598,AW$3,FALSE),"")</f>
        <v/>
      </c>
      <c r="AX67" t="str">
        <f>IF(VLOOKUP($B67,'Draft List'!$D$4:$AB$2598,AX$3,FALSE)&lt;&gt;0,VLOOKUP($B67,'Draft List'!$D$4:$AB$2598,AX$3,FALSE),"")</f>
        <v/>
      </c>
      <c r="AY67" t="str">
        <f>IF(VLOOKUP($B67,'Draft List'!$D$4:$AB$2598,AY$3,FALSE)&lt;&gt;0,VLOOKUP($B67,'Draft List'!$D$4:$AB$2598,AY$3,FALSE),"")</f>
        <v/>
      </c>
    </row>
    <row r="68" spans="1:51">
      <c r="A68" t="str">
        <f>IF(C68="C","C-",C68)&amp;D68&amp;E68</f>
        <v>1BJason Green18</v>
      </c>
      <c r="B68">
        <f>VLOOKUP($A68,draft_listing_batters_stats!$A$1:$B$1324,2,FALSE)</f>
        <v>13839</v>
      </c>
      <c r="C68" s="1" t="s">
        <v>2092</v>
      </c>
      <c r="D68" s="1" t="s">
        <v>1439</v>
      </c>
      <c r="E68" s="1">
        <v>18</v>
      </c>
      <c r="F68" s="1" t="s">
        <v>2022</v>
      </c>
      <c r="G68" s="1" t="s">
        <v>2022</v>
      </c>
      <c r="H68" s="1" t="s">
        <v>2033</v>
      </c>
      <c r="I68" s="1" t="s">
        <v>2033</v>
      </c>
      <c r="J68" s="1" t="s">
        <v>2025</v>
      </c>
      <c r="K68" s="1" t="s">
        <v>2030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6</v>
      </c>
      <c r="R68" s="1">
        <v>8</v>
      </c>
      <c r="S68" s="1">
        <v>2</v>
      </c>
      <c r="T68" s="1">
        <v>7</v>
      </c>
      <c r="U68" s="1">
        <v>7</v>
      </c>
      <c r="V68" s="1">
        <v>6</v>
      </c>
      <c r="W68" s="1">
        <v>5</v>
      </c>
      <c r="X68" s="1">
        <v>1</v>
      </c>
      <c r="Y68" s="1" t="s">
        <v>2027</v>
      </c>
      <c r="Z68" s="1">
        <v>3</v>
      </c>
      <c r="AA68" s="1">
        <v>1</v>
      </c>
      <c r="AB68" s="1">
        <v>1</v>
      </c>
      <c r="AC68" s="1">
        <v>1</v>
      </c>
      <c r="AD68" s="1">
        <v>1</v>
      </c>
      <c r="AE68" s="1" t="s">
        <v>2027</v>
      </c>
      <c r="AF68" s="1">
        <v>1</v>
      </c>
      <c r="AG68" s="1">
        <v>8</v>
      </c>
      <c r="AH68" s="1">
        <v>6</v>
      </c>
      <c r="AI68" s="1">
        <v>2</v>
      </c>
      <c r="AJ68" s="52">
        <v>1600000</v>
      </c>
      <c r="AK68" s="9">
        <f>($L$3*(L68-$Q$1)/$Q$2+$M$3*(M68-$R$1)/$R$2+$N$3*(N68-$S$1)/$S$2+$O$3*(O68-$T$1)/$T$2+$P$3*(P68-$U$1)/$U$2)/(SUM($L$3:$P$3))</f>
        <v>-2.0843433498275723</v>
      </c>
      <c r="AL68" s="9">
        <f>($L$3*(Q68-$Q$1)/$Q$2+$M$3*(R68-$R$1)/$R$2+$N$3*(S68-$S$1)/$S$2+$O$3*(T68-$T$1)/$T$2+$P$3*(U68-$U$1)/$U$2)/(SUM($L$3:$P$3))</f>
        <v>0.74727182150061455</v>
      </c>
      <c r="AM68">
        <f>IF(AVERAGE(AG68:AH68)&gt;9,1,0)+IF(AVERAGE(AG68:AH68)&gt;7,1,0)+IF(AG68&gt;7,1,0)+IF(AH68&gt;7,1,0)+IF(AI68&gt;8,1,0)+IF(AI68&gt;6,1,0)</f>
        <v>1</v>
      </c>
      <c r="AN68" s="6">
        <f>MIN(2,IF(OR(Y68="-",X68&lt;5),0,1+IF(Y68&gt;7,1+IF(X68&gt;7,0.25,0),IF(Y68&gt;4,0.5+IF(X68&gt;7,0.25,0),0+IF(X68&gt;7,0.25))))+IF(Z68="-",0,IF(Z68&gt;9,0.5,IF(Z68&gt;7,0.25,0)))+IF(AA68="-",0,IF(AA68&gt;7,1.1,IF(AA68&gt;4,0.6,0)))+IF(OR(AB68="-",V68&lt;5),0,IF(AB68&gt;7,1+IF(V68&gt;7,0.25,0),IF(AB68&gt;4,0.5+IF(V68&gt;7,0.25,0),0)))+IF(AC68="-",0,IF(AC68&gt;7,1.5,IF(AC68&gt;4,1,0)))+IF(AD68="-",0,IF(AD68&gt;9,0.5,IF(AD68&gt;7,0.25,0)))+IF(AE68="-",0,IF(AE68&gt;7,1.25,IF(AE68&gt;4,0.75,0)))+IF(OR(AF68="-",W68&lt;4),0,IF(AF68&gt;7,1+IF(W68&gt;7,0.15,0),IF(AF68&gt;4,0.5+IF(W68&gt;7,0.15,0),0))))</f>
        <v>0</v>
      </c>
      <c r="AO68" s="9">
        <f>($AK$3*AK68+$AL$3*AL68+$AM$3*AM68+$AN$3*AN68)+$J$3*VLOOKUP(J68,COND!$A$2:$C$7,2,FALSE)+$K$3*VLOOKUP(K68,COND!$A$2:$C$7,3,FALSE)</f>
        <v>19.025494189691283</v>
      </c>
      <c r="AP68" s="37">
        <f>STANDARDIZE(AO68,AVERAGE($AO$5:$AO$1295),STDEVP($AO$5:$AO$1295))</f>
        <v>1.1612607086748972</v>
      </c>
      <c r="AQ68" t="str">
        <f>IF(AND(Y68&lt;&gt;"-",X68&gt;1),"C",IF(AA68=MAX(AA68:AC68),"2B",IF(AC68=MAX(AA68:AC68),"SS",IF(OR(AB68=MAX(Z68:AC68),AND(AB68&lt;&gt;"-",AB68&gt;4,V68&gt;5)),"3B",IF(AE68=MAX(AD68:AF68),"CF",IF(AND(AF68=MAX(AD68,AF68),AND(W68&gt;5,AD68&lt;&gt;"-")),"RF",IF(AD68&lt;&gt;"-","LF",IF(Z68&lt;&gt;"-","1B","DH"))))))))</f>
        <v>2B</v>
      </c>
      <c r="AR68" t="s">
        <v>35</v>
      </c>
      <c r="AT68" t="s">
        <v>155</v>
      </c>
      <c r="AU68" t="str">
        <f>IF(AND($Q68&gt;=6,AVERAGE($S68:$T68)&gt;=6),"Likely",IF(OR($Q68&gt;6,AND($Q68=6,AVERAGE($S68:$T68)&gt;=3),AND($Q68&gt;=5,AVERAGE($S68:$T68)&gt;=5),AVERAGE($Q68,$S68:$T68)&gt;5),"Possible","Unlikely"))</f>
        <v>Possible</v>
      </c>
      <c r="AW68" t="str">
        <f>IF(VLOOKUP($B68,'Draft List'!$D$4:$AB$2598,AW$3,FALSE)&lt;&gt;0,VLOOKUP($B68,'Draft List'!$D$4:$AB$2598,AW$3,FALSE),"")</f>
        <v/>
      </c>
      <c r="AX68" t="str">
        <f>IF(VLOOKUP($B68,'Draft List'!$D$4:$AB$2598,AX$3,FALSE)&lt;&gt;0,VLOOKUP($B68,'Draft List'!$D$4:$AB$2598,AX$3,FALSE),"")</f>
        <v/>
      </c>
      <c r="AY68" t="str">
        <f>IF(VLOOKUP($B68,'Draft List'!$D$4:$AB$2598,AY$3,FALSE)&lt;&gt;0,VLOOKUP($B68,'Draft List'!$D$4:$AB$2598,AY$3,FALSE),"")</f>
        <v/>
      </c>
    </row>
    <row r="69" spans="1:51">
      <c r="A69" t="str">
        <f>IF(C69="C","C-",C69)&amp;D69&amp;E69</f>
        <v>LFManuel Zaragoza18</v>
      </c>
      <c r="B69">
        <f>VLOOKUP($A69,draft_listing_batters_stats!$A$1:$B$1324,2,FALSE)</f>
        <v>405</v>
      </c>
      <c r="C69" s="1" t="s">
        <v>2035</v>
      </c>
      <c r="D69" s="1" t="s">
        <v>1443</v>
      </c>
      <c r="E69" s="1">
        <v>18</v>
      </c>
      <c r="F69" s="1" t="s">
        <v>2022</v>
      </c>
      <c r="G69" s="1" t="s">
        <v>2022</v>
      </c>
      <c r="H69" s="1" t="s">
        <v>2033</v>
      </c>
      <c r="I69" s="1" t="s">
        <v>2033</v>
      </c>
      <c r="J69" s="1" t="s">
        <v>2036</v>
      </c>
      <c r="K69" s="1" t="s">
        <v>2036</v>
      </c>
      <c r="L69" s="1">
        <v>1</v>
      </c>
      <c r="M69" s="1">
        <v>2</v>
      </c>
      <c r="N69" s="1">
        <v>1</v>
      </c>
      <c r="O69" s="1">
        <v>1</v>
      </c>
      <c r="P69" s="1">
        <v>2</v>
      </c>
      <c r="Q69" s="1">
        <v>7</v>
      </c>
      <c r="R69" s="1">
        <v>5</v>
      </c>
      <c r="S69" s="1">
        <v>2</v>
      </c>
      <c r="T69" s="1">
        <v>3</v>
      </c>
      <c r="U69" s="1">
        <v>8</v>
      </c>
      <c r="V69" s="1">
        <v>1</v>
      </c>
      <c r="W69" s="1">
        <v>8</v>
      </c>
      <c r="X69" s="1">
        <v>1</v>
      </c>
      <c r="Y69" s="1" t="s">
        <v>2027</v>
      </c>
      <c r="Z69" s="1" t="s">
        <v>2027</v>
      </c>
      <c r="AA69" s="1" t="s">
        <v>2027</v>
      </c>
      <c r="AB69" s="1" t="s">
        <v>2027</v>
      </c>
      <c r="AC69" s="1" t="s">
        <v>2027</v>
      </c>
      <c r="AD69" s="1">
        <v>1</v>
      </c>
      <c r="AE69" s="1">
        <v>1</v>
      </c>
      <c r="AF69" s="1">
        <v>1</v>
      </c>
      <c r="AG69" s="1">
        <v>10</v>
      </c>
      <c r="AH69" s="1">
        <v>10</v>
      </c>
      <c r="AI69" s="1">
        <v>10</v>
      </c>
      <c r="AJ69" s="52" t="s">
        <v>2029</v>
      </c>
      <c r="AK69" s="9">
        <f>($L$3*(L69-$Q$1)/$Q$2+$M$3*(M69-$R$1)/$R$2+$N$3*(N69-$S$1)/$S$2+$O$3*(O69-$T$1)/$T$2+$P$3*(P69-$U$1)/$U$2)/(SUM($L$3:$P$3))</f>
        <v>-1.9932671303917848</v>
      </c>
      <c r="AL69" s="9">
        <f>($L$3*(Q69-$Q$1)/$Q$2+$M$3*(R69-$R$1)/$R$2+$N$3*(S69-$S$1)/$S$2+$O$3*(T69-$T$1)/$T$2+$P$3*(U69-$U$1)/$U$2)/(SUM($L$3:$P$3))</f>
        <v>0.59782615862593791</v>
      </c>
      <c r="AM69">
        <f>IF(AVERAGE(AG69:AH69)&gt;9,1,0)+IF(AVERAGE(AG69:AH69)&gt;7,1,0)+IF(AG69&gt;7,1,0)+IF(AH69&gt;7,1,0)+IF(AI69&gt;8,1,0)+IF(AI69&gt;6,1,0)</f>
        <v>6</v>
      </c>
      <c r="AN69" s="6">
        <f>MIN(2,IF(OR(Y69="-",X69&lt;5),0,1+IF(Y69&gt;7,1+IF(X69&gt;7,0.25,0),IF(Y69&gt;4,0.5+IF(X69&gt;7,0.25,0),0+IF(X69&gt;7,0.25))))+IF(Z69="-",0,IF(Z69&gt;9,0.5,IF(Z69&gt;7,0.25,0)))+IF(AA69="-",0,IF(AA69&gt;7,1.1,IF(AA69&gt;4,0.6,0)))+IF(OR(AB69="-",V69&lt;5),0,IF(AB69&gt;7,1+IF(V69&gt;7,0.25,0),IF(AB69&gt;4,0.5+IF(V69&gt;7,0.25,0),0)))+IF(AC69="-",0,IF(AC69&gt;7,1.5,IF(AC69&gt;4,1,0)))+IF(AD69="-",0,IF(AD69&gt;9,0.5,IF(AD69&gt;7,0.25,0)))+IF(AE69="-",0,IF(AE69&gt;7,1.25,IF(AE69&gt;4,0.75,0)))+IF(OR(AF69="-",W69&lt;4),0,IF(AF69&gt;7,1+IF(W69&gt;7,0.15,0),IF(AF69&gt;4,0.5+IF(W69&gt;7,0.15,0),0))))</f>
        <v>0</v>
      </c>
      <c r="AO69" s="9">
        <f>($AK$3*AK69+$AL$3*AL69+$AM$3*AM69+$AN$3*AN69)+$J$3*VLOOKUP(J69,COND!$A$2:$C$7,2,FALSE)+$K$3*VLOOKUP(K69,COND!$A$2:$C$7,3,FALSE)</f>
        <v>18.474587190472079</v>
      </c>
      <c r="AP69" s="37">
        <f>STANDARDIZE(AO69,AVERAGE($AO$5:$AO$1295),STDEVP($AO$5:$AO$1295))</f>
        <v>1.0847266959416848</v>
      </c>
      <c r="AQ69" t="str">
        <f>IF(AND(Y69&lt;&gt;"-",X69&gt;1),"C",IF(AA69=MAX(AA69:AC69),"2B",IF(AC69=MAX(AA69:AC69),"SS",IF(OR(AB69=MAX(Z69:AC69),AND(AB69&lt;&gt;"-",AB69&gt;4,V69&gt;5)),"3B",IF(AE69=MAX(AD69:AF69),"CF",IF(AND(AF69=MAX(AD69,AF69),AND(W69&gt;5,AD69&lt;&gt;"-")),"RF",IF(AD69&lt;&gt;"-","LF",IF(Z69&lt;&gt;"-","1B","DH"))))))))</f>
        <v>CF</v>
      </c>
      <c r="AR69" t="s">
        <v>35</v>
      </c>
      <c r="AT69" t="s">
        <v>155</v>
      </c>
      <c r="AU69" t="str">
        <f>IF(AND($Q69&gt;=6,AVERAGE($S69:$T69)&gt;=6),"Likely",IF(OR($Q69&gt;6,AND($Q69=6,AVERAGE($S69:$T69)&gt;=3),AND($Q69&gt;=5,AVERAGE($S69:$T69)&gt;=5),AVERAGE($Q69,$S69:$T69)&gt;5),"Possible","Unlikely"))</f>
        <v>Possible</v>
      </c>
      <c r="AW69" t="e">
        <f>IF(VLOOKUP($B69,'Draft List'!$D$4:$AB$2598,AW$3,FALSE)&lt;&gt;0,VLOOKUP($B69,'Draft List'!$D$4:$AB$2598,AW$3,FALSE),"")</f>
        <v>#N/A</v>
      </c>
      <c r="AX69" t="e">
        <f>IF(VLOOKUP($B69,'Draft List'!$D$4:$AB$2598,AX$3,FALSE)&lt;&gt;0,VLOOKUP($B69,'Draft List'!$D$4:$AB$2598,AX$3,FALSE),"")</f>
        <v>#N/A</v>
      </c>
      <c r="AY69" t="e">
        <f>IF(VLOOKUP($B69,'Draft List'!$D$4:$AB$2598,AY$3,FALSE)&lt;&gt;0,VLOOKUP($B69,'Draft List'!$D$4:$AB$2598,AY$3,FALSE),"")</f>
        <v>#N/A</v>
      </c>
    </row>
    <row r="70" spans="1:51">
      <c r="A70" t="str">
        <f>IF(C70="C","C-",C70)&amp;D70&amp;E70</f>
        <v>2BTomás Hernández21</v>
      </c>
      <c r="B70" t="e">
        <f>VLOOKUP($A70,draft_listing_batters_stats!$A$1:$B$1324,2,FALSE)</f>
        <v>#N/A</v>
      </c>
      <c r="C70" s="1" t="s">
        <v>2069</v>
      </c>
      <c r="D70" s="1" t="s">
        <v>1440</v>
      </c>
      <c r="E70" s="1">
        <v>21</v>
      </c>
      <c r="F70" s="1" t="s">
        <v>2022</v>
      </c>
      <c r="G70" s="1" t="s">
        <v>2022</v>
      </c>
      <c r="H70" s="1" t="s">
        <v>2033</v>
      </c>
      <c r="I70" s="1" t="s">
        <v>2033</v>
      </c>
      <c r="J70" s="1" t="s">
        <v>2025</v>
      </c>
      <c r="K70" s="1" t="s">
        <v>2026</v>
      </c>
      <c r="L70" s="1">
        <v>4</v>
      </c>
      <c r="M70" s="1">
        <v>3</v>
      </c>
      <c r="N70" s="1">
        <v>1</v>
      </c>
      <c r="O70" s="1">
        <v>3</v>
      </c>
      <c r="P70" s="1">
        <v>2</v>
      </c>
      <c r="Q70" s="1">
        <v>6</v>
      </c>
      <c r="R70" s="1">
        <v>4</v>
      </c>
      <c r="S70" s="1">
        <v>4</v>
      </c>
      <c r="T70" s="1">
        <v>6</v>
      </c>
      <c r="U70" s="1">
        <v>7</v>
      </c>
      <c r="V70" s="1">
        <v>7</v>
      </c>
      <c r="W70" s="1">
        <v>2</v>
      </c>
      <c r="X70" s="1">
        <v>1</v>
      </c>
      <c r="Y70" s="1" t="s">
        <v>2027</v>
      </c>
      <c r="Z70" s="1">
        <v>8</v>
      </c>
      <c r="AA70" s="1">
        <v>6</v>
      </c>
      <c r="AB70" s="1">
        <v>4</v>
      </c>
      <c r="AC70" s="1">
        <v>4</v>
      </c>
      <c r="AD70" s="1" t="s">
        <v>2027</v>
      </c>
      <c r="AE70" s="1" t="s">
        <v>2027</v>
      </c>
      <c r="AF70" s="1" t="s">
        <v>2027</v>
      </c>
      <c r="AG70" s="1">
        <v>6</v>
      </c>
      <c r="AH70" s="1">
        <v>3</v>
      </c>
      <c r="AI70" s="1">
        <v>2</v>
      </c>
      <c r="AJ70" s="52" t="s">
        <v>2029</v>
      </c>
      <c r="AK70" s="9">
        <f>($L$3*(L70-$Q$1)/$Q$2+$M$3*(M70-$R$1)/$R$2+$N$3*(N70-$S$1)/$S$2+$O$3*(O70-$T$1)/$T$2+$P$3*(P70-$U$1)/$U$2)/(SUM($L$3:$P$3))</f>
        <v>-0.79512064214589528</v>
      </c>
      <c r="AL70" s="9">
        <f>($L$3*(Q70-$Q$1)/$Q$2+$M$3*(R70-$R$1)/$R$2+$N$3*(S70-$S$1)/$S$2+$O$3*(T70-$T$1)/$T$2+$P$3*(U70-$U$1)/$U$2)/(SUM($L$3:$P$3))</f>
        <v>0.6194457410640225</v>
      </c>
      <c r="AM70">
        <f>IF(AVERAGE(AG70:AH70)&gt;9,1,0)+IF(AVERAGE(AG70:AH70)&gt;7,1,0)+IF(AG70&gt;7,1,0)+IF(AH70&gt;7,1,0)+IF(AI70&gt;8,1,0)+IF(AI70&gt;6,1,0)</f>
        <v>0</v>
      </c>
      <c r="AN70" s="6">
        <f>MIN(2,IF(OR(Y70="-",X70&lt;5),0,1+IF(Y70&gt;7,1+IF(X70&gt;7,0.25,0),IF(Y70&gt;4,0.5+IF(X70&gt;7,0.25,0),0+IF(X70&gt;7,0.25))))+IF(Z70="-",0,IF(Z70&gt;9,0.5,IF(Z70&gt;7,0.25,0)))+IF(AA70="-",0,IF(AA70&gt;7,1.1,IF(AA70&gt;4,0.6,0)))+IF(OR(AB70="-",V70&lt;5),0,IF(AB70&gt;7,1+IF(V70&gt;7,0.25,0),IF(AB70&gt;4,0.5+IF(V70&gt;7,0.25,0),0)))+IF(AC70="-",0,IF(AC70&gt;7,1.5,IF(AC70&gt;4,1,0)))+IF(AD70="-",0,IF(AD70&gt;9,0.5,IF(AD70&gt;7,0.25,0)))+IF(AE70="-",0,IF(AE70&gt;7,1.25,IF(AE70&gt;4,0.75,0)))+IF(OR(AF70="-",W70&lt;4),0,IF(AF70&gt;7,1+IF(W70&gt;7,0.15,0),IF(AF70&gt;4,0.5+IF(W70&gt;7,0.15,0),0))))</f>
        <v>0.85</v>
      </c>
      <c r="AO70" s="9">
        <f>($AK$3*AK70+$AL$3*AL70+$AM$3*AM70+$AN$3*AN70)+$J$3*VLOOKUP(J70,COND!$A$2:$C$7,2,FALSE)+$K$3*VLOOKUP(K70,COND!$A$2:$C$7,3,FALSE)</f>
        <v>18.103836828553682</v>
      </c>
      <c r="AP70" s="37">
        <f>STANDARDIZE(AO70,AVERAGE($AO$5:$AO$1295),STDEVP($AO$5:$AO$1295))</f>
        <v>1.0332207013543566</v>
      </c>
      <c r="AQ70" t="str">
        <f>IF(AND(Y70&lt;&gt;"-",X70&gt;1),"C",IF(AA70=MAX(AA70:AC70),"2B",IF(AC70=MAX(AA70:AC70),"SS",IF(OR(AB70=MAX(Z70:AC70),AND(AB70&lt;&gt;"-",AB70&gt;4,V70&gt;5)),"3B",IF(AE70=MAX(AD70:AF70),"CF",IF(AND(AF70=MAX(AD70,AF70),AND(W70&gt;5,AD70&lt;&gt;"-")),"RF",IF(AD70&lt;&gt;"-","LF",IF(Z70&lt;&gt;"-","1B","DH"))))))))</f>
        <v>2B</v>
      </c>
      <c r="AR70" t="s">
        <v>35</v>
      </c>
      <c r="AT70" t="s">
        <v>155</v>
      </c>
      <c r="AU70" t="str">
        <f>IF(AND($Q70&gt;=6,AVERAGE($S70:$T70)&gt;=6),"Likely",IF(OR($Q70&gt;6,AND($Q70=6,AVERAGE($S70:$T70)&gt;=3),AND($Q70&gt;=5,AVERAGE($S70:$T70)&gt;=5),AVERAGE($Q70,$S70:$T70)&gt;5),"Possible","Unlikely"))</f>
        <v>Possible</v>
      </c>
      <c r="AW70" t="e">
        <f>IF(VLOOKUP($B70,'Draft List'!$D$4:$AB$2598,AW$3,FALSE)&lt;&gt;0,VLOOKUP($B70,'Draft List'!$D$4:$AB$2598,AW$3,FALSE),"")</f>
        <v>#N/A</v>
      </c>
      <c r="AX70" t="e">
        <f>IF(VLOOKUP($B70,'Draft List'!$D$4:$AB$2598,AX$3,FALSE)&lt;&gt;0,VLOOKUP($B70,'Draft List'!$D$4:$AB$2598,AX$3,FALSE),"")</f>
        <v>#N/A</v>
      </c>
      <c r="AY70" t="e">
        <f>IF(VLOOKUP($B70,'Draft List'!$D$4:$AB$2598,AY$3,FALSE)&lt;&gt;0,VLOOKUP($B70,'Draft List'!$D$4:$AB$2598,AY$3,FALSE),"")</f>
        <v>#N/A</v>
      </c>
    </row>
    <row r="71" spans="1:51">
      <c r="A71" t="str">
        <f>IF(C71="C","C-",C71)&amp;D71&amp;E71</f>
        <v>2BJoe Walsh21</v>
      </c>
      <c r="B71">
        <f>VLOOKUP($A71,draft_listing_batters_stats!$A$1:$B$1324,2,FALSE)</f>
        <v>6580</v>
      </c>
      <c r="C71" s="1" t="s">
        <v>2069</v>
      </c>
      <c r="D71" s="1" t="s">
        <v>1442</v>
      </c>
      <c r="E71" s="1">
        <v>21</v>
      </c>
      <c r="F71" s="1" t="s">
        <v>2038</v>
      </c>
      <c r="G71" s="1" t="s">
        <v>2022</v>
      </c>
      <c r="H71" s="1" t="s">
        <v>2033</v>
      </c>
      <c r="I71" s="1" t="s">
        <v>2033</v>
      </c>
      <c r="J71" s="1" t="s">
        <v>2026</v>
      </c>
      <c r="K71" s="1" t="s">
        <v>2025</v>
      </c>
      <c r="L71" s="1">
        <v>5</v>
      </c>
      <c r="M71" s="1">
        <v>5</v>
      </c>
      <c r="N71" s="1">
        <v>4</v>
      </c>
      <c r="O71" s="1">
        <v>4</v>
      </c>
      <c r="P71" s="1">
        <v>2</v>
      </c>
      <c r="Q71" s="1">
        <v>6</v>
      </c>
      <c r="R71" s="1">
        <v>6</v>
      </c>
      <c r="S71" s="1">
        <v>5</v>
      </c>
      <c r="T71" s="1">
        <v>5</v>
      </c>
      <c r="U71" s="1">
        <v>4</v>
      </c>
      <c r="V71" s="1">
        <v>5</v>
      </c>
      <c r="W71" s="1">
        <v>2</v>
      </c>
      <c r="X71" s="1">
        <v>1</v>
      </c>
      <c r="Y71" s="1" t="s">
        <v>2027</v>
      </c>
      <c r="Z71" s="1">
        <v>4</v>
      </c>
      <c r="AA71" s="1">
        <v>4</v>
      </c>
      <c r="AB71" s="1">
        <v>2</v>
      </c>
      <c r="AC71" s="1" t="s">
        <v>2027</v>
      </c>
      <c r="AD71" s="1" t="s">
        <v>2027</v>
      </c>
      <c r="AE71" s="1" t="s">
        <v>2027</v>
      </c>
      <c r="AF71" s="1" t="s">
        <v>2027</v>
      </c>
      <c r="AG71" s="1">
        <v>10</v>
      </c>
      <c r="AH71" s="1">
        <v>10</v>
      </c>
      <c r="AI71" s="1">
        <v>10</v>
      </c>
      <c r="AJ71" s="52" t="s">
        <v>2029</v>
      </c>
      <c r="AK71" s="9">
        <f>($L$3*(L71-$Q$1)/$Q$2+$M$3*(M71-$R$1)/$R$2+$N$3*(N71-$S$1)/$S$2+$O$3*(O71-$T$1)/$T$2+$P$3*(P71-$U$1)/$U$2)/(SUM($L$3:$P$3))</f>
        <v>-3.155101462452807E-2</v>
      </c>
      <c r="AL71" s="9">
        <f>($L$3*(Q71-$Q$1)/$Q$2+$M$3*(R71-$R$1)/$R$2+$N$3*(S71-$S$1)/$S$2+$O$3*(T71-$T$1)/$T$2+$P$3*(U71-$U$1)/$U$2)/(SUM($L$3:$P$3))</f>
        <v>0.59486842486449965</v>
      </c>
      <c r="AM71">
        <f>IF(AVERAGE(AG71:AH71)&gt;9,1,0)+IF(AVERAGE(AG71:AH71)&gt;7,1,0)+IF(AG71&gt;7,1,0)+IF(AH71&gt;7,1,0)+IF(AI71&gt;8,1,0)+IF(AI71&gt;6,1,0)</f>
        <v>6</v>
      </c>
      <c r="AN71" s="6">
        <f>MIN(2,IF(OR(Y71="-",X71&lt;5),0,1+IF(Y71&gt;7,1+IF(X71&gt;7,0.25,0),IF(Y71&gt;4,0.5+IF(X71&gt;7,0.25,0),0+IF(X71&gt;7,0.25))))+IF(Z71="-",0,IF(Z71&gt;9,0.5,IF(Z71&gt;7,0.25,0)))+IF(AA71="-",0,IF(AA71&gt;7,1.1,IF(AA71&gt;4,0.6,0)))+IF(OR(AB71="-",V71&lt;5),0,IF(AB71&gt;7,1+IF(V71&gt;7,0.25,0),IF(AB71&gt;4,0.5+IF(V71&gt;7,0.25,0),0)))+IF(AC71="-",0,IF(AC71&gt;7,1.5,IF(AC71&gt;4,1,0)))+IF(AD71="-",0,IF(AD71&gt;9,0.5,IF(AD71&gt;7,0.25,0)))+IF(AE71="-",0,IF(AE71&gt;7,1.25,IF(AE71&gt;4,0.75,0)))+IF(OR(AF71="-",W71&lt;4),0,IF(AF71&gt;7,1+IF(W71&gt;7,0.15,0),IF(AF71&gt;4,0.5+IF(W71&gt;7,0.15,0),0))))</f>
        <v>0</v>
      </c>
      <c r="AO71" s="9">
        <f>($AK$3*AK71+$AL$3*AL71+$AM$3*AM71+$AN$3*AN71)+$J$3*VLOOKUP(J71,COND!$A$2:$C$7,2,FALSE)+$K$3*VLOOKUP(K71,COND!$A$2:$C$7,3,FALSE)</f>
        <v>18.035265996911541</v>
      </c>
      <c r="AP71" s="37">
        <f>STANDARDIZE(AO71,AVERAGE($AO$5:$AO$1295),STDEVP($AO$5:$AO$1295))</f>
        <v>1.0236945909410482</v>
      </c>
      <c r="AQ71" t="str">
        <f>IF(AND(Y71&lt;&gt;"-",X71&gt;1),"C",IF(AA71=MAX(AA71:AC71),"2B",IF(AC71=MAX(AA71:AC71),"SS",IF(OR(AB71=MAX(Z71:AC71),AND(AB71&lt;&gt;"-",AB71&gt;4,V71&gt;5)),"3B",IF(AE71=MAX(AD71:AF71),"CF",IF(AND(AF71=MAX(AD71,AF71),AND(W71&gt;5,AD71&lt;&gt;"-")),"RF",IF(AD71&lt;&gt;"-","LF",IF(Z71&lt;&gt;"-","1B","DH"))))))))</f>
        <v>2B</v>
      </c>
      <c r="AR71" t="s">
        <v>35</v>
      </c>
      <c r="AT71" t="s">
        <v>154</v>
      </c>
      <c r="AU71" t="str">
        <f>IF(AND($Q71&gt;=6,AVERAGE($S71:$T71)&gt;=6),"Likely",IF(OR($Q71&gt;6,AND($Q71=6,AVERAGE($S71:$T71)&gt;=3),AND($Q71&gt;=5,AVERAGE($S71:$T71)&gt;=5),AVERAGE($Q71,$S71:$T71)&gt;5),"Possible","Unlikely"))</f>
        <v>Possible</v>
      </c>
      <c r="AW71" t="str">
        <f>IF(VLOOKUP($B71,'Draft List'!$D$4:$AB$2598,AW$3,FALSE)&lt;&gt;0,VLOOKUP($B71,'Draft List'!$D$4:$AB$2598,AW$3,FALSE),"")</f>
        <v/>
      </c>
      <c r="AX71" t="str">
        <f>IF(VLOOKUP($B71,'Draft List'!$D$4:$AB$2598,AX$3,FALSE)&lt;&gt;0,VLOOKUP($B71,'Draft List'!$D$4:$AB$2598,AX$3,FALSE),"")</f>
        <v/>
      </c>
      <c r="AY71" t="str">
        <f>IF(VLOOKUP($B71,'Draft List'!$D$4:$AB$2598,AY$3,FALSE)&lt;&gt;0,VLOOKUP($B71,'Draft List'!$D$4:$AB$2598,AY$3,FALSE),"")</f>
        <v/>
      </c>
    </row>
    <row r="72" spans="1:51">
      <c r="A72" t="str">
        <f>IF(C72="C","C-",C72)&amp;D72&amp;E72</f>
        <v>CFSteve Curtis18</v>
      </c>
      <c r="B72">
        <f>VLOOKUP($A72,draft_listing_batters_stats!$A$1:$B$1324,2,FALSE)</f>
        <v>13826</v>
      </c>
      <c r="C72" s="1" t="s">
        <v>2079</v>
      </c>
      <c r="D72" s="1" t="s">
        <v>1433</v>
      </c>
      <c r="E72" s="1">
        <v>18</v>
      </c>
      <c r="F72" s="1" t="s">
        <v>2038</v>
      </c>
      <c r="G72" s="1" t="s">
        <v>2022</v>
      </c>
      <c r="H72" s="1" t="s">
        <v>2033</v>
      </c>
      <c r="I72" s="1" t="s">
        <v>2023</v>
      </c>
      <c r="J72" s="1" t="s">
        <v>2025</v>
      </c>
      <c r="K72" s="1" t="s">
        <v>2025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5</v>
      </c>
      <c r="R72" s="1">
        <v>6</v>
      </c>
      <c r="S72" s="1">
        <v>6</v>
      </c>
      <c r="T72" s="1">
        <v>7</v>
      </c>
      <c r="U72" s="1">
        <v>5</v>
      </c>
      <c r="V72" s="1">
        <v>1</v>
      </c>
      <c r="W72" s="1">
        <v>8</v>
      </c>
      <c r="X72" s="1">
        <v>1</v>
      </c>
      <c r="Y72" s="1" t="s">
        <v>2027</v>
      </c>
      <c r="Z72" s="1" t="s">
        <v>2027</v>
      </c>
      <c r="AA72" s="1" t="s">
        <v>2027</v>
      </c>
      <c r="AB72" s="1" t="s">
        <v>2027</v>
      </c>
      <c r="AC72" s="1" t="s">
        <v>2027</v>
      </c>
      <c r="AD72" s="1">
        <v>1</v>
      </c>
      <c r="AE72" s="1">
        <v>3</v>
      </c>
      <c r="AF72" s="1">
        <v>1</v>
      </c>
      <c r="AG72" s="1">
        <v>8</v>
      </c>
      <c r="AH72" s="1">
        <v>9</v>
      </c>
      <c r="AI72" s="1">
        <v>10</v>
      </c>
      <c r="AJ72" s="52" t="s">
        <v>2029</v>
      </c>
      <c r="AK72" s="9">
        <f>($L$3*(L72-$Q$1)/$Q$2+$M$3*(M72-$R$1)/$R$2+$N$3*(N72-$S$1)/$S$2+$O$3*(O72-$T$1)/$T$2+$P$3*(P72-$U$1)/$U$2)/(SUM($L$3:$P$3))</f>
        <v>-2.0843433498275723</v>
      </c>
      <c r="AL72" s="9">
        <f>($L$3*(Q72-$Q$1)/$Q$2+$M$3*(R72-$R$1)/$R$2+$N$3*(S72-$S$1)/$S$2+$O$3*(T72-$T$1)/$T$2+$P$3*(U72-$U$1)/$U$2)/(SUM($L$3:$P$3))</f>
        <v>0.57480952252197182</v>
      </c>
      <c r="AM72">
        <f>IF(AVERAGE(AG72:AH72)&gt;9,1,0)+IF(AVERAGE(AG72:AH72)&gt;7,1,0)+IF(AG72&gt;7,1,0)+IF(AH72&gt;7,1,0)+IF(AI72&gt;8,1,0)+IF(AI72&gt;6,1,0)</f>
        <v>5</v>
      </c>
      <c r="AN72" s="6">
        <f>MIN(2,IF(OR(Y72="-",X72&lt;5),0,1+IF(Y72&gt;7,1+IF(X72&gt;7,0.25,0),IF(Y72&gt;4,0.5+IF(X72&gt;7,0.25,0),0+IF(X72&gt;7,0.25))))+IF(Z72="-",0,IF(Z72&gt;9,0.5,IF(Z72&gt;7,0.25,0)))+IF(AA72="-",0,IF(AA72&gt;7,1.1,IF(AA72&gt;4,0.6,0)))+IF(OR(AB72="-",V72&lt;5),0,IF(AB72&gt;7,1+IF(V72&gt;7,0.25,0),IF(AB72&gt;4,0.5+IF(V72&gt;7,0.25,0),0)))+IF(AC72="-",0,IF(AC72&gt;7,1.5,IF(AC72&gt;4,1,0)))+IF(AD72="-",0,IF(AD72&gt;9,0.5,IF(AD72&gt;7,0.25,0)))+IF(AE72="-",0,IF(AE72&gt;7,1.25,IF(AE72&gt;4,0.75,0)))+IF(OR(AF72="-",W72&lt;4),0,IF(AF72&gt;7,1+IF(W72&gt;7,0.15,0),IF(AF72&gt;4,0.5+IF(W72&gt;7,0.15,0),0))))</f>
        <v>0</v>
      </c>
      <c r="AO72" s="9">
        <f>($AK$3*AK72+$AL$3*AL72+$AM$3*AM72+$AN$3*AN72)+$J$3*VLOOKUP(J72,COND!$A$2:$C$7,2,FALSE)+$K$3*VLOOKUP(K72,COND!$A$2:$C$7,3,FALSE)</f>
        <v>17.522613268614236</v>
      </c>
      <c r="AP72" s="37">
        <f>STANDARDIZE(AO72,AVERAGE($AO$5:$AO$1295),STDEVP($AO$5:$AO$1295))</f>
        <v>0.95247500126288154</v>
      </c>
      <c r="AQ72" t="str">
        <f>IF(AND(Y72&lt;&gt;"-",X72&gt;1),"C",IF(AA72=MAX(AA72:AC72),"2B",IF(AC72=MAX(AA72:AC72),"SS",IF(OR(AB72=MAX(Z72:AC72),AND(AB72&lt;&gt;"-",AB72&gt;4,V72&gt;5)),"3B",IF(AE72=MAX(AD72:AF72),"CF",IF(AND(AF72=MAX(AD72,AF72),AND(W72&gt;5,AD72&lt;&gt;"-")),"RF",IF(AD72&lt;&gt;"-","LF",IF(Z72&lt;&gt;"-","1B","DH"))))))))</f>
        <v>CF</v>
      </c>
      <c r="AR72" t="s">
        <v>35</v>
      </c>
      <c r="AT72" t="s">
        <v>155</v>
      </c>
      <c r="AU72" t="str">
        <f>IF(AND($Q72&gt;=6,AVERAGE($S72:$T72)&gt;=6),"Likely",IF(OR($Q72&gt;6,AND($Q72=6,AVERAGE($S72:$T72)&gt;=3),AND($Q72&gt;=5,AVERAGE($S72:$T72)&gt;=5),AVERAGE($Q72,$S72:$T72)&gt;5),"Possible","Unlikely"))</f>
        <v>Possible</v>
      </c>
      <c r="AW72" t="str">
        <f>IF(VLOOKUP($B72,'Draft List'!$D$4:$AB$2598,AW$3,FALSE)&lt;&gt;0,VLOOKUP($B72,'Draft List'!$D$4:$AB$2598,AW$3,FALSE),"")</f>
        <v/>
      </c>
      <c r="AX72" t="str">
        <f>IF(VLOOKUP($B72,'Draft List'!$D$4:$AB$2598,AX$3,FALSE)&lt;&gt;0,VLOOKUP($B72,'Draft List'!$D$4:$AB$2598,AX$3,FALSE),"")</f>
        <v/>
      </c>
      <c r="AY72" t="str">
        <f>IF(VLOOKUP($B72,'Draft List'!$D$4:$AB$2598,AY$3,FALSE)&lt;&gt;0,VLOOKUP($B72,'Draft List'!$D$4:$AB$2598,AY$3,FALSE),"")</f>
        <v/>
      </c>
    </row>
    <row r="73" spans="1:51">
      <c r="A73" t="str">
        <f>IF(C73="C","C-",C73)&amp;D73&amp;E73</f>
        <v>1BEvan Burgess21</v>
      </c>
      <c r="B73">
        <f>VLOOKUP($A73,draft_listing_batters_stats!$A$1:$B$1324,2,FALSE)</f>
        <v>8657</v>
      </c>
      <c r="C73" s="1" t="s">
        <v>2092</v>
      </c>
      <c r="D73" s="1" t="s">
        <v>1466</v>
      </c>
      <c r="E73" s="1">
        <v>21</v>
      </c>
      <c r="F73" s="1" t="s">
        <v>2038</v>
      </c>
      <c r="G73" s="1" t="s">
        <v>2022</v>
      </c>
      <c r="H73" s="1" t="s">
        <v>2033</v>
      </c>
      <c r="I73" s="1" t="s">
        <v>2033</v>
      </c>
      <c r="J73" s="1" t="s">
        <v>2030</v>
      </c>
      <c r="K73" s="1" t="s">
        <v>2026</v>
      </c>
      <c r="L73" s="1">
        <v>4</v>
      </c>
      <c r="M73" s="1">
        <v>1</v>
      </c>
      <c r="N73" s="1">
        <v>1</v>
      </c>
      <c r="O73" s="1">
        <v>2</v>
      </c>
      <c r="P73" s="1">
        <v>3</v>
      </c>
      <c r="Q73" s="1">
        <v>7</v>
      </c>
      <c r="R73" s="1">
        <v>3</v>
      </c>
      <c r="S73" s="1">
        <v>2</v>
      </c>
      <c r="T73" s="1">
        <v>5</v>
      </c>
      <c r="U73" s="1">
        <v>5</v>
      </c>
      <c r="V73" s="1">
        <v>8</v>
      </c>
      <c r="W73" s="1">
        <v>7</v>
      </c>
      <c r="X73" s="1">
        <v>2</v>
      </c>
      <c r="Y73" s="1" t="s">
        <v>2027</v>
      </c>
      <c r="Z73" s="1">
        <v>9</v>
      </c>
      <c r="AA73" s="1" t="s">
        <v>2027</v>
      </c>
      <c r="AB73" s="1">
        <v>4</v>
      </c>
      <c r="AC73" s="1" t="s">
        <v>2027</v>
      </c>
      <c r="AD73" s="1" t="s">
        <v>2027</v>
      </c>
      <c r="AE73" s="1">
        <v>3</v>
      </c>
      <c r="AF73" s="1" t="s">
        <v>2027</v>
      </c>
      <c r="AG73" s="1">
        <v>6</v>
      </c>
      <c r="AH73" s="1">
        <v>4</v>
      </c>
      <c r="AI73" s="1">
        <v>2</v>
      </c>
      <c r="AJ73" s="52" t="s">
        <v>2029</v>
      </c>
      <c r="AK73" s="9">
        <f>($L$3*(L73-$Q$1)/$Q$2+$M$3*(M73-$R$1)/$R$2+$N$3*(N73-$S$1)/$S$2+$O$3*(O73-$T$1)/$T$2+$P$3*(P73-$U$1)/$U$2)/(SUM($L$3:$P$3))</f>
        <v>-0.94693361157580003</v>
      </c>
      <c r="AL73" s="9">
        <f>($L$3*(Q73-$Q$1)/$Q$2+$M$3*(R73-$R$1)/$R$2+$N$3*(S73-$S$1)/$S$2+$O$3*(T73-$T$1)/$T$2+$P$3*(U73-$U$1)/$U$2)/(SUM($L$3:$P$3))</f>
        <v>0.5550764799564426</v>
      </c>
      <c r="AM73">
        <f>IF(AVERAGE(AG73:AH73)&gt;9,1,0)+IF(AVERAGE(AG73:AH73)&gt;7,1,0)+IF(AG73&gt;7,1,0)+IF(AH73&gt;7,1,0)+IF(AI73&gt;8,1,0)+IF(AI73&gt;6,1,0)</f>
        <v>0</v>
      </c>
      <c r="AN73" s="6">
        <f>MIN(2,IF(OR(Y73="-",X73&lt;5),0,1+IF(Y73&gt;7,1+IF(X73&gt;7,0.25,0),IF(Y73&gt;4,0.5+IF(X73&gt;7,0.25,0),0+IF(X73&gt;7,0.25))))+IF(Z73="-",0,IF(Z73&gt;9,0.5,IF(Z73&gt;7,0.25,0)))+IF(AA73="-",0,IF(AA73&gt;7,1.1,IF(AA73&gt;4,0.6,0)))+IF(OR(AB73="-",V73&lt;5),0,IF(AB73&gt;7,1+IF(V73&gt;7,0.25,0),IF(AB73&gt;4,0.5+IF(V73&gt;7,0.25,0),0)))+IF(AC73="-",0,IF(AC73&gt;7,1.5,IF(AC73&gt;4,1,0)))+IF(AD73="-",0,IF(AD73&gt;9,0.5,IF(AD73&gt;7,0.25,0)))+IF(AE73="-",0,IF(AE73&gt;7,1.25,IF(AE73&gt;4,0.75,0)))+IF(OR(AF73="-",W73&lt;4),0,IF(AF73&gt;7,1+IF(W73&gt;7,0.15,0),IF(AF73&gt;4,0.5+IF(W73&gt;7,0.15,0),0))))</f>
        <v>0.25</v>
      </c>
      <c r="AO73" s="9">
        <f>($AK$3*AK73+$AL$3*AL73+$AM$3*AM73+$AN$3*AN73)+$J$3*VLOOKUP(J73,COND!$A$2:$C$7,2,FALSE)+$K$3*VLOOKUP(K73,COND!$A$2:$C$7,3,FALSE)</f>
        <v>16.816224398319733</v>
      </c>
      <c r="AP73" s="37">
        <f>STANDARDIZE(AO73,AVERAGE($AO$5:$AO$1295),STDEVP($AO$5:$AO$1295))</f>
        <v>0.85434087904199563</v>
      </c>
      <c r="AQ73" t="str">
        <f>IF(AND(Y73&lt;&gt;"-",X73&gt;1),"C",IF(AA73=MAX(AA73:AC73),"2B",IF(AC73=MAX(AA73:AC73),"SS",IF(OR(AB73=MAX(Z73:AC73),AND(AB73&lt;&gt;"-",AB73&gt;4,V73&gt;5)),"3B",IF(AE73=MAX(AD73:AF73),"CF",IF(AND(AF73=MAX(AD73,AF73),AND(W73&gt;5,AD73&lt;&gt;"-")),"RF",IF(AD73&lt;&gt;"-","LF",IF(Z73&lt;&gt;"-","1B","DH"))))))))</f>
        <v>CF</v>
      </c>
      <c r="AR73" t="s">
        <v>35</v>
      </c>
      <c r="AT73" t="s">
        <v>157</v>
      </c>
      <c r="AU73" t="str">
        <f>IF(AND($Q73&gt;=6,AVERAGE($S73:$T73)&gt;=6),"Likely",IF(OR($Q73&gt;6,AND($Q73=6,AVERAGE($S73:$T73)&gt;=3),AND($Q73&gt;=5,AVERAGE($S73:$T73)&gt;=5),AVERAGE($Q73,$S73:$T73)&gt;5),"Possible","Unlikely"))</f>
        <v>Possible</v>
      </c>
      <c r="AW73" t="str">
        <f>IF(VLOOKUP($B73,'Draft List'!$D$4:$AB$2598,AW$3,FALSE)&lt;&gt;0,VLOOKUP($B73,'Draft List'!$D$4:$AB$2598,AW$3,FALSE),"")</f>
        <v/>
      </c>
      <c r="AX73" t="str">
        <f>IF(VLOOKUP($B73,'Draft List'!$D$4:$AB$2598,AX$3,FALSE)&lt;&gt;0,VLOOKUP($B73,'Draft List'!$D$4:$AB$2598,AX$3,FALSE),"")</f>
        <v/>
      </c>
      <c r="AY73" t="str">
        <f>IF(VLOOKUP($B73,'Draft List'!$D$4:$AB$2598,AY$3,FALSE)&lt;&gt;0,VLOOKUP($B73,'Draft List'!$D$4:$AB$2598,AY$3,FALSE),"")</f>
        <v/>
      </c>
    </row>
    <row r="74" spans="1:51">
      <c r="A74" t="str">
        <f>IF(C74="C","C-",C74)&amp;D74&amp;E74</f>
        <v>2BLuis Martínez21</v>
      </c>
      <c r="B74" t="e">
        <f>VLOOKUP($A74,draft_listing_batters_stats!$A$1:$B$1324,2,FALSE)</f>
        <v>#N/A</v>
      </c>
      <c r="C74" s="1" t="s">
        <v>2069</v>
      </c>
      <c r="D74" s="1" t="s">
        <v>1358</v>
      </c>
      <c r="E74" s="1">
        <v>21</v>
      </c>
      <c r="F74" s="1" t="s">
        <v>2022</v>
      </c>
      <c r="G74" s="1" t="s">
        <v>2022</v>
      </c>
      <c r="H74" s="1" t="s">
        <v>2033</v>
      </c>
      <c r="I74" s="1" t="s">
        <v>2033</v>
      </c>
      <c r="J74" s="1" t="s">
        <v>2025</v>
      </c>
      <c r="K74" s="1" t="s">
        <v>2040</v>
      </c>
      <c r="L74" s="1">
        <v>4</v>
      </c>
      <c r="M74" s="1">
        <v>4</v>
      </c>
      <c r="N74" s="1">
        <v>2</v>
      </c>
      <c r="O74" s="1">
        <v>3</v>
      </c>
      <c r="P74" s="1">
        <v>3</v>
      </c>
      <c r="Q74" s="1">
        <v>6</v>
      </c>
      <c r="R74" s="1">
        <v>5</v>
      </c>
      <c r="S74" s="1">
        <v>3</v>
      </c>
      <c r="T74" s="1">
        <v>4</v>
      </c>
      <c r="U74" s="1">
        <v>6</v>
      </c>
      <c r="V74" s="1">
        <v>3</v>
      </c>
      <c r="W74" s="1">
        <v>3</v>
      </c>
      <c r="X74" s="1">
        <v>1</v>
      </c>
      <c r="Y74" s="1" t="s">
        <v>2027</v>
      </c>
      <c r="Z74" s="1" t="s">
        <v>2027</v>
      </c>
      <c r="AA74" s="1">
        <v>5</v>
      </c>
      <c r="AB74" s="1" t="s">
        <v>2027</v>
      </c>
      <c r="AC74" s="1" t="s">
        <v>2027</v>
      </c>
      <c r="AD74" s="1" t="s">
        <v>2027</v>
      </c>
      <c r="AE74" s="1" t="s">
        <v>2027</v>
      </c>
      <c r="AF74" s="1" t="s">
        <v>2027</v>
      </c>
      <c r="AG74" s="1">
        <v>8</v>
      </c>
      <c r="AH74" s="1">
        <v>8</v>
      </c>
      <c r="AI74" s="1">
        <v>7</v>
      </c>
      <c r="AJ74" s="52" t="s">
        <v>2029</v>
      </c>
      <c r="AK74" s="9">
        <f>($L$3*(L74-$Q$1)/$Q$2+$M$3*(M74-$R$1)/$R$2+$N$3*(N74-$S$1)/$S$2+$O$3*(O74-$T$1)/$T$2+$P$3*(P74-$U$1)/$U$2)/(SUM($L$3:$P$3))</f>
        <v>-0.62098292868620686</v>
      </c>
      <c r="AL74" s="9">
        <f>($L$3*(Q74-$Q$1)/$Q$2+$M$3*(R74-$R$1)/$R$2+$N$3*(S74-$S$1)/$S$2+$O$3*(T74-$T$1)/$T$2+$P$3*(U74-$U$1)/$U$2)/(SUM($L$3:$P$3))</f>
        <v>0.36800868682257898</v>
      </c>
      <c r="AM74">
        <f>IF(AVERAGE(AG74:AH74)&gt;9,1,0)+IF(AVERAGE(AG74:AH74)&gt;7,1,0)+IF(AG74&gt;7,1,0)+IF(AH74&gt;7,1,0)+IF(AI74&gt;8,1,0)+IF(AI74&gt;6,1,0)</f>
        <v>4</v>
      </c>
      <c r="AN74" s="6">
        <f>MIN(2,IF(OR(Y74="-",X74&lt;5),0,1+IF(Y74&gt;7,1+IF(X74&gt;7,0.25,0),IF(Y74&gt;4,0.5+IF(X74&gt;7,0.25,0),0+IF(X74&gt;7,0.25))))+IF(Z74="-",0,IF(Z74&gt;9,0.5,IF(Z74&gt;7,0.25,0)))+IF(AA74="-",0,IF(AA74&gt;7,1.1,IF(AA74&gt;4,0.6,0)))+IF(OR(AB74="-",V74&lt;5),0,IF(AB74&gt;7,1+IF(V74&gt;7,0.25,0),IF(AB74&gt;4,0.5+IF(V74&gt;7,0.25,0),0)))+IF(AC74="-",0,IF(AC74&gt;7,1.5,IF(AC74&gt;4,1,0)))+IF(AD74="-",0,IF(AD74&gt;9,0.5,IF(AD74&gt;7,0.25,0)))+IF(AE74="-",0,IF(AE74&gt;7,1.25,IF(AE74&gt;4,0.75,0)))+IF(OR(AF74="-",W74&lt;4),0,IF(AF74&gt;7,1+IF(W74&gt;7,0.15,0),IF(AF74&gt;4,0.5+IF(W74&gt;7,0.15,0),0))))</f>
        <v>0.6</v>
      </c>
      <c r="AO74" s="9">
        <f>($AK$3*AK74+$AL$3*AL74+$AM$3*AM74+$AN$3*AN74)+$J$3*VLOOKUP(J74,COND!$A$2:$C$7,2,FALSE)+$K$3*VLOOKUP(K74,COND!$A$2:$C$7,3,FALSE)</f>
        <v>15.120672615668994</v>
      </c>
      <c r="AP74" s="37">
        <f>STANDARDIZE(AO74,AVERAGE($AO$5:$AO$1295),STDEVP($AO$5:$AO$1295))</f>
        <v>0.61878863173504484</v>
      </c>
      <c r="AQ74" t="str">
        <f>IF(AND(Y74&lt;&gt;"-",X74&gt;1),"C",IF(AA74=MAX(AA74:AC74),"2B",IF(AC74=MAX(AA74:AC74),"SS",IF(OR(AB74=MAX(Z74:AC74),AND(AB74&lt;&gt;"-",AB74&gt;4,V74&gt;5)),"3B",IF(AE74=MAX(AD74:AF74),"CF",IF(AND(AF74=MAX(AD74,AF74),AND(W74&gt;5,AD74&lt;&gt;"-")),"RF",IF(AD74&lt;&gt;"-","LF",IF(Z74&lt;&gt;"-","1B","DH"))))))))</f>
        <v>2B</v>
      </c>
      <c r="AR74" t="s">
        <v>35</v>
      </c>
      <c r="AT74" t="s">
        <v>14</v>
      </c>
      <c r="AU74" t="str">
        <f>IF(AND($Q74&gt;=6,AVERAGE($S74:$T74)&gt;=6),"Likely",IF(OR($Q74&gt;6,AND($Q74=6,AVERAGE($S74:$T74)&gt;=3),AND($Q74&gt;=5,AVERAGE($S74:$T74)&gt;=5),AVERAGE($Q74,$S74:$T74)&gt;5),"Possible","Unlikely"))</f>
        <v>Possible</v>
      </c>
      <c r="AW74" t="e">
        <f>IF(VLOOKUP($B74,'Draft List'!$D$4:$AB$2598,AW$3,FALSE)&lt;&gt;0,VLOOKUP($B74,'Draft List'!$D$4:$AB$2598,AW$3,FALSE),"")</f>
        <v>#N/A</v>
      </c>
      <c r="AX74" t="e">
        <f>IF(VLOOKUP($B74,'Draft List'!$D$4:$AB$2598,AX$3,FALSE)&lt;&gt;0,VLOOKUP($B74,'Draft List'!$D$4:$AB$2598,AX$3,FALSE),"")</f>
        <v>#N/A</v>
      </c>
      <c r="AY74" t="e">
        <f>IF(VLOOKUP($B74,'Draft List'!$D$4:$AB$2598,AY$3,FALSE)&lt;&gt;0,VLOOKUP($B74,'Draft List'!$D$4:$AB$2598,AY$3,FALSE),"")</f>
        <v>#N/A</v>
      </c>
    </row>
    <row r="75" spans="1:51">
      <c r="A75" t="str">
        <f>IF(C75="C","C-",C75)&amp;D75&amp;E75</f>
        <v>1BJorge Villa18</v>
      </c>
      <c r="B75">
        <f>VLOOKUP($A75,draft_listing_batters_stats!$A$1:$B$1324,2,FALSE)</f>
        <v>13772</v>
      </c>
      <c r="C75" s="1" t="s">
        <v>2092</v>
      </c>
      <c r="D75" s="1" t="s">
        <v>1240</v>
      </c>
      <c r="E75" s="1">
        <v>18</v>
      </c>
      <c r="F75" s="1" t="s">
        <v>2038</v>
      </c>
      <c r="G75" s="1" t="s">
        <v>2038</v>
      </c>
      <c r="H75" s="1" t="s">
        <v>2033</v>
      </c>
      <c r="I75" s="1" t="s">
        <v>2033</v>
      </c>
      <c r="J75" s="1" t="s">
        <v>2036</v>
      </c>
      <c r="K75" s="1" t="s">
        <v>2025</v>
      </c>
      <c r="L75" s="1">
        <v>1</v>
      </c>
      <c r="M75" s="1">
        <v>3</v>
      </c>
      <c r="N75" s="1">
        <v>2</v>
      </c>
      <c r="O75" s="1">
        <v>1</v>
      </c>
      <c r="P75" s="1">
        <v>1</v>
      </c>
      <c r="Q75" s="1">
        <v>5</v>
      </c>
      <c r="R75" s="1">
        <v>7</v>
      </c>
      <c r="S75" s="1">
        <v>6</v>
      </c>
      <c r="T75" s="1">
        <v>5</v>
      </c>
      <c r="U75" s="1">
        <v>4</v>
      </c>
      <c r="V75" s="1">
        <v>2</v>
      </c>
      <c r="W75" s="1">
        <v>2</v>
      </c>
      <c r="X75" s="1">
        <v>1</v>
      </c>
      <c r="Y75" s="1" t="s">
        <v>2027</v>
      </c>
      <c r="Z75" s="1">
        <v>1</v>
      </c>
      <c r="AA75" s="1" t="s">
        <v>2027</v>
      </c>
      <c r="AB75" s="1" t="s">
        <v>2027</v>
      </c>
      <c r="AC75" s="1" t="s">
        <v>2027</v>
      </c>
      <c r="AD75" s="1" t="s">
        <v>2027</v>
      </c>
      <c r="AE75" s="1" t="s">
        <v>2027</v>
      </c>
      <c r="AF75" s="1" t="s">
        <v>2027</v>
      </c>
      <c r="AG75" s="1">
        <v>2</v>
      </c>
      <c r="AH75" s="1">
        <v>1</v>
      </c>
      <c r="AI75" s="1">
        <v>1</v>
      </c>
      <c r="AJ75" s="52" t="s">
        <v>2029</v>
      </c>
      <c r="AK75" s="9">
        <f>($L$3*(L75-$Q$1)/$Q$2+$M$3*(M75-$R$1)/$R$2+$N$3*(N75-$S$1)/$S$2+$O$3*(O75-$T$1)/$T$2+$P$3*(P75-$U$1)/$U$2)/(SUM($L$3:$P$3))</f>
        <v>-1.8991620965662634</v>
      </c>
      <c r="AL75" s="9">
        <f>($L$3*(Q75-$Q$1)/$Q$2+$M$3*(R75-$R$1)/$R$2+$N$3*(S75-$S$1)/$S$2+$O$3*(T75-$T$1)/$T$2+$P$3*(U75-$U$1)/$U$2)/(SUM($L$3:$P$3))</f>
        <v>0.40643396230442991</v>
      </c>
      <c r="AM75">
        <f>IF(AVERAGE(AG75:AH75)&gt;9,1,0)+IF(AVERAGE(AG75:AH75)&gt;7,1,0)+IF(AG75&gt;7,1,0)+IF(AH75&gt;7,1,0)+IF(AI75&gt;8,1,0)+IF(AI75&gt;6,1,0)</f>
        <v>0</v>
      </c>
      <c r="AN75" s="6">
        <f>MIN(2,IF(OR(Y75="-",X75&lt;5),0,1+IF(Y75&gt;7,1+IF(X75&gt;7,0.25,0),IF(Y75&gt;4,0.5+IF(X75&gt;7,0.25,0),0+IF(X75&gt;7,0.25))))+IF(Z75="-",0,IF(Z75&gt;9,0.5,IF(Z75&gt;7,0.25,0)))+IF(AA75="-",0,IF(AA75&gt;7,1.1,IF(AA75&gt;4,0.6,0)))+IF(OR(AB75="-",V75&lt;5),0,IF(AB75&gt;7,1+IF(V75&gt;7,0.25,0),IF(AB75&gt;4,0.5+IF(V75&gt;7,0.25,0),0)))+IF(AC75="-",0,IF(AC75&gt;7,1.5,IF(AC75&gt;4,1,0)))+IF(AD75="-",0,IF(AD75&gt;9,0.5,IF(AD75&gt;7,0.25,0)))+IF(AE75="-",0,IF(AE75&gt;7,1.25,IF(AE75&gt;4,0.75,0)))+IF(OR(AF75="-",W75&lt;4),0,IF(AF75&gt;7,1+IF(W75&gt;7,0.15,0),IF(AF75&gt;4,0.5+IF(W75&gt;7,0.15,0),0))))</f>
        <v>0</v>
      </c>
      <c r="AO75" s="9">
        <f>($AK$3*AK75+$AL$3*AL75+$AM$3*AM75+$AN$3*AN75)+$J$3*VLOOKUP(J75,COND!$A$2:$C$7,2,FALSE)+$K$3*VLOOKUP(K75,COND!$A$2:$C$7,3,FALSE)</f>
        <v>14.937291337996532</v>
      </c>
      <c r="AP75" s="37">
        <f>STANDARDIZE(AO75,AVERAGE($AO$5:$AO$1295),STDEVP($AO$5:$AO$1295))</f>
        <v>0.59331263476947993</v>
      </c>
      <c r="AQ75" t="str">
        <f>IF(AND(Y75&lt;&gt;"-",X75&gt;1),"C",IF(AA75=MAX(AA75:AC75),"2B",IF(AC75=MAX(AA75:AC75),"SS",IF(OR(AB75=MAX(Z75:AC75),AND(AB75&lt;&gt;"-",AB75&gt;4,V75&gt;5)),"3B",IF(AE75=MAX(AD75:AF75),"CF",IF(AND(AF75=MAX(AD75,AF75),AND(W75&gt;5,AD75&lt;&gt;"-")),"RF",IF(AD75&lt;&gt;"-","LF",IF(Z75&lt;&gt;"-","1B","DH"))))))))</f>
        <v>1B</v>
      </c>
      <c r="AR75" t="s">
        <v>35</v>
      </c>
      <c r="AT75" t="s">
        <v>157</v>
      </c>
      <c r="AU75" t="str">
        <f>IF(AND($Q75&gt;=6,AVERAGE($S75:$T75)&gt;=6),"Likely",IF(OR($Q75&gt;6,AND($Q75=6,AVERAGE($S75:$T75)&gt;=3),AND($Q75&gt;=5,AVERAGE($S75:$T75)&gt;=5),AVERAGE($Q75,$S75:$T75)&gt;5),"Possible","Unlikely"))</f>
        <v>Possible</v>
      </c>
      <c r="AW75" t="str">
        <f>IF(VLOOKUP($B75,'Draft List'!$D$4:$AB$2598,AW$3,FALSE)&lt;&gt;0,VLOOKUP($B75,'Draft List'!$D$4:$AB$2598,AW$3,FALSE),"")</f>
        <v/>
      </c>
      <c r="AX75" t="str">
        <f>IF(VLOOKUP($B75,'Draft List'!$D$4:$AB$2598,AX$3,FALSE)&lt;&gt;0,VLOOKUP($B75,'Draft List'!$D$4:$AB$2598,AX$3,FALSE),"")</f>
        <v/>
      </c>
      <c r="AY75" t="str">
        <f>IF(VLOOKUP($B75,'Draft List'!$D$4:$AB$2598,AY$3,FALSE)&lt;&gt;0,VLOOKUP($B75,'Draft List'!$D$4:$AB$2598,AY$3,FALSE),"")</f>
        <v/>
      </c>
    </row>
    <row r="76" spans="1:51">
      <c r="A76" t="str">
        <f>IF(C76="C","C-",C76)&amp;D76&amp;E76</f>
        <v>1BRicardo García21</v>
      </c>
      <c r="B76" t="e">
        <f>VLOOKUP($A76,draft_listing_batters_stats!$A$1:$B$1324,2,FALSE)</f>
        <v>#N/A</v>
      </c>
      <c r="C76" s="1" t="s">
        <v>2092</v>
      </c>
      <c r="D76" s="1" t="s">
        <v>1501</v>
      </c>
      <c r="E76" s="1">
        <v>21</v>
      </c>
      <c r="F76" s="1" t="s">
        <v>2022</v>
      </c>
      <c r="G76" s="1" t="s">
        <v>2022</v>
      </c>
      <c r="H76" s="1" t="s">
        <v>2033</v>
      </c>
      <c r="I76" s="1" t="s">
        <v>2033</v>
      </c>
      <c r="J76" s="1" t="s">
        <v>2040</v>
      </c>
      <c r="K76" s="1" t="s">
        <v>2036</v>
      </c>
      <c r="L76" s="1">
        <v>3</v>
      </c>
      <c r="M76" s="1">
        <v>4</v>
      </c>
      <c r="N76" s="1">
        <v>1</v>
      </c>
      <c r="O76" s="1">
        <v>2</v>
      </c>
      <c r="P76" s="1">
        <v>3</v>
      </c>
      <c r="Q76" s="1">
        <v>6</v>
      </c>
      <c r="R76" s="1">
        <v>7</v>
      </c>
      <c r="S76" s="1">
        <v>3</v>
      </c>
      <c r="T76" s="1">
        <v>4</v>
      </c>
      <c r="U76" s="1">
        <v>5</v>
      </c>
      <c r="V76" s="1">
        <v>4</v>
      </c>
      <c r="W76" s="1">
        <v>2</v>
      </c>
      <c r="X76" s="1">
        <v>1</v>
      </c>
      <c r="Y76" s="1" t="s">
        <v>2027</v>
      </c>
      <c r="Z76" s="1">
        <v>3</v>
      </c>
      <c r="AA76" s="1" t="s">
        <v>2027</v>
      </c>
      <c r="AB76" s="1" t="s">
        <v>2027</v>
      </c>
      <c r="AC76" s="1" t="s">
        <v>2027</v>
      </c>
      <c r="AD76" s="1" t="s">
        <v>2027</v>
      </c>
      <c r="AE76" s="1" t="s">
        <v>2027</v>
      </c>
      <c r="AF76" s="1" t="s">
        <v>2027</v>
      </c>
      <c r="AG76" s="1">
        <v>3</v>
      </c>
      <c r="AH76" s="1">
        <v>4</v>
      </c>
      <c r="AI76" s="1">
        <v>3</v>
      </c>
      <c r="AJ76" s="52" t="s">
        <v>2029</v>
      </c>
      <c r="AK76" s="9">
        <f>($L$3*(L76-$Q$1)/$Q$2+$M$3*(M76-$R$1)/$R$2+$N$3*(N76-$S$1)/$S$2+$O$3*(O76-$T$1)/$T$2+$P$3*(P76-$U$1)/$U$2)/(SUM($L$3:$P$3))</f>
        <v>-1.1163098089223642</v>
      </c>
      <c r="AL76" s="9">
        <f>($L$3*(Q76-$Q$1)/$Q$2+$M$3*(R76-$R$1)/$R$2+$N$3*(S76-$S$1)/$S$2+$O$3*(T76-$T$1)/$T$2+$P$3*(U76-$U$1)/$U$2)/(SUM($L$3:$P$3))</f>
        <v>0.43011210624290247</v>
      </c>
      <c r="AM76">
        <f>IF(AVERAGE(AG76:AH76)&gt;9,1,0)+IF(AVERAGE(AG76:AH76)&gt;7,1,0)+IF(AG76&gt;7,1,0)+IF(AH76&gt;7,1,0)+IF(AI76&gt;8,1,0)+IF(AI76&gt;6,1,0)</f>
        <v>0</v>
      </c>
      <c r="AN76" s="6">
        <f>MIN(2,IF(OR(Y76="-",X76&lt;5),0,1+IF(Y76&gt;7,1+IF(X76&gt;7,0.25,0),IF(Y76&gt;4,0.5+IF(X76&gt;7,0.25,0),0+IF(X76&gt;7,0.25))))+IF(Z76="-",0,IF(Z76&gt;9,0.5,IF(Z76&gt;7,0.25,0)))+IF(AA76="-",0,IF(AA76&gt;7,1.1,IF(AA76&gt;4,0.6,0)))+IF(OR(AB76="-",V76&lt;5),0,IF(AB76&gt;7,1+IF(V76&gt;7,0.25,0),IF(AB76&gt;4,0.5+IF(V76&gt;7,0.25,0),0)))+IF(AC76="-",0,IF(AC76&gt;7,1.5,IF(AC76&gt;4,1,0)))+IF(AD76="-",0,IF(AD76&gt;9,0.5,IF(AD76&gt;7,0.25,0)))+IF(AE76="-",0,IF(AE76&gt;7,1.25,IF(AE76&gt;4,0.75,0)))+IF(OR(AF76="-",W76&lt;4),0,IF(AF76&gt;7,1+IF(W76&gt;7,0.15,0),IF(AF76&gt;4,0.5+IF(W76&gt;7,0.15,0),0))))</f>
        <v>0</v>
      </c>
      <c r="AO76" s="9">
        <f>($AK$3*AK76+$AL$3*AL76+$AM$3*AM76+$AN$3*AN76)+$J$3*VLOOKUP(J76,COND!$A$2:$C$7,2,FALSE)+$K$3*VLOOKUP(K76,COND!$A$2:$C$7,3,FALSE)</f>
        <v>14.799714294022593</v>
      </c>
      <c r="AP76" s="37">
        <f>STANDARDIZE(AO76,AVERAGE($AO$5:$AO$1295),STDEVP($AO$5:$AO$1295))</f>
        <v>0.57419992926705887</v>
      </c>
      <c r="AQ76" t="str">
        <f>IF(AND(Y76&lt;&gt;"-",X76&gt;1),"C",IF(AA76=MAX(AA76:AC76),"2B",IF(AC76=MAX(AA76:AC76),"SS",IF(OR(AB76=MAX(Z76:AC76),AND(AB76&lt;&gt;"-",AB76&gt;4,V76&gt;5)),"3B",IF(AE76=MAX(AD76:AF76),"CF",IF(AND(AF76=MAX(AD76,AF76),AND(W76&gt;5,AD76&lt;&gt;"-")),"RF",IF(AD76&lt;&gt;"-","LF",IF(Z76&lt;&gt;"-","1B","DH"))))))))</f>
        <v>1B</v>
      </c>
      <c r="AR76" t="s">
        <v>35</v>
      </c>
      <c r="AT76" t="s">
        <v>154</v>
      </c>
      <c r="AU76" t="str">
        <f>IF(AND($Q76&gt;=6,AVERAGE($S76:$T76)&gt;=6),"Likely",IF(OR($Q76&gt;6,AND($Q76=6,AVERAGE($S76:$T76)&gt;=3),AND($Q76&gt;=5,AVERAGE($S76:$T76)&gt;=5),AVERAGE($Q76,$S76:$T76)&gt;5),"Possible","Unlikely"))</f>
        <v>Possible</v>
      </c>
      <c r="AW76" t="e">
        <f>IF(VLOOKUP($B76,'Draft List'!$D$4:$AB$2598,AW$3,FALSE)&lt;&gt;0,VLOOKUP($B76,'Draft List'!$D$4:$AB$2598,AW$3,FALSE),"")</f>
        <v>#N/A</v>
      </c>
      <c r="AX76" t="e">
        <f>IF(VLOOKUP($B76,'Draft List'!$D$4:$AB$2598,AX$3,FALSE)&lt;&gt;0,VLOOKUP($B76,'Draft List'!$D$4:$AB$2598,AX$3,FALSE),"")</f>
        <v>#N/A</v>
      </c>
      <c r="AY76" t="e">
        <f>IF(VLOOKUP($B76,'Draft List'!$D$4:$AB$2598,AY$3,FALSE)&lt;&gt;0,VLOOKUP($B76,'Draft List'!$D$4:$AB$2598,AY$3,FALSE),"")</f>
        <v>#N/A</v>
      </c>
    </row>
    <row r="77" spans="1:51">
      <c r="A77" t="str">
        <f>IF(C77="C","C-",C77)&amp;D77&amp;E77</f>
        <v>2BJohn Moss21</v>
      </c>
      <c r="B77">
        <f>VLOOKUP($A77,draft_listing_batters_stats!$A$1:$B$1324,2,FALSE)</f>
        <v>2824</v>
      </c>
      <c r="C77" s="1" t="s">
        <v>2069</v>
      </c>
      <c r="D77" s="1" t="s">
        <v>1378</v>
      </c>
      <c r="E77" s="1">
        <v>21</v>
      </c>
      <c r="F77" s="1" t="s">
        <v>2038</v>
      </c>
      <c r="G77" s="1" t="s">
        <v>2022</v>
      </c>
      <c r="H77" s="1" t="s">
        <v>2033</v>
      </c>
      <c r="I77" s="1" t="s">
        <v>2033</v>
      </c>
      <c r="J77" s="1" t="s">
        <v>2026</v>
      </c>
      <c r="K77" s="1" t="s">
        <v>2025</v>
      </c>
      <c r="L77" s="1">
        <v>3</v>
      </c>
      <c r="M77" s="1">
        <v>4</v>
      </c>
      <c r="N77" s="1">
        <v>2</v>
      </c>
      <c r="O77" s="1">
        <v>2</v>
      </c>
      <c r="P77" s="1">
        <v>2</v>
      </c>
      <c r="Q77" s="1">
        <v>5</v>
      </c>
      <c r="R77" s="1">
        <v>7</v>
      </c>
      <c r="S77" s="1">
        <v>6</v>
      </c>
      <c r="T77" s="1">
        <v>4</v>
      </c>
      <c r="U77" s="1">
        <v>4</v>
      </c>
      <c r="V77" s="1">
        <v>5</v>
      </c>
      <c r="W77" s="1">
        <v>5</v>
      </c>
      <c r="X77" s="1">
        <v>1</v>
      </c>
      <c r="Y77" s="1" t="s">
        <v>2027</v>
      </c>
      <c r="Z77" s="1" t="s">
        <v>2027</v>
      </c>
      <c r="AA77" s="1">
        <v>4</v>
      </c>
      <c r="AB77" s="1" t="s">
        <v>2027</v>
      </c>
      <c r="AC77" s="1" t="s">
        <v>2027</v>
      </c>
      <c r="AD77" s="1">
        <v>5</v>
      </c>
      <c r="AE77" s="1">
        <v>4</v>
      </c>
      <c r="AF77" s="1">
        <v>6</v>
      </c>
      <c r="AG77" s="1">
        <v>10</v>
      </c>
      <c r="AH77" s="1">
        <v>8</v>
      </c>
      <c r="AI77" s="1">
        <v>8</v>
      </c>
      <c r="AJ77" s="52" t="s">
        <v>2029</v>
      </c>
      <c r="AK77" s="9">
        <f>($L$3*(L77-$Q$1)/$Q$2+$M$3*(M77-$R$1)/$R$2+$N$3*(N77-$S$1)/$S$2+$O$3*(O77-$T$1)/$T$2+$P$3*(P77-$U$1)/$U$2)/(SUM($L$3:$P$3))</f>
        <v>-1.073264654715546</v>
      </c>
      <c r="AL77" s="9">
        <f>($L$3*(Q77-$Q$1)/$Q$2+$M$3*(R77-$R$1)/$R$2+$N$3*(S77-$S$1)/$S$2+$O$3*(T77-$T$1)/$T$2+$P$3*(U77-$U$1)/$U$2)/(SUM($L$3:$P$3))</f>
        <v>0.31672441229484882</v>
      </c>
      <c r="AM77">
        <f>IF(AVERAGE(AG77:AH77)&gt;9,1,0)+IF(AVERAGE(AG77:AH77)&gt;7,1,0)+IF(AG77&gt;7,1,0)+IF(AH77&gt;7,1,0)+IF(AI77&gt;8,1,0)+IF(AI77&gt;6,1,0)</f>
        <v>4</v>
      </c>
      <c r="AN77" s="6">
        <f>MIN(2,IF(OR(Y77="-",X77&lt;5),0,1+IF(Y77&gt;7,1+IF(X77&gt;7,0.25,0),IF(Y77&gt;4,0.5+IF(X77&gt;7,0.25,0),0+IF(X77&gt;7,0.25))))+IF(Z77="-",0,IF(Z77&gt;9,0.5,IF(Z77&gt;7,0.25,0)))+IF(AA77="-",0,IF(AA77&gt;7,1.1,IF(AA77&gt;4,0.6,0)))+IF(OR(AB77="-",V77&lt;5),0,IF(AB77&gt;7,1+IF(V77&gt;7,0.25,0),IF(AB77&gt;4,0.5+IF(V77&gt;7,0.25,0),0)))+IF(AC77="-",0,IF(AC77&gt;7,1.5,IF(AC77&gt;4,1,0)))+IF(AD77="-",0,IF(AD77&gt;9,0.5,IF(AD77&gt;7,0.25,0)))+IF(AE77="-",0,IF(AE77&gt;7,1.25,IF(AE77&gt;4,0.75,0)))+IF(OR(AF77="-",W77&lt;4),0,IF(AF77&gt;7,1+IF(W77&gt;7,0.15,0),IF(AF77&gt;4,0.5+IF(W77&gt;7,0.15,0),0))))</f>
        <v>0.5</v>
      </c>
      <c r="AO77" s="9">
        <f>($AK$3*AK77+$AL$3*AL77+$AM$3*AM77+$AN$3*AN77)+$J$3*VLOOKUP(J77,COND!$A$2:$C$7,2,FALSE)+$K$3*VLOOKUP(K77,COND!$A$2:$C$7,3,FALSE)</f>
        <v>14.760033148733299</v>
      </c>
      <c r="AP77" s="37">
        <f>STANDARDIZE(AO77,AVERAGE($AO$5:$AO$1295),STDEVP($AO$5:$AO$1295))</f>
        <v>0.56868727961268262</v>
      </c>
      <c r="AQ77" t="str">
        <f>IF(AND(Y77&lt;&gt;"-",X77&gt;1),"C",IF(AA77=MAX(AA77:AC77),"2B",IF(AC77=MAX(AA77:AC77),"SS",IF(OR(AB77=MAX(Z77:AC77),AND(AB77&lt;&gt;"-",AB77&gt;4,V77&gt;5)),"3B",IF(AE77=MAX(AD77:AF77),"CF",IF(AND(AF77=MAX(AD77,AF77),AND(W77&gt;5,AD77&lt;&gt;"-")),"RF",IF(AD77&lt;&gt;"-","LF",IF(Z77&lt;&gt;"-","1B","DH"))))))))</f>
        <v>2B</v>
      </c>
      <c r="AR77" t="s">
        <v>35</v>
      </c>
      <c r="AT77" t="s">
        <v>38</v>
      </c>
      <c r="AU77" t="str">
        <f>IF(AND($Q77&gt;=6,AVERAGE($S77:$T77)&gt;=6),"Likely",IF(OR($Q77&gt;6,AND($Q77=6,AVERAGE($S77:$T77)&gt;=3),AND($Q77&gt;=5,AVERAGE($S77:$T77)&gt;=5),AVERAGE($Q77,$S77:$T77)&gt;5),"Possible","Unlikely"))</f>
        <v>Possible</v>
      </c>
      <c r="AW77" t="str">
        <f>IF(VLOOKUP($B77,'Draft List'!$D$4:$AB$2598,AW$3,FALSE)&lt;&gt;0,VLOOKUP($B77,'Draft List'!$D$4:$AB$2598,AW$3,FALSE),"")</f>
        <v/>
      </c>
      <c r="AX77" t="str">
        <f>IF(VLOOKUP($B77,'Draft List'!$D$4:$AB$2598,AX$3,FALSE)&lt;&gt;0,VLOOKUP($B77,'Draft List'!$D$4:$AB$2598,AX$3,FALSE),"")</f>
        <v/>
      </c>
      <c r="AY77" t="str">
        <f>IF(VLOOKUP($B77,'Draft List'!$D$4:$AB$2598,AY$3,FALSE)&lt;&gt;0,VLOOKUP($B77,'Draft List'!$D$4:$AB$2598,AY$3,FALSE),"")</f>
        <v/>
      </c>
    </row>
    <row r="78" spans="1:51">
      <c r="A78" t="str">
        <f>IF(C78="C","C-",C78)&amp;D78&amp;E78</f>
        <v>1BMarcos Gonzáles21</v>
      </c>
      <c r="B78" t="e">
        <f>VLOOKUP($A78,draft_listing_batters_stats!$A$1:$B$1324,2,FALSE)</f>
        <v>#N/A</v>
      </c>
      <c r="C78" s="1" t="s">
        <v>2092</v>
      </c>
      <c r="D78" s="1" t="s">
        <v>1303</v>
      </c>
      <c r="E78" s="1">
        <v>21</v>
      </c>
      <c r="F78" s="1" t="s">
        <v>2038</v>
      </c>
      <c r="G78" s="1" t="s">
        <v>2038</v>
      </c>
      <c r="H78" s="1" t="s">
        <v>2033</v>
      </c>
      <c r="I78" s="1" t="s">
        <v>2033</v>
      </c>
      <c r="J78" s="1" t="s">
        <v>2040</v>
      </c>
      <c r="K78" s="1" t="s">
        <v>2026</v>
      </c>
      <c r="L78" s="1">
        <v>4</v>
      </c>
      <c r="M78" s="1">
        <v>6</v>
      </c>
      <c r="N78" s="1">
        <v>3</v>
      </c>
      <c r="O78" s="1">
        <v>4</v>
      </c>
      <c r="P78" s="1">
        <v>2</v>
      </c>
      <c r="Q78" s="1">
        <v>5</v>
      </c>
      <c r="R78" s="1">
        <v>6</v>
      </c>
      <c r="S78" s="1">
        <v>6</v>
      </c>
      <c r="T78" s="1">
        <v>6</v>
      </c>
      <c r="U78" s="1">
        <v>4</v>
      </c>
      <c r="V78" s="1">
        <v>2</v>
      </c>
      <c r="W78" s="1">
        <v>2</v>
      </c>
      <c r="X78" s="1">
        <v>1</v>
      </c>
      <c r="Y78" s="1" t="s">
        <v>2027</v>
      </c>
      <c r="Z78" s="1">
        <v>4</v>
      </c>
      <c r="AA78" s="1" t="s">
        <v>2027</v>
      </c>
      <c r="AB78" s="1" t="s">
        <v>2027</v>
      </c>
      <c r="AC78" s="1" t="s">
        <v>2027</v>
      </c>
      <c r="AD78" s="1" t="s">
        <v>2027</v>
      </c>
      <c r="AE78" s="1" t="s">
        <v>2027</v>
      </c>
      <c r="AF78" s="1" t="s">
        <v>2027</v>
      </c>
      <c r="AG78" s="1">
        <v>4</v>
      </c>
      <c r="AH78" s="1">
        <v>6</v>
      </c>
      <c r="AI78" s="1">
        <v>6</v>
      </c>
      <c r="AJ78" s="52" t="s">
        <v>2029</v>
      </c>
      <c r="AK78" s="9">
        <f>($L$3*(L78-$Q$1)/$Q$2+$M$3*(M78-$R$1)/$R$2+$N$3*(N78-$S$1)/$S$2+$O$3*(O78-$T$1)/$T$2+$P$3*(P78-$U$1)/$U$2)/(SUM($L$3:$P$3))</f>
        <v>-0.38610846523240078</v>
      </c>
      <c r="AL78" s="9">
        <f>($L$3*(Q78-$Q$1)/$Q$2+$M$3*(R78-$R$1)/$R$2+$N$3*(S78-$S$1)/$S$2+$O$3*(T78-$T$1)/$T$2+$P$3*(U78-$U$1)/$U$2)/(SUM($L$3:$P$3))</f>
        <v>0.44508363269530743</v>
      </c>
      <c r="AM78">
        <f>IF(AVERAGE(AG78:AH78)&gt;9,1,0)+IF(AVERAGE(AG78:AH78)&gt;7,1,0)+IF(AG78&gt;7,1,0)+IF(AH78&gt;7,1,0)+IF(AI78&gt;8,1,0)+IF(AI78&gt;6,1,0)</f>
        <v>0</v>
      </c>
      <c r="AN78" s="6">
        <f>MIN(2,IF(OR(Y78="-",X78&lt;5),0,1+IF(Y78&gt;7,1+IF(X78&gt;7,0.25,0),IF(Y78&gt;4,0.5+IF(X78&gt;7,0.25,0),0+IF(X78&gt;7,0.25))))+IF(Z78="-",0,IF(Z78&gt;9,0.5,IF(Z78&gt;7,0.25,0)))+IF(AA78="-",0,IF(AA78&gt;7,1.1,IF(AA78&gt;4,0.6,0)))+IF(OR(AB78="-",V78&lt;5),0,IF(AB78&gt;7,1+IF(V78&gt;7,0.25,0),IF(AB78&gt;4,0.5+IF(V78&gt;7,0.25,0),0)))+IF(AC78="-",0,IF(AC78&gt;7,1.5,IF(AC78&gt;4,1,0)))+IF(AD78="-",0,IF(AD78&gt;9,0.5,IF(AD78&gt;7,0.25,0)))+IF(AE78="-",0,IF(AE78&gt;7,1.25,IF(AE78&gt;4,0.75,0)))+IF(OR(AF78="-",W78&lt;4),0,IF(AF78&gt;7,1+IF(W78&gt;7,0.15,0),IF(AF78&gt;4,0.5+IF(W78&gt;7,0.15,0),0))))</f>
        <v>0</v>
      </c>
      <c r="AO78" s="9">
        <f>($AK$3*AK78+$AL$3*AL78+$AM$3*AM78+$AN$3*AN78)+$J$3*VLOOKUP(J78,COND!$A$2:$C$7,2,FALSE)+$K$3*VLOOKUP(K78,COND!$A$2:$C$7,3,FALSE)</f>
        <v>14.702392745820449</v>
      </c>
      <c r="AP78" s="37">
        <f>STANDARDIZE(AO78,AVERAGE($AO$5:$AO$1295),STDEVP($AO$5:$AO$1295))</f>
        <v>0.5606796642860814</v>
      </c>
      <c r="AQ78" t="str">
        <f>IF(AND(Y78&lt;&gt;"-",X78&gt;1),"C",IF(AA78=MAX(AA78:AC78),"2B",IF(AC78=MAX(AA78:AC78),"SS",IF(OR(AB78=MAX(Z78:AC78),AND(AB78&lt;&gt;"-",AB78&gt;4,V78&gt;5)),"3B",IF(AE78=MAX(AD78:AF78),"CF",IF(AND(AF78=MAX(AD78,AF78),AND(W78&gt;5,AD78&lt;&gt;"-")),"RF",IF(AD78&lt;&gt;"-","LF",IF(Z78&lt;&gt;"-","1B","DH"))))))))</f>
        <v>1B</v>
      </c>
      <c r="AR78" t="s">
        <v>35</v>
      </c>
      <c r="AT78" t="s">
        <v>157</v>
      </c>
      <c r="AU78" t="str">
        <f>IF(AND($Q78&gt;=6,AVERAGE($S78:$T78)&gt;=6),"Likely",IF(OR($Q78&gt;6,AND($Q78=6,AVERAGE($S78:$T78)&gt;=3),AND($Q78&gt;=5,AVERAGE($S78:$T78)&gt;=5),AVERAGE($Q78,$S78:$T78)&gt;5),"Possible","Unlikely"))</f>
        <v>Possible</v>
      </c>
      <c r="AW78" t="e">
        <f>IF(VLOOKUP($B78,'Draft List'!$D$4:$AB$2598,AW$3,FALSE)&lt;&gt;0,VLOOKUP($B78,'Draft List'!$D$4:$AB$2598,AW$3,FALSE),"")</f>
        <v>#N/A</v>
      </c>
      <c r="AX78" t="e">
        <f>IF(VLOOKUP($B78,'Draft List'!$D$4:$AB$2598,AX$3,FALSE)&lt;&gt;0,VLOOKUP($B78,'Draft List'!$D$4:$AB$2598,AX$3,FALSE),"")</f>
        <v>#N/A</v>
      </c>
      <c r="AY78" t="e">
        <f>IF(VLOOKUP($B78,'Draft List'!$D$4:$AB$2598,AY$3,FALSE)&lt;&gt;0,VLOOKUP($B78,'Draft List'!$D$4:$AB$2598,AY$3,FALSE),"")</f>
        <v>#N/A</v>
      </c>
    </row>
    <row r="79" spans="1:51">
      <c r="A79" t="str">
        <f>IF(C79="C","C-",C79)&amp;D79&amp;E79</f>
        <v>CFEdgardo Acarcon18</v>
      </c>
      <c r="B79">
        <f>VLOOKUP($A79,draft_listing_batters_stats!$A$1:$B$1324,2,FALSE)</f>
        <v>1815</v>
      </c>
      <c r="C79" s="1" t="s">
        <v>2079</v>
      </c>
      <c r="D79" s="1" t="s">
        <v>1430</v>
      </c>
      <c r="E79" s="1">
        <v>18</v>
      </c>
      <c r="F79" s="1" t="s">
        <v>2022</v>
      </c>
      <c r="G79" s="1" t="s">
        <v>2022</v>
      </c>
      <c r="H79" s="1" t="s">
        <v>2033</v>
      </c>
      <c r="I79" s="1" t="s">
        <v>2023</v>
      </c>
      <c r="J79" s="1" t="s">
        <v>2026</v>
      </c>
      <c r="K79" s="1" t="s">
        <v>2025</v>
      </c>
      <c r="L79" s="1">
        <v>1</v>
      </c>
      <c r="M79" s="1">
        <v>1</v>
      </c>
      <c r="N79" s="1">
        <v>1</v>
      </c>
      <c r="O79" s="1">
        <v>1</v>
      </c>
      <c r="P79" s="1">
        <v>1</v>
      </c>
      <c r="Q79" s="1">
        <v>5</v>
      </c>
      <c r="R79" s="1">
        <v>4</v>
      </c>
      <c r="S79" s="1">
        <v>8</v>
      </c>
      <c r="T79" s="1">
        <v>4</v>
      </c>
      <c r="U79" s="1">
        <v>4</v>
      </c>
      <c r="V79" s="1">
        <v>1</v>
      </c>
      <c r="W79" s="1">
        <v>6</v>
      </c>
      <c r="X79" s="1">
        <v>2</v>
      </c>
      <c r="Y79" s="1" t="s">
        <v>2027</v>
      </c>
      <c r="Z79" s="1" t="s">
        <v>2027</v>
      </c>
      <c r="AA79" s="1" t="s">
        <v>2027</v>
      </c>
      <c r="AB79" s="1" t="s">
        <v>2027</v>
      </c>
      <c r="AC79" s="1" t="s">
        <v>2027</v>
      </c>
      <c r="AD79" s="1">
        <v>1</v>
      </c>
      <c r="AE79" s="1">
        <v>2</v>
      </c>
      <c r="AF79" s="1">
        <v>1</v>
      </c>
      <c r="AG79" s="1">
        <v>9</v>
      </c>
      <c r="AH79" s="1">
        <v>10</v>
      </c>
      <c r="AI79" s="1">
        <v>9</v>
      </c>
      <c r="AJ79" s="52" t="s">
        <v>2029</v>
      </c>
      <c r="AK79" s="9">
        <f>($L$3*(L79-$Q$1)/$Q$2+$M$3*(M79-$R$1)/$R$2+$N$3*(N79-$S$1)/$S$2+$O$3*(O79-$T$1)/$T$2+$P$3*(P79-$U$1)/$U$2)/(SUM($L$3:$P$3))</f>
        <v>-2.0843433498275723</v>
      </c>
      <c r="AL79" s="9">
        <f>($L$3*(Q79-$Q$1)/$Q$2+$M$3*(R79-$R$1)/$R$2+$N$3*(S79-$S$1)/$S$2+$O$3*(T79-$T$1)/$T$2+$P$3*(U79-$U$1)/$U$2)/(SUM($L$3:$P$3))</f>
        <v>0.32966776148654137</v>
      </c>
      <c r="AM79">
        <f>IF(AVERAGE(AG79:AH79)&gt;9,1,0)+IF(AVERAGE(AG79:AH79)&gt;7,1,0)+IF(AG79&gt;7,1,0)+IF(AH79&gt;7,1,0)+IF(AI79&gt;8,1,0)+IF(AI79&gt;6,1,0)</f>
        <v>6</v>
      </c>
      <c r="AN79" s="6">
        <f>MIN(2,IF(OR(Y79="-",X79&lt;5),0,1+IF(Y79&gt;7,1+IF(X79&gt;7,0.25,0),IF(Y79&gt;4,0.5+IF(X79&gt;7,0.25,0),0+IF(X79&gt;7,0.25))))+IF(Z79="-",0,IF(Z79&gt;9,0.5,IF(Z79&gt;7,0.25,0)))+IF(AA79="-",0,IF(AA79&gt;7,1.1,IF(AA79&gt;4,0.6,0)))+IF(OR(AB79="-",V79&lt;5),0,IF(AB79&gt;7,1+IF(V79&gt;7,0.25,0),IF(AB79&gt;4,0.5+IF(V79&gt;7,0.25,0),0)))+IF(AC79="-",0,IF(AC79&gt;7,1.5,IF(AC79&gt;4,1,0)))+IF(AD79="-",0,IF(AD79&gt;9,0.5,IF(AD79&gt;7,0.25,0)))+IF(AE79="-",0,IF(AE79&gt;7,1.25,IF(AE79&gt;4,0.75,0)))+IF(OR(AF79="-",W79&lt;4),0,IF(AF79&gt;7,1+IF(W79&gt;7,0.15,0),IF(AF79&gt;4,0.5+IF(W79&gt;7,0.15,0),0))))</f>
        <v>0</v>
      </c>
      <c r="AO79" s="9">
        <f>($AK$3*AK79+$AL$3*AL79+$AM$3*AM79+$AN$3*AN79)+$J$3*VLOOKUP(J79,COND!$A$2:$C$7,2,FALSE)+$K$3*VLOOKUP(K79,COND!$A$2:$C$7,3,FALSE)</f>
        <v>14.64757880285574</v>
      </c>
      <c r="AP79" s="37">
        <f>STANDARDIZE(AO79,AVERAGE($AO$5:$AO$1295),STDEVP($AO$5:$AO$1295))</f>
        <v>0.55306471110021826</v>
      </c>
      <c r="AQ79" t="str">
        <f>IF(AND(Y79&lt;&gt;"-",X79&gt;1),"C",IF(AA79=MAX(AA79:AC79),"2B",IF(AC79=MAX(AA79:AC79),"SS",IF(OR(AB79=MAX(Z79:AC79),AND(AB79&lt;&gt;"-",AB79&gt;4,V79&gt;5)),"3B",IF(AE79=MAX(AD79:AF79),"CF",IF(AND(AF79=MAX(AD79,AF79),AND(W79&gt;5,AD79&lt;&gt;"-")),"RF",IF(AD79&lt;&gt;"-","LF",IF(Z79&lt;&gt;"-","1B","DH"))))))))</f>
        <v>CF</v>
      </c>
      <c r="AR79" t="s">
        <v>35</v>
      </c>
      <c r="AT79" t="s">
        <v>157</v>
      </c>
      <c r="AU79" t="str">
        <f>IF(AND($Q79&gt;=6,AVERAGE($S79:$T79)&gt;=6),"Likely",IF(OR($Q79&gt;6,AND($Q79=6,AVERAGE($S79:$T79)&gt;=3),AND($Q79&gt;=5,AVERAGE($S79:$T79)&gt;=5),AVERAGE($Q79,$S79:$T79)&gt;5),"Possible","Unlikely"))</f>
        <v>Possible</v>
      </c>
      <c r="AW79" t="str">
        <f>IF(VLOOKUP($B79,'Draft List'!$D$4:$AB$2598,AW$3,FALSE)&lt;&gt;0,VLOOKUP($B79,'Draft List'!$D$4:$AB$2598,AW$3,FALSE),"")</f>
        <v/>
      </c>
      <c r="AX79" t="str">
        <f>IF(VLOOKUP($B79,'Draft List'!$D$4:$AB$2598,AX$3,FALSE)&lt;&gt;0,VLOOKUP($B79,'Draft List'!$D$4:$AB$2598,AX$3,FALSE),"")</f>
        <v/>
      </c>
      <c r="AY79" t="str">
        <f>IF(VLOOKUP($B79,'Draft List'!$D$4:$AB$2598,AY$3,FALSE)&lt;&gt;0,VLOOKUP($B79,'Draft List'!$D$4:$AB$2598,AY$3,FALSE),"")</f>
        <v/>
      </c>
    </row>
    <row r="80" spans="1:51">
      <c r="A80" t="str">
        <f>IF(C80="C","C-",C80)&amp;D80&amp;E80</f>
        <v>2BAl Fuller21</v>
      </c>
      <c r="B80">
        <f>VLOOKUP($A80,draft_listing_batters_stats!$A$1:$B$1324,2,FALSE)</f>
        <v>2713</v>
      </c>
      <c r="C80" s="1" t="s">
        <v>2069</v>
      </c>
      <c r="D80" s="1" t="s">
        <v>1498</v>
      </c>
      <c r="E80" s="1">
        <v>21</v>
      </c>
      <c r="F80" s="1" t="s">
        <v>2022</v>
      </c>
      <c r="G80" s="1" t="s">
        <v>2022</v>
      </c>
      <c r="H80" s="1" t="s">
        <v>2033</v>
      </c>
      <c r="I80" s="1" t="s">
        <v>2033</v>
      </c>
      <c r="J80" s="1" t="s">
        <v>2025</v>
      </c>
      <c r="K80" s="1" t="s">
        <v>2025</v>
      </c>
      <c r="L80" s="1">
        <v>3</v>
      </c>
      <c r="M80" s="1">
        <v>3</v>
      </c>
      <c r="N80" s="1">
        <v>2</v>
      </c>
      <c r="O80" s="1">
        <v>2</v>
      </c>
      <c r="P80" s="1">
        <v>2</v>
      </c>
      <c r="Q80" s="1">
        <v>5</v>
      </c>
      <c r="R80" s="1">
        <v>5</v>
      </c>
      <c r="S80" s="1">
        <v>6</v>
      </c>
      <c r="T80" s="1">
        <v>5</v>
      </c>
      <c r="U80" s="1">
        <v>5</v>
      </c>
      <c r="V80" s="1">
        <v>9</v>
      </c>
      <c r="W80" s="1">
        <v>2</v>
      </c>
      <c r="X80" s="1">
        <v>1</v>
      </c>
      <c r="Y80" s="1" t="s">
        <v>2027</v>
      </c>
      <c r="Z80" s="1">
        <v>4</v>
      </c>
      <c r="AA80" s="1">
        <v>5</v>
      </c>
      <c r="AB80" s="1">
        <v>4</v>
      </c>
      <c r="AC80" s="1" t="s">
        <v>2027</v>
      </c>
      <c r="AD80" s="1" t="s">
        <v>2027</v>
      </c>
      <c r="AE80" s="1" t="s">
        <v>2027</v>
      </c>
      <c r="AF80" s="1" t="s">
        <v>2027</v>
      </c>
      <c r="AG80" s="1">
        <v>4</v>
      </c>
      <c r="AH80" s="1">
        <v>6</v>
      </c>
      <c r="AI80" s="1">
        <v>2</v>
      </c>
      <c r="AJ80" s="52" t="s">
        <v>2029</v>
      </c>
      <c r="AK80" s="9">
        <f>($L$3*(L80-$Q$1)/$Q$2+$M$3*(M80-$R$1)/$R$2+$N$3*(N80-$S$1)/$S$2+$O$3*(O80-$T$1)/$T$2+$P$3*(P80-$U$1)/$U$2)/(SUM($L$3:$P$3))</f>
        <v>-1.1243245343342496</v>
      </c>
      <c r="AL80" s="9">
        <f>($L$3*(Q80-$Q$1)/$Q$2+$M$3*(R80-$R$1)/$R$2+$N$3*(S80-$S$1)/$S$2+$O$3*(T80-$T$1)/$T$2+$P$3*(U80-$U$1)/$U$2)/(SUM($L$3:$P$3))</f>
        <v>0.34433054288410631</v>
      </c>
      <c r="AM80">
        <f>IF(AVERAGE(AG80:AH80)&gt;9,1,0)+IF(AVERAGE(AG80:AH80)&gt;7,1,0)+IF(AG80&gt;7,1,0)+IF(AH80&gt;7,1,0)+IF(AI80&gt;8,1,0)+IF(AI80&gt;6,1,0)</f>
        <v>0</v>
      </c>
      <c r="AN80" s="6">
        <f>MIN(2,IF(OR(Y80="-",X80&lt;5),0,1+IF(Y80&gt;7,1+IF(X80&gt;7,0.25,0),IF(Y80&gt;4,0.5+IF(X80&gt;7,0.25,0),0+IF(X80&gt;7,0.25))))+IF(Z80="-",0,IF(Z80&gt;9,0.5,IF(Z80&gt;7,0.25,0)))+IF(AA80="-",0,IF(AA80&gt;7,1.1,IF(AA80&gt;4,0.6,0)))+IF(OR(AB80="-",V80&lt;5),0,IF(AB80&gt;7,1+IF(V80&gt;7,0.25,0),IF(AB80&gt;4,0.5+IF(V80&gt;7,0.25,0),0)))+IF(AC80="-",0,IF(AC80&gt;7,1.5,IF(AC80&gt;4,1,0)))+IF(AD80="-",0,IF(AD80&gt;9,0.5,IF(AD80&gt;7,0.25,0)))+IF(AE80="-",0,IF(AE80&gt;7,1.25,IF(AE80&gt;4,0.75,0)))+IF(OR(AF80="-",W80&lt;4),0,IF(AF80&gt;7,1+IF(W80&gt;7,0.15,0),IF(AF80&gt;4,0.5+IF(W80&gt;7,0.15,0),0))))</f>
        <v>0.6</v>
      </c>
      <c r="AO80" s="9">
        <f>($AK$3*AK80+$AL$3*AL80+$AM$3*AM80+$AN$3*AN80)+$J$3*VLOOKUP(J80,COND!$A$2:$C$7,2,FALSE)+$K$3*VLOOKUP(K80,COND!$A$2:$C$7,3,FALSE)</f>
        <v>14.61953406117585</v>
      </c>
      <c r="AP80" s="37">
        <f>STANDARDIZE(AO80,AVERAGE($AO$5:$AO$1295),STDEVP($AO$5:$AO$1295))</f>
        <v>0.5491686331417418</v>
      </c>
      <c r="AQ80" t="str">
        <f>IF(AND(Y80&lt;&gt;"-",X80&gt;1),"C",IF(AA80=MAX(AA80:AC80),"2B",IF(AC80=MAX(AA80:AC80),"SS",IF(OR(AB80=MAX(Z80:AC80),AND(AB80&lt;&gt;"-",AB80&gt;4,V80&gt;5)),"3B",IF(AE80=MAX(AD80:AF80),"CF",IF(AND(AF80=MAX(AD80,AF80),AND(W80&gt;5,AD80&lt;&gt;"-")),"RF",IF(AD80&lt;&gt;"-","LF",IF(Z80&lt;&gt;"-","1B","DH"))))))))</f>
        <v>2B</v>
      </c>
      <c r="AR80" t="s">
        <v>35</v>
      </c>
      <c r="AT80" t="s">
        <v>156</v>
      </c>
      <c r="AU80" t="str">
        <f>IF(AND($Q80&gt;=6,AVERAGE($S80:$T80)&gt;=6),"Likely",IF(OR($Q80&gt;6,AND($Q80=6,AVERAGE($S80:$T80)&gt;=3),AND($Q80&gt;=5,AVERAGE($S80:$T80)&gt;=5),AVERAGE($Q80,$S80:$T80)&gt;5),"Possible","Unlikely"))</f>
        <v>Possible</v>
      </c>
      <c r="AW80" t="str">
        <f>IF(VLOOKUP($B80,'Draft List'!$D$4:$AB$2598,AW$3,FALSE)&lt;&gt;0,VLOOKUP($B80,'Draft List'!$D$4:$AB$2598,AW$3,FALSE),"")</f>
        <v/>
      </c>
      <c r="AX80" t="str">
        <f>IF(VLOOKUP($B80,'Draft List'!$D$4:$AB$2598,AX$3,FALSE)&lt;&gt;0,VLOOKUP($B80,'Draft List'!$D$4:$AB$2598,AX$3,FALSE),"")</f>
        <v/>
      </c>
      <c r="AY80" t="str">
        <f>IF(VLOOKUP($B80,'Draft List'!$D$4:$AB$2598,AY$3,FALSE)&lt;&gt;0,VLOOKUP($B80,'Draft List'!$D$4:$AB$2598,AY$3,FALSE),"")</f>
        <v/>
      </c>
    </row>
    <row r="81" spans="1:51">
      <c r="A81" t="str">
        <f>IF(C81="C","C-",C81)&amp;D81&amp;E81</f>
        <v>1BPedro Ortíz22</v>
      </c>
      <c r="B81" t="e">
        <f>VLOOKUP($A81,draft_listing_batters_stats!$A$1:$B$1324,2,FALSE)</f>
        <v>#N/A</v>
      </c>
      <c r="C81" s="1" t="s">
        <v>2092</v>
      </c>
      <c r="D81" s="1" t="s">
        <v>2100</v>
      </c>
      <c r="E81" s="1">
        <v>22</v>
      </c>
      <c r="F81" s="1" t="s">
        <v>2038</v>
      </c>
      <c r="G81" s="1" t="s">
        <v>2022</v>
      </c>
      <c r="H81" s="1" t="s">
        <v>2033</v>
      </c>
      <c r="I81" s="1" t="s">
        <v>2033</v>
      </c>
      <c r="J81" s="1" t="s">
        <v>2036</v>
      </c>
      <c r="K81" s="1" t="s">
        <v>2025</v>
      </c>
      <c r="L81" s="1">
        <v>4</v>
      </c>
      <c r="M81" s="1">
        <v>5</v>
      </c>
      <c r="N81" s="1">
        <v>1</v>
      </c>
      <c r="O81" s="1">
        <v>5</v>
      </c>
      <c r="P81" s="1">
        <v>3</v>
      </c>
      <c r="Q81" s="1">
        <v>5</v>
      </c>
      <c r="R81" s="1">
        <v>7</v>
      </c>
      <c r="S81" s="1">
        <v>6</v>
      </c>
      <c r="T81" s="1">
        <v>5</v>
      </c>
      <c r="U81" s="1">
        <v>3</v>
      </c>
      <c r="V81" s="1">
        <v>4</v>
      </c>
      <c r="W81" s="1">
        <v>3</v>
      </c>
      <c r="X81" s="1">
        <v>1</v>
      </c>
      <c r="Y81" s="1" t="s">
        <v>2027</v>
      </c>
      <c r="Z81" s="1">
        <v>4</v>
      </c>
      <c r="AA81" s="1" t="s">
        <v>2027</v>
      </c>
      <c r="AB81" s="1" t="s">
        <v>2027</v>
      </c>
      <c r="AC81" s="1" t="s">
        <v>2027</v>
      </c>
      <c r="AD81" s="1" t="s">
        <v>2027</v>
      </c>
      <c r="AE81" s="1" t="s">
        <v>2027</v>
      </c>
      <c r="AF81" s="1" t="s">
        <v>2027</v>
      </c>
      <c r="AG81" s="1">
        <v>2</v>
      </c>
      <c r="AH81" s="1">
        <v>2</v>
      </c>
      <c r="AI81" s="1">
        <v>2</v>
      </c>
      <c r="AJ81" s="52">
        <v>2000000</v>
      </c>
      <c r="AK81" s="9">
        <f>($L$3*(L81-$Q$1)/$Q$2+$M$3*(M81-$R$1)/$R$2+$N$3*(N81-$S$1)/$S$2+$O$3*(O81-$T$1)/$T$2+$P$3*(P81-$U$1)/$U$2)/(SUM($L$3:$P$3))</f>
        <v>-0.47356544307224274</v>
      </c>
      <c r="AL81" s="9">
        <f>($L$3*(Q81-$Q$1)/$Q$2+$M$3*(R81-$R$1)/$R$2+$N$3*(S81-$S$1)/$S$2+$O$3*(T81-$T$1)/$T$2+$P$3*(U81-$U$1)/$U$2)/(SUM($L$3:$P$3))</f>
        <v>0.36641762248734644</v>
      </c>
      <c r="AM81">
        <f>IF(AVERAGE(AG81:AH81)&gt;9,1,0)+IF(AVERAGE(AG81:AH81)&gt;7,1,0)+IF(AG81&gt;7,1,0)+IF(AH81&gt;7,1,0)+IF(AI81&gt;8,1,0)+IF(AI81&gt;6,1,0)</f>
        <v>0</v>
      </c>
      <c r="AN81" s="6">
        <f>MIN(2,IF(OR(Y81="-",X81&lt;5),0,1+IF(Y81&gt;7,1+IF(X81&gt;7,0.25,0),IF(Y81&gt;4,0.5+IF(X81&gt;7,0.25,0),0+IF(X81&gt;7,0.25))))+IF(Z81="-",0,IF(Z81&gt;9,0.5,IF(Z81&gt;7,0.25,0)))+IF(AA81="-",0,IF(AA81&gt;7,1.1,IF(AA81&gt;4,0.6,0)))+IF(OR(AB81="-",V81&lt;5),0,IF(AB81&gt;7,1+IF(V81&gt;7,0.25,0),IF(AB81&gt;4,0.5+IF(V81&gt;7,0.25,0),0)))+IF(AC81="-",0,IF(AC81&gt;7,1.5,IF(AC81&gt;4,1,0)))+IF(AD81="-",0,IF(AD81&gt;9,0.5,IF(AD81&gt;7,0.25,0)))+IF(AE81="-",0,IF(AE81&gt;7,1.25,IF(AE81&gt;4,0.75,0)))+IF(OR(AF81="-",W81&lt;4),0,IF(AF81&gt;7,1+IF(W81&gt;7,0.15,0),IF(AF81&gt;4,0.5+IF(W81&gt;7,0.15,0),0))))</f>
        <v>0</v>
      </c>
      <c r="AO81" s="9">
        <f>($AK$3*AK81+$AL$3*AL81+$AM$3*AM81+$AN$3*AN81)+$J$3*VLOOKUP(J81,COND!$A$2:$C$7,2,FALSE)+$K$3*VLOOKUP(K81,COND!$A$2:$C$7,3,FALSE)</f>
        <v>14.599654925540934</v>
      </c>
      <c r="AP81" s="37">
        <f>STANDARDIZE(AO81,AVERAGE($AO$5:$AO$1295),STDEVP($AO$5:$AO$1295))</f>
        <v>0.54640695100307912</v>
      </c>
      <c r="AQ81" t="str">
        <f>IF(AND(Y81&lt;&gt;"-",X81&gt;1),"C",IF(AA81=MAX(AA81:AC81),"2B",IF(AC81=MAX(AA81:AC81),"SS",IF(OR(AB81=MAX(Z81:AC81),AND(AB81&lt;&gt;"-",AB81&gt;4,V81&gt;5)),"3B",IF(AE81=MAX(AD81:AF81),"CF",IF(AND(AF81=MAX(AD81,AF81),AND(W81&gt;5,AD81&lt;&gt;"-")),"RF",IF(AD81&lt;&gt;"-","LF",IF(Z81&lt;&gt;"-","1B","DH"))))))))</f>
        <v>1B</v>
      </c>
      <c r="AR81" t="s">
        <v>35</v>
      </c>
      <c r="AT81" t="s">
        <v>155</v>
      </c>
      <c r="AU81" t="str">
        <f>IF(AND($Q81&gt;=6,AVERAGE($S81:$T81)&gt;=6),"Likely",IF(OR($Q81&gt;6,AND($Q81=6,AVERAGE($S81:$T81)&gt;=3),AND($Q81&gt;=5,AVERAGE($S81:$T81)&gt;=5),AVERAGE($Q81,$S81:$T81)&gt;5),"Possible","Unlikely"))</f>
        <v>Possible</v>
      </c>
      <c r="AW81" t="e">
        <f>IF(VLOOKUP($B81,'Draft List'!$D$4:$AB$2598,AW$3,FALSE)&lt;&gt;0,VLOOKUP($B81,'Draft List'!$D$4:$AB$2598,AW$3,FALSE),"")</f>
        <v>#N/A</v>
      </c>
      <c r="AX81" t="e">
        <f>IF(VLOOKUP($B81,'Draft List'!$D$4:$AB$2598,AX$3,FALSE)&lt;&gt;0,VLOOKUP($B81,'Draft List'!$D$4:$AB$2598,AX$3,FALSE),"")</f>
        <v>#N/A</v>
      </c>
      <c r="AY81" t="e">
        <f>IF(VLOOKUP($B81,'Draft List'!$D$4:$AB$2598,AY$3,FALSE)&lt;&gt;0,VLOOKUP($B81,'Draft List'!$D$4:$AB$2598,AY$3,FALSE),"")</f>
        <v>#N/A</v>
      </c>
    </row>
    <row r="82" spans="1:51">
      <c r="A82" t="str">
        <f>IF(C82="C","C-",C82)&amp;D82&amp;E82</f>
        <v>1BHéctor Jiménez21</v>
      </c>
      <c r="B82" t="e">
        <f>VLOOKUP($A82,draft_listing_batters_stats!$A$1:$B$1324,2,FALSE)</f>
        <v>#N/A</v>
      </c>
      <c r="C82" s="1" t="s">
        <v>2092</v>
      </c>
      <c r="D82" s="1" t="s">
        <v>1324</v>
      </c>
      <c r="E82" s="1">
        <v>21</v>
      </c>
      <c r="F82" s="1" t="s">
        <v>2022</v>
      </c>
      <c r="G82" s="1" t="s">
        <v>2022</v>
      </c>
      <c r="H82" s="1" t="s">
        <v>2033</v>
      </c>
      <c r="I82" s="1" t="s">
        <v>2033</v>
      </c>
      <c r="J82" s="1" t="s">
        <v>2026</v>
      </c>
      <c r="K82" s="1" t="s">
        <v>2036</v>
      </c>
      <c r="L82" s="1">
        <v>3</v>
      </c>
      <c r="M82" s="1">
        <v>3</v>
      </c>
      <c r="N82" s="1">
        <v>2</v>
      </c>
      <c r="O82" s="1">
        <v>2</v>
      </c>
      <c r="P82" s="1">
        <v>2</v>
      </c>
      <c r="Q82" s="1">
        <v>5</v>
      </c>
      <c r="R82" s="1">
        <v>6</v>
      </c>
      <c r="S82" s="1">
        <v>4</v>
      </c>
      <c r="T82" s="1">
        <v>5</v>
      </c>
      <c r="U82" s="1">
        <v>5</v>
      </c>
      <c r="V82" s="1">
        <v>6</v>
      </c>
      <c r="W82" s="1">
        <v>2</v>
      </c>
      <c r="X82" s="1">
        <v>1</v>
      </c>
      <c r="Y82" s="1" t="s">
        <v>2027</v>
      </c>
      <c r="Z82" s="1">
        <v>8</v>
      </c>
      <c r="AA82" s="1" t="s">
        <v>2027</v>
      </c>
      <c r="AB82" s="1">
        <v>5</v>
      </c>
      <c r="AC82" s="1" t="s">
        <v>2027</v>
      </c>
      <c r="AD82" s="1" t="s">
        <v>2027</v>
      </c>
      <c r="AE82" s="1" t="s">
        <v>2027</v>
      </c>
      <c r="AF82" s="1" t="s">
        <v>2027</v>
      </c>
      <c r="AG82" s="1">
        <v>7</v>
      </c>
      <c r="AH82" s="1">
        <v>8</v>
      </c>
      <c r="AI82" s="1">
        <v>7</v>
      </c>
      <c r="AJ82" s="52" t="s">
        <v>2029</v>
      </c>
      <c r="AK82" s="9">
        <f>($L$3*(L82-$Q$1)/$Q$2+$M$3*(M82-$R$1)/$R$2+$N$3*(N82-$S$1)/$S$2+$O$3*(O82-$T$1)/$T$2+$P$3*(P82-$U$1)/$U$2)/(SUM($L$3:$P$3))</f>
        <v>-1.1243245343342496</v>
      </c>
      <c r="AL82" s="9">
        <f>($L$3*(Q82-$Q$1)/$Q$2+$M$3*(R82-$R$1)/$R$2+$N$3*(S82-$S$1)/$S$2+$O$3*(T82-$T$1)/$T$2+$P$3*(U82-$U$1)/$U$2)/(SUM($L$3:$P$3))</f>
        <v>0.2292674344550068</v>
      </c>
      <c r="AM82">
        <f>IF(AVERAGE(AG82:AH82)&gt;9,1,0)+IF(AVERAGE(AG82:AH82)&gt;7,1,0)+IF(AG82&gt;7,1,0)+IF(AH82&gt;7,1,0)+IF(AI82&gt;8,1,0)+IF(AI82&gt;6,1,0)</f>
        <v>3</v>
      </c>
      <c r="AN82" s="6">
        <f>MIN(2,IF(OR(Y82="-",X82&lt;5),0,1+IF(Y82&gt;7,1+IF(X82&gt;7,0.25,0),IF(Y82&gt;4,0.5+IF(X82&gt;7,0.25,0),0+IF(X82&gt;7,0.25))))+IF(Z82="-",0,IF(Z82&gt;9,0.5,IF(Z82&gt;7,0.25,0)))+IF(AA82="-",0,IF(AA82&gt;7,1.1,IF(AA82&gt;4,0.6,0)))+IF(OR(AB82="-",V82&lt;5),0,IF(AB82&gt;7,1+IF(V82&gt;7,0.25,0),IF(AB82&gt;4,0.5+IF(V82&gt;7,0.25,0),0)))+IF(AC82="-",0,IF(AC82&gt;7,1.5,IF(AC82&gt;4,1,0)))+IF(AD82="-",0,IF(AD82&gt;9,0.5,IF(AD82&gt;7,0.25,0)))+IF(AE82="-",0,IF(AE82&gt;7,1.25,IF(AE82&gt;4,0.75,0)))+IF(OR(AF82="-",W82&lt;4),0,IF(AF82&gt;7,1+IF(W82&gt;7,0.15,0),IF(AF82&gt;4,0.5+IF(W82&gt;7,0.15,0),0))))</f>
        <v>0.75</v>
      </c>
      <c r="AO82" s="9">
        <f>($AK$3*AK82+$AL$3*AL82+$AM$3*AM82+$AN$3*AN82)+$J$3*VLOOKUP(J82,COND!$A$2:$C$7,2,FALSE)+$K$3*VLOOKUP(K82,COND!$A$2:$C$7,3,FALSE)</f>
        <v>14.038776760026657</v>
      </c>
      <c r="AP82" s="37">
        <f>STANDARDIZE(AO82,AVERAGE($AO$5:$AO$1295),STDEVP($AO$5:$AO$1295))</f>
        <v>0.46848770742459978</v>
      </c>
      <c r="AQ82" t="str">
        <f>IF(AND(Y82&lt;&gt;"-",X82&gt;1),"C",IF(AA82=MAX(AA82:AC82),"2B",IF(AC82=MAX(AA82:AC82),"SS",IF(OR(AB82=MAX(Z82:AC82),AND(AB82&lt;&gt;"-",AB82&gt;4,V82&gt;5)),"3B",IF(AE82=MAX(AD82:AF82),"CF",IF(AND(AF82=MAX(AD82,AF82),AND(W82&gt;5,AD82&lt;&gt;"-")),"RF",IF(AD82&lt;&gt;"-","LF",IF(Z82&lt;&gt;"-","1B","DH"))))))))</f>
        <v>3B</v>
      </c>
      <c r="AR82" t="s">
        <v>35</v>
      </c>
      <c r="AT82" t="s">
        <v>155</v>
      </c>
      <c r="AU82" t="str">
        <f>IF(AND($Q82&gt;=6,AVERAGE($S82:$T82)&gt;=6),"Likely",IF(OR($Q82&gt;6,AND($Q82=6,AVERAGE($S82:$T82)&gt;=3),AND($Q82&gt;=5,AVERAGE($S82:$T82)&gt;=5),AVERAGE($Q82,$S82:$T82)&gt;5),"Possible","Unlikely"))</f>
        <v>Unlikely</v>
      </c>
      <c r="AW82" t="e">
        <f>IF(VLOOKUP($B82,'Draft List'!$D$4:$AB$2598,AW$3,FALSE)&lt;&gt;0,VLOOKUP($B82,'Draft List'!$D$4:$AB$2598,AW$3,FALSE),"")</f>
        <v>#N/A</v>
      </c>
      <c r="AX82" t="e">
        <f>IF(VLOOKUP($B82,'Draft List'!$D$4:$AB$2598,AX$3,FALSE)&lt;&gt;0,VLOOKUP($B82,'Draft List'!$D$4:$AB$2598,AX$3,FALSE),"")</f>
        <v>#N/A</v>
      </c>
      <c r="AY82" t="e">
        <f>IF(VLOOKUP($B82,'Draft List'!$D$4:$AB$2598,AY$3,FALSE)&lt;&gt;0,VLOOKUP($B82,'Draft List'!$D$4:$AB$2598,AY$3,FALSE),"")</f>
        <v>#N/A</v>
      </c>
    </row>
    <row r="83" spans="1:51">
      <c r="A83" t="str">
        <f>IF(C83="C","C-",C83)&amp;D83&amp;E83</f>
        <v>CFRafael Aranda21</v>
      </c>
      <c r="B83">
        <f>VLOOKUP($A83,draft_listing_batters_stats!$A$1:$B$1324,2,FALSE)</f>
        <v>3510</v>
      </c>
      <c r="C83" s="1" t="s">
        <v>2079</v>
      </c>
      <c r="D83" s="1" t="s">
        <v>1446</v>
      </c>
      <c r="E83" s="1">
        <v>21</v>
      </c>
      <c r="F83" s="1" t="s">
        <v>2038</v>
      </c>
      <c r="G83" s="1" t="s">
        <v>2022</v>
      </c>
      <c r="H83" s="1" t="s">
        <v>2033</v>
      </c>
      <c r="I83" s="1" t="s">
        <v>2033</v>
      </c>
      <c r="J83" s="1" t="s">
        <v>2026</v>
      </c>
      <c r="K83" s="1" t="s">
        <v>2040</v>
      </c>
      <c r="L83" s="1">
        <v>3</v>
      </c>
      <c r="M83" s="1">
        <v>4</v>
      </c>
      <c r="N83" s="1">
        <v>2</v>
      </c>
      <c r="O83" s="1">
        <v>4</v>
      </c>
      <c r="P83" s="1">
        <v>3</v>
      </c>
      <c r="Q83" s="1">
        <v>5</v>
      </c>
      <c r="R83" s="1">
        <v>6</v>
      </c>
      <c r="S83" s="1">
        <v>6</v>
      </c>
      <c r="T83" s="1">
        <v>4</v>
      </c>
      <c r="U83" s="1">
        <v>5</v>
      </c>
      <c r="V83" s="1">
        <v>1</v>
      </c>
      <c r="W83" s="1">
        <v>5</v>
      </c>
      <c r="X83" s="1">
        <v>1</v>
      </c>
      <c r="Y83" s="1" t="s">
        <v>2027</v>
      </c>
      <c r="Z83" s="1" t="s">
        <v>2027</v>
      </c>
      <c r="AA83" s="1" t="s">
        <v>2027</v>
      </c>
      <c r="AB83" s="1" t="s">
        <v>2027</v>
      </c>
      <c r="AC83" s="1" t="s">
        <v>2027</v>
      </c>
      <c r="AD83" s="1">
        <v>3</v>
      </c>
      <c r="AE83" s="1">
        <v>5</v>
      </c>
      <c r="AF83" s="1">
        <v>3</v>
      </c>
      <c r="AG83" s="1">
        <v>8</v>
      </c>
      <c r="AH83" s="1">
        <v>4</v>
      </c>
      <c r="AI83" s="1">
        <v>3</v>
      </c>
      <c r="AJ83" s="52" t="s">
        <v>2029</v>
      </c>
      <c r="AK83" s="9">
        <f>($L$3*(L83-$Q$1)/$Q$2+$M$3*(M83-$R$1)/$R$2+$N$3*(N83-$S$1)/$S$2+$O$3*(O83-$T$1)/$T$2+$P$3*(P83-$U$1)/$U$2)/(SUM($L$3:$P$3))</f>
        <v>-0.85382921487930052</v>
      </c>
      <c r="AL83" s="9">
        <f>($L$3*(Q83-$Q$1)/$Q$2+$M$3*(R83-$R$1)/$R$2+$N$3*(S83-$S$1)/$S$2+$O$3*(T83-$T$1)/$T$2+$P$3*(U83-$U$1)/$U$2)/(SUM($L$3:$P$3))</f>
        <v>0.30568087249322878</v>
      </c>
      <c r="AM83">
        <f>IF(AVERAGE(AG83:AH83)&gt;9,1,0)+IF(AVERAGE(AG83:AH83)&gt;7,1,0)+IF(AG83&gt;7,1,0)+IF(AH83&gt;7,1,0)+IF(AI83&gt;8,1,0)+IF(AI83&gt;6,1,0)</f>
        <v>1</v>
      </c>
      <c r="AN83" s="6">
        <f>MIN(2,IF(OR(Y83="-",X83&lt;5),0,1+IF(Y83&gt;7,1+IF(X83&gt;7,0.25,0),IF(Y83&gt;4,0.5+IF(X83&gt;7,0.25,0),0+IF(X83&gt;7,0.25))))+IF(Z83="-",0,IF(Z83&gt;9,0.5,IF(Z83&gt;7,0.25,0)))+IF(AA83="-",0,IF(AA83&gt;7,1.1,IF(AA83&gt;4,0.6,0)))+IF(OR(AB83="-",V83&lt;5),0,IF(AB83&gt;7,1+IF(V83&gt;7,0.25,0),IF(AB83&gt;4,0.5+IF(V83&gt;7,0.25,0),0)))+IF(AC83="-",0,IF(AC83&gt;7,1.5,IF(AC83&gt;4,1,0)))+IF(AD83="-",0,IF(AD83&gt;9,0.5,IF(AD83&gt;7,0.25,0)))+IF(AE83="-",0,IF(AE83&gt;7,1.25,IF(AE83&gt;4,0.75,0)))+IF(OR(AF83="-",W83&lt;4),0,IF(AF83&gt;7,1+IF(W83&gt;7,0.15,0),IF(AF83&gt;4,0.5+IF(W83&gt;7,0.15,0),0))))</f>
        <v>0.75</v>
      </c>
      <c r="AO83" s="9">
        <f>($AK$3*AK83+$AL$3*AL83+$AM$3*AM83+$AN$3*AN83)+$J$3*VLOOKUP(J83,COND!$A$2:$C$7,2,FALSE)+$K$3*VLOOKUP(K83,COND!$A$2:$C$7,3,FALSE)</f>
        <v>13.899454215097482</v>
      </c>
      <c r="AP83" s="37">
        <f>STANDARDIZE(AO83,AVERAGE($AO$5:$AO$1295),STDEVP($AO$5:$AO$1295))</f>
        <v>0.44913251055335746</v>
      </c>
      <c r="AQ83" t="str">
        <f>IF(AND(Y83&lt;&gt;"-",X83&gt;1),"C",IF(AA83=MAX(AA83:AC83),"2B",IF(AC83=MAX(AA83:AC83),"SS",IF(OR(AB83=MAX(Z83:AC83),AND(AB83&lt;&gt;"-",AB83&gt;4,V83&gt;5)),"3B",IF(AE83=MAX(AD83:AF83),"CF",IF(AND(AF83=MAX(AD83,AF83),AND(W83&gt;5,AD83&lt;&gt;"-")),"RF",IF(AD83&lt;&gt;"-","LF",IF(Z83&lt;&gt;"-","1B","DH"))))))))</f>
        <v>CF</v>
      </c>
      <c r="AR83" t="s">
        <v>35</v>
      </c>
      <c r="AT83" t="s">
        <v>69</v>
      </c>
      <c r="AU83" t="str">
        <f>IF(AND($Q83&gt;=6,AVERAGE($S83:$T83)&gt;=6),"Likely",IF(OR($Q83&gt;6,AND($Q83=6,AVERAGE($S83:$T83)&gt;=3),AND($Q83&gt;=5,AVERAGE($S83:$T83)&gt;=5),AVERAGE($Q83,$S83:$T83)&gt;5),"Possible","Unlikely"))</f>
        <v>Possible</v>
      </c>
      <c r="AW83" t="str">
        <f>IF(VLOOKUP($B83,'Draft List'!$D$4:$AB$2598,AW$3,FALSE)&lt;&gt;0,VLOOKUP($B83,'Draft List'!$D$4:$AB$2598,AW$3,FALSE),"")</f>
        <v/>
      </c>
      <c r="AX83" t="str">
        <f>IF(VLOOKUP($B83,'Draft List'!$D$4:$AB$2598,AX$3,FALSE)&lt;&gt;0,VLOOKUP($B83,'Draft List'!$D$4:$AB$2598,AX$3,FALSE),"")</f>
        <v/>
      </c>
      <c r="AY83" t="str">
        <f>IF(VLOOKUP($B83,'Draft List'!$D$4:$AB$2598,AY$3,FALSE)&lt;&gt;0,VLOOKUP($B83,'Draft List'!$D$4:$AB$2598,AY$3,FALSE),"")</f>
        <v/>
      </c>
    </row>
    <row r="84" spans="1:51">
      <c r="A84" t="str">
        <f>IF(C84="C","C-",C84)&amp;D84&amp;E84</f>
        <v>1BSteve Boes18</v>
      </c>
      <c r="B84">
        <f>VLOOKUP($A84,draft_listing_batters_stats!$A$1:$B$1324,2,FALSE)</f>
        <v>13827</v>
      </c>
      <c r="C84" s="1" t="s">
        <v>2092</v>
      </c>
      <c r="D84" s="1" t="s">
        <v>1458</v>
      </c>
      <c r="E84" s="1">
        <v>18</v>
      </c>
      <c r="F84" s="1" t="s">
        <v>2049</v>
      </c>
      <c r="G84" s="1" t="s">
        <v>2022</v>
      </c>
      <c r="H84" s="1" t="s">
        <v>2033</v>
      </c>
      <c r="I84" s="1" t="s">
        <v>2033</v>
      </c>
      <c r="J84" s="1" t="s">
        <v>2025</v>
      </c>
      <c r="K84" s="1" t="s">
        <v>2036</v>
      </c>
      <c r="L84" s="1">
        <v>1</v>
      </c>
      <c r="M84" s="1">
        <v>1</v>
      </c>
      <c r="N84" s="1">
        <v>1</v>
      </c>
      <c r="O84" s="1">
        <v>1</v>
      </c>
      <c r="P84" s="1">
        <v>1</v>
      </c>
      <c r="Q84" s="1">
        <v>5</v>
      </c>
      <c r="R84" s="1">
        <v>7</v>
      </c>
      <c r="S84" s="1">
        <v>6</v>
      </c>
      <c r="T84" s="1">
        <v>4</v>
      </c>
      <c r="U84" s="1">
        <v>4</v>
      </c>
      <c r="V84" s="1">
        <v>3</v>
      </c>
      <c r="W84" s="1">
        <v>5</v>
      </c>
      <c r="X84" s="1">
        <v>1</v>
      </c>
      <c r="Y84" s="1" t="s">
        <v>2027</v>
      </c>
      <c r="Z84" s="1">
        <v>3</v>
      </c>
      <c r="AA84" s="1" t="s">
        <v>2027</v>
      </c>
      <c r="AB84" s="1" t="s">
        <v>2027</v>
      </c>
      <c r="AC84" s="1" t="s">
        <v>2027</v>
      </c>
      <c r="AD84" s="1" t="s">
        <v>2027</v>
      </c>
      <c r="AE84" s="1" t="s">
        <v>2027</v>
      </c>
      <c r="AF84" s="1" t="s">
        <v>2027</v>
      </c>
      <c r="AG84" s="1">
        <v>3</v>
      </c>
      <c r="AH84" s="1">
        <v>4</v>
      </c>
      <c r="AI84" s="1">
        <v>3</v>
      </c>
      <c r="AJ84" s="52" t="s">
        <v>2029</v>
      </c>
      <c r="AK84" s="9">
        <f>($L$3*(L84-$Q$1)/$Q$2+$M$3*(M84-$R$1)/$R$2+$N$3*(N84-$S$1)/$S$2+$O$3*(O84-$T$1)/$T$2+$P$3*(P84-$U$1)/$U$2)/(SUM($L$3:$P$3))</f>
        <v>-2.0843433498275723</v>
      </c>
      <c r="AL84" s="9">
        <f>($L$3*(Q84-$Q$1)/$Q$2+$M$3*(R84-$R$1)/$R$2+$N$3*(S84-$S$1)/$S$2+$O$3*(T84-$T$1)/$T$2+$P$3*(U84-$U$1)/$U$2)/(SUM($L$3:$P$3))</f>
        <v>0.31672441229484882</v>
      </c>
      <c r="AM84">
        <f>IF(AVERAGE(AG84:AH84)&gt;9,1,0)+IF(AVERAGE(AG84:AH84)&gt;7,1,0)+IF(AG84&gt;7,1,0)+IF(AH84&gt;7,1,0)+IF(AI84&gt;8,1,0)+IF(AI84&gt;6,1,0)</f>
        <v>0</v>
      </c>
      <c r="AN84" s="6">
        <f>MIN(2,IF(OR(Y84="-",X84&lt;5),0,1+IF(Y84&gt;7,1+IF(X84&gt;7,0.25,0),IF(Y84&gt;4,0.5+IF(X84&gt;7,0.25,0),0+IF(X84&gt;7,0.25))))+IF(Z84="-",0,IF(Z84&gt;9,0.5,IF(Z84&gt;7,0.25,0)))+IF(AA84="-",0,IF(AA84&gt;7,1.1,IF(AA84&gt;4,0.6,0)))+IF(OR(AB84="-",V84&lt;5),0,IF(AB84&gt;7,1+IF(V84&gt;7,0.25,0),IF(AB84&gt;4,0.5+IF(V84&gt;7,0.25,0),0)))+IF(AC84="-",0,IF(AC84&gt;7,1.5,IF(AC84&gt;4,1,0)))+IF(AD84="-",0,IF(AD84&gt;9,0.5,IF(AD84&gt;7,0.25,0)))+IF(AE84="-",0,IF(AE84&gt;7,1.25,IF(AE84&gt;4,0.75,0)))+IF(OR(AF84="-",W84&lt;4),0,IF(AF84&gt;7,1+IF(W84&gt;7,0.15,0),IF(AF84&gt;4,0.5+IF(W84&gt;7,0.15,0),0))))</f>
        <v>0</v>
      </c>
      <c r="AO84" s="9">
        <f>($AK$3*AK84+$AL$3*AL84+$AM$3*AM84+$AN$3*AN84)+$J$3*VLOOKUP(J84,COND!$A$2:$C$7,2,FALSE)+$K$3*VLOOKUP(K84,COND!$A$2:$C$7,3,FALSE)</f>
        <v>13.84225861255543</v>
      </c>
      <c r="AP84" s="37">
        <f>STANDARDIZE(AO84,AVERAGE($AO$5:$AO$1295),STDEVP($AO$5:$AO$1295))</f>
        <v>0.44118668851907361</v>
      </c>
      <c r="AQ84" t="str">
        <f>IF(AND(Y84&lt;&gt;"-",X84&gt;1),"C",IF(AA84=MAX(AA84:AC84),"2B",IF(AC84=MAX(AA84:AC84),"SS",IF(OR(AB84=MAX(Z84:AC84),AND(AB84&lt;&gt;"-",AB84&gt;4,V84&gt;5)),"3B",IF(AE84=MAX(AD84:AF84),"CF",IF(AND(AF84=MAX(AD84,AF84),AND(W84&gt;5,AD84&lt;&gt;"-")),"RF",IF(AD84&lt;&gt;"-","LF",IF(Z84&lt;&gt;"-","1B","DH"))))))))</f>
        <v>1B</v>
      </c>
      <c r="AR84" t="s">
        <v>35</v>
      </c>
      <c r="AT84" t="s">
        <v>155</v>
      </c>
      <c r="AU84" t="str">
        <f>IF(AND($Q84&gt;=6,AVERAGE($S84:$T84)&gt;=6),"Likely",IF(OR($Q84&gt;6,AND($Q84=6,AVERAGE($S84:$T84)&gt;=3),AND($Q84&gt;=5,AVERAGE($S84:$T84)&gt;=5),AVERAGE($Q84,$S84:$T84)&gt;5),"Possible","Unlikely"))</f>
        <v>Possible</v>
      </c>
      <c r="AW84" t="str">
        <f>IF(VLOOKUP($B84,'Draft List'!$D$4:$AB$2598,AW$3,FALSE)&lt;&gt;0,VLOOKUP($B84,'Draft List'!$D$4:$AB$2598,AW$3,FALSE),"")</f>
        <v/>
      </c>
      <c r="AX84" t="str">
        <f>IF(VLOOKUP($B84,'Draft List'!$D$4:$AB$2598,AX$3,FALSE)&lt;&gt;0,VLOOKUP($B84,'Draft List'!$D$4:$AB$2598,AX$3,FALSE),"")</f>
        <v/>
      </c>
      <c r="AY84" t="str">
        <f>IF(VLOOKUP($B84,'Draft List'!$D$4:$AB$2598,AY$3,FALSE)&lt;&gt;0,VLOOKUP($B84,'Draft List'!$D$4:$AB$2598,AY$3,FALSE),"")</f>
        <v/>
      </c>
    </row>
    <row r="85" spans="1:51">
      <c r="A85" t="str">
        <f>IF(C85="C","C-",C85)&amp;D85&amp;E85</f>
        <v>2BAaron Harris21</v>
      </c>
      <c r="B85">
        <f>VLOOKUP($A85,draft_listing_batters_stats!$A$1:$B$1324,2,FALSE)</f>
        <v>8579</v>
      </c>
      <c r="C85" s="1" t="s">
        <v>2069</v>
      </c>
      <c r="D85" s="1" t="s">
        <v>1308</v>
      </c>
      <c r="E85" s="1">
        <v>21</v>
      </c>
      <c r="F85" s="1" t="s">
        <v>2022</v>
      </c>
      <c r="G85" s="1" t="s">
        <v>2022</v>
      </c>
      <c r="H85" s="1" t="s">
        <v>2033</v>
      </c>
      <c r="I85" s="1" t="s">
        <v>2033</v>
      </c>
      <c r="J85" s="1" t="s">
        <v>2030</v>
      </c>
      <c r="K85" s="1" t="s">
        <v>2025</v>
      </c>
      <c r="L85" s="1">
        <v>3</v>
      </c>
      <c r="M85" s="1">
        <v>4</v>
      </c>
      <c r="N85" s="1">
        <v>2</v>
      </c>
      <c r="O85" s="1">
        <v>2</v>
      </c>
      <c r="P85" s="1">
        <v>1</v>
      </c>
      <c r="Q85" s="1">
        <v>5</v>
      </c>
      <c r="R85" s="1">
        <v>7</v>
      </c>
      <c r="S85" s="1">
        <v>4</v>
      </c>
      <c r="T85" s="1">
        <v>5</v>
      </c>
      <c r="U85" s="1">
        <v>4</v>
      </c>
      <c r="V85" s="1">
        <v>4</v>
      </c>
      <c r="W85" s="1">
        <v>4</v>
      </c>
      <c r="X85" s="1">
        <v>1</v>
      </c>
      <c r="Y85" s="1" t="s">
        <v>2027</v>
      </c>
      <c r="Z85" s="1">
        <v>8</v>
      </c>
      <c r="AA85" s="1">
        <v>6</v>
      </c>
      <c r="AB85" s="1">
        <v>4</v>
      </c>
      <c r="AC85" s="1">
        <v>3</v>
      </c>
      <c r="AD85" s="1" t="s">
        <v>2027</v>
      </c>
      <c r="AE85" s="1">
        <v>2</v>
      </c>
      <c r="AF85" s="1" t="s">
        <v>2027</v>
      </c>
      <c r="AG85" s="1">
        <v>6</v>
      </c>
      <c r="AH85" s="1">
        <v>7</v>
      </c>
      <c r="AI85" s="1">
        <v>5</v>
      </c>
      <c r="AJ85" s="52" t="s">
        <v>2029</v>
      </c>
      <c r="AK85" s="9">
        <f>($L$3*(L85-$Q$1)/$Q$2+$M$3*(M85-$R$1)/$R$2+$N$3*(N85-$S$1)/$S$2+$O$3*(O85-$T$1)/$T$2+$P$3*(P85-$U$1)/$U$2)/(SUM($L$3:$P$3))</f>
        <v>-1.1132809945326294</v>
      </c>
      <c r="AL85" s="9">
        <f>($L$3*(Q85-$Q$1)/$Q$2+$M$3*(R85-$R$1)/$R$2+$N$3*(S85-$S$1)/$S$2+$O$3*(T85-$T$1)/$T$2+$P$3*(U85-$U$1)/$U$2)/(SUM($L$3:$P$3))</f>
        <v>0.24031097425662687</v>
      </c>
      <c r="AM85">
        <f>IF(AVERAGE(AG85:AH85)&gt;9,1,0)+IF(AVERAGE(AG85:AH85)&gt;7,1,0)+IF(AG85&gt;7,1,0)+IF(AH85&gt;7,1,0)+IF(AI85&gt;8,1,0)+IF(AI85&gt;6,1,0)</f>
        <v>0</v>
      </c>
      <c r="AN85" s="6">
        <f>MIN(2,IF(OR(Y85="-",X85&lt;5),0,1+IF(Y85&gt;7,1+IF(X85&gt;7,0.25,0),IF(Y85&gt;4,0.5+IF(X85&gt;7,0.25,0),0+IF(X85&gt;7,0.25))))+IF(Z85="-",0,IF(Z85&gt;9,0.5,IF(Z85&gt;7,0.25,0)))+IF(AA85="-",0,IF(AA85&gt;7,1.1,IF(AA85&gt;4,0.6,0)))+IF(OR(AB85="-",V85&lt;5),0,IF(AB85&gt;7,1+IF(V85&gt;7,0.25,0),IF(AB85&gt;4,0.5+IF(V85&gt;7,0.25,0),0)))+IF(AC85="-",0,IF(AC85&gt;7,1.5,IF(AC85&gt;4,1,0)))+IF(AD85="-",0,IF(AD85&gt;9,0.5,IF(AD85&gt;7,0.25,0)))+IF(AE85="-",0,IF(AE85&gt;7,1.25,IF(AE85&gt;4,0.75,0)))+IF(OR(AF85="-",W85&lt;4),0,IF(AF85&gt;7,1+IF(W85&gt;7,0.15,0),IF(AF85&gt;4,0.5+IF(W85&gt;7,0.15,0),0))))</f>
        <v>0.85</v>
      </c>
      <c r="AO85" s="9">
        <f>($AK$3*AK85+$AL$3*AL85+$AM$3*AM85+$AN$3*AN85)+$J$3*VLOOKUP(J85,COND!$A$2:$C$7,2,FALSE)+$K$3*VLOOKUP(K85,COND!$A$2:$C$7,3,FALSE)</f>
        <v>13.722403591626259</v>
      </c>
      <c r="AP85" s="37">
        <f>STANDARDIZE(AO85,AVERAGE($AO$5:$AO$1295),STDEVP($AO$5:$AO$1295))</f>
        <v>0.42453599119460078</v>
      </c>
      <c r="AQ85" t="str">
        <f>IF(AND(Y85&lt;&gt;"-",X85&gt;1),"C",IF(AA85=MAX(AA85:AC85),"2B",IF(AC85=MAX(AA85:AC85),"SS",IF(OR(AB85=MAX(Z85:AC85),AND(AB85&lt;&gt;"-",AB85&gt;4,V85&gt;5)),"3B",IF(AE85=MAX(AD85:AF85),"CF",IF(AND(AF85=MAX(AD85,AF85),AND(W85&gt;5,AD85&lt;&gt;"-")),"RF",IF(AD85&lt;&gt;"-","LF",IF(Z85&lt;&gt;"-","1B","DH"))))))))</f>
        <v>2B</v>
      </c>
      <c r="AR85" t="s">
        <v>35</v>
      </c>
      <c r="AT85" t="s">
        <v>155</v>
      </c>
      <c r="AU85" t="str">
        <f>IF(AND($Q85&gt;=6,AVERAGE($S85:$T85)&gt;=6),"Likely",IF(OR($Q85&gt;6,AND($Q85=6,AVERAGE($S85:$T85)&gt;=3),AND($Q85&gt;=5,AVERAGE($S85:$T85)&gt;=5),AVERAGE($Q85,$S85:$T85)&gt;5),"Possible","Unlikely"))</f>
        <v>Unlikely</v>
      </c>
      <c r="AW85" t="str">
        <f>IF(VLOOKUP($B85,'Draft List'!$D$4:$AB$2598,AW$3,FALSE)&lt;&gt;0,VLOOKUP($B85,'Draft List'!$D$4:$AB$2598,AW$3,FALSE),"")</f>
        <v/>
      </c>
      <c r="AX85" t="str">
        <f>IF(VLOOKUP($B85,'Draft List'!$D$4:$AB$2598,AX$3,FALSE)&lt;&gt;0,VLOOKUP($B85,'Draft List'!$D$4:$AB$2598,AX$3,FALSE),"")</f>
        <v/>
      </c>
      <c r="AY85" t="str">
        <f>IF(VLOOKUP($B85,'Draft List'!$D$4:$AB$2598,AY$3,FALSE)&lt;&gt;0,VLOOKUP($B85,'Draft List'!$D$4:$AB$2598,AY$3,FALSE),"")</f>
        <v/>
      </c>
    </row>
    <row r="86" spans="1:51">
      <c r="A86" t="str">
        <f>IF(C86="C","C-",C86)&amp;D86&amp;E86</f>
        <v>2BRafael Vialla21</v>
      </c>
      <c r="B86">
        <f>VLOOKUP($A86,draft_listing_batters_stats!$A$1:$B$1324,2,FALSE)</f>
        <v>5674</v>
      </c>
      <c r="C86" s="1" t="s">
        <v>2069</v>
      </c>
      <c r="D86" s="1" t="s">
        <v>1239</v>
      </c>
      <c r="E86" s="1">
        <v>21</v>
      </c>
      <c r="F86" s="1" t="s">
        <v>2022</v>
      </c>
      <c r="G86" s="1" t="s">
        <v>2022</v>
      </c>
      <c r="H86" s="1" t="s">
        <v>2033</v>
      </c>
      <c r="I86" s="1" t="s">
        <v>2033</v>
      </c>
      <c r="J86" s="1" t="s">
        <v>2025</v>
      </c>
      <c r="K86" s="1" t="s">
        <v>2036</v>
      </c>
      <c r="L86" s="1">
        <v>4</v>
      </c>
      <c r="M86" s="1">
        <v>6</v>
      </c>
      <c r="N86" s="1">
        <v>3</v>
      </c>
      <c r="O86" s="1">
        <v>3</v>
      </c>
      <c r="P86" s="1">
        <v>2</v>
      </c>
      <c r="Q86" s="1">
        <v>5</v>
      </c>
      <c r="R86" s="1">
        <v>6</v>
      </c>
      <c r="S86" s="1">
        <v>3</v>
      </c>
      <c r="T86" s="1">
        <v>5</v>
      </c>
      <c r="U86" s="1">
        <v>4</v>
      </c>
      <c r="V86" s="1">
        <v>6</v>
      </c>
      <c r="W86" s="1">
        <v>5</v>
      </c>
      <c r="X86" s="1">
        <v>1</v>
      </c>
      <c r="Y86" s="1" t="s">
        <v>2027</v>
      </c>
      <c r="Z86" s="1">
        <v>7</v>
      </c>
      <c r="AA86" s="1">
        <v>9</v>
      </c>
      <c r="AB86" s="1">
        <v>5</v>
      </c>
      <c r="AC86" s="1">
        <v>4</v>
      </c>
      <c r="AD86" s="1">
        <v>5</v>
      </c>
      <c r="AE86" s="1" t="s">
        <v>2027</v>
      </c>
      <c r="AF86" s="1">
        <v>4</v>
      </c>
      <c r="AG86" s="1">
        <v>7</v>
      </c>
      <c r="AH86" s="1">
        <v>8</v>
      </c>
      <c r="AI86" s="1">
        <v>6</v>
      </c>
      <c r="AJ86" s="52" t="s">
        <v>2029</v>
      </c>
      <c r="AK86" s="9">
        <f>($L$3*(L86-$Q$1)/$Q$2+$M$3*(M86-$R$1)/$R$2+$N$3*(N86-$S$1)/$S$2+$O$3*(O86-$T$1)/$T$2+$P$3*(P86-$U$1)/$U$2)/(SUM($L$3:$P$3))</f>
        <v>-0.47581801524198175</v>
      </c>
      <c r="AL86" s="9">
        <f>($L$3*(Q86-$Q$1)/$Q$2+$M$3*(R86-$R$1)/$R$2+$N$3*(S86-$S$1)/$S$2+$O$3*(T86-$T$1)/$T$2+$P$3*(U86-$U$1)/$U$2)/(SUM($L$3:$P$3))</f>
        <v>0.10618960061402187</v>
      </c>
      <c r="AM86">
        <f>IF(AVERAGE(AG86:AH86)&gt;9,1,0)+IF(AVERAGE(AG86:AH86)&gt;7,1,0)+IF(AG86&gt;7,1,0)+IF(AH86&gt;7,1,0)+IF(AI86&gt;8,1,0)+IF(AI86&gt;6,1,0)</f>
        <v>2</v>
      </c>
      <c r="AN86" s="6">
        <f>MIN(2,IF(OR(Y86="-",X86&lt;5),0,1+IF(Y86&gt;7,1+IF(X86&gt;7,0.25,0),IF(Y86&gt;4,0.5+IF(X86&gt;7,0.25,0),0+IF(X86&gt;7,0.25))))+IF(Z86="-",0,IF(Z86&gt;9,0.5,IF(Z86&gt;7,0.25,0)))+IF(AA86="-",0,IF(AA86&gt;7,1.1,IF(AA86&gt;4,0.6,0)))+IF(OR(AB86="-",V86&lt;5),0,IF(AB86&gt;7,1+IF(V86&gt;7,0.25,0),IF(AB86&gt;4,0.5+IF(V86&gt;7,0.25,0),0)))+IF(AC86="-",0,IF(AC86&gt;7,1.5,IF(AC86&gt;4,1,0)))+IF(AD86="-",0,IF(AD86&gt;9,0.5,IF(AD86&gt;7,0.25,0)))+IF(AE86="-",0,IF(AE86&gt;7,1.25,IF(AE86&gt;4,0.75,0)))+IF(OR(AF86="-",W86&lt;4),0,IF(AF86&gt;7,1+IF(W86&gt;7,0.15,0),IF(AF86&gt;4,0.5+IF(W86&gt;7,0.15,0),0))))</f>
        <v>1.6</v>
      </c>
      <c r="AO86" s="9">
        <f>($AK$3*AK86+$AL$3*AL86+$AM$3*AM86+$AN$3*AN86)+$J$3*VLOOKUP(J86,COND!$A$2:$C$7,2,FALSE)+$K$3*VLOOKUP(K86,COND!$A$2:$C$7,3,FALSE)</f>
        <v>13.410026739177397</v>
      </c>
      <c r="AP86" s="37">
        <f>STANDARDIZE(AO86,AVERAGE($AO$5:$AO$1295),STDEVP($AO$5:$AO$1295))</f>
        <v>0.38113945777468461</v>
      </c>
      <c r="AQ86" t="str">
        <f>IF(AND(Y86&lt;&gt;"-",X86&gt;1),"C",IF(AA86=MAX(AA86:AC86),"2B",IF(AC86=MAX(AA86:AC86),"SS",IF(OR(AB86=MAX(Z86:AC86),AND(AB86&lt;&gt;"-",AB86&gt;4,V86&gt;5)),"3B",IF(AE86=MAX(AD86:AF86),"CF",IF(AND(AF86=MAX(AD86,AF86),AND(W86&gt;5,AD86&lt;&gt;"-")),"RF",IF(AD86&lt;&gt;"-","LF",IF(Z86&lt;&gt;"-","1B","DH"))))))))</f>
        <v>2B</v>
      </c>
      <c r="AR86" t="s">
        <v>35</v>
      </c>
      <c r="AT86" t="s">
        <v>155</v>
      </c>
      <c r="AU86" t="str">
        <f>IF(AND($Q86&gt;=6,AVERAGE($S86:$T86)&gt;=6),"Likely",IF(OR($Q86&gt;6,AND($Q86=6,AVERAGE($S86:$T86)&gt;=3),AND($Q86&gt;=5,AVERAGE($S86:$T86)&gt;=5),AVERAGE($Q86,$S86:$T86)&gt;5),"Possible","Unlikely"))</f>
        <v>Unlikely</v>
      </c>
      <c r="AW86" t="str">
        <f>IF(VLOOKUP($B86,'Draft List'!$D$4:$AB$2598,AW$3,FALSE)&lt;&gt;0,VLOOKUP($B86,'Draft List'!$D$4:$AB$2598,AW$3,FALSE),"")</f>
        <v/>
      </c>
      <c r="AX86" t="str">
        <f>IF(VLOOKUP($B86,'Draft List'!$D$4:$AB$2598,AX$3,FALSE)&lt;&gt;0,VLOOKUP($B86,'Draft List'!$D$4:$AB$2598,AX$3,FALSE),"")</f>
        <v/>
      </c>
      <c r="AY86" t="str">
        <f>IF(VLOOKUP($B86,'Draft List'!$D$4:$AB$2598,AY$3,FALSE)&lt;&gt;0,VLOOKUP($B86,'Draft List'!$D$4:$AB$2598,AY$3,FALSE),"")</f>
        <v/>
      </c>
    </row>
    <row r="87" spans="1:51">
      <c r="A87" t="str">
        <f>IF(C87="C","C-",C87)&amp;D87&amp;E87</f>
        <v>CFPhilip Warren21</v>
      </c>
      <c r="B87">
        <f>VLOOKUP($A87,draft_listing_batters_stats!$A$1:$B$1324,2,FALSE)</f>
        <v>12636</v>
      </c>
      <c r="C87" s="1" t="s">
        <v>2079</v>
      </c>
      <c r="D87" s="1" t="s">
        <v>1249</v>
      </c>
      <c r="E87" s="1">
        <v>21</v>
      </c>
      <c r="F87" s="1" t="s">
        <v>2022</v>
      </c>
      <c r="G87" s="1" t="s">
        <v>2022</v>
      </c>
      <c r="H87" s="1" t="s">
        <v>2033</v>
      </c>
      <c r="I87" s="1" t="s">
        <v>2033</v>
      </c>
      <c r="J87" s="1" t="s">
        <v>2025</v>
      </c>
      <c r="K87" s="1" t="s">
        <v>2025</v>
      </c>
      <c r="L87" s="1">
        <v>2</v>
      </c>
      <c r="M87" s="1">
        <v>3</v>
      </c>
      <c r="N87" s="1">
        <v>2</v>
      </c>
      <c r="O87" s="1">
        <v>2</v>
      </c>
      <c r="P87" s="1">
        <v>1</v>
      </c>
      <c r="Q87" s="1">
        <v>5</v>
      </c>
      <c r="R87" s="1">
        <v>6</v>
      </c>
      <c r="S87" s="1">
        <v>5</v>
      </c>
      <c r="T87" s="1">
        <v>5</v>
      </c>
      <c r="U87" s="1">
        <v>4</v>
      </c>
      <c r="V87" s="1">
        <v>7</v>
      </c>
      <c r="W87" s="1">
        <v>7</v>
      </c>
      <c r="X87" s="1">
        <v>1</v>
      </c>
      <c r="Y87" s="1" t="s">
        <v>2027</v>
      </c>
      <c r="Z87" s="1">
        <v>1</v>
      </c>
      <c r="AA87" s="1" t="s">
        <v>2027</v>
      </c>
      <c r="AB87" s="1" t="s">
        <v>2027</v>
      </c>
      <c r="AC87" s="1" t="s">
        <v>2027</v>
      </c>
      <c r="AD87" s="1">
        <v>1</v>
      </c>
      <c r="AE87" s="1">
        <v>1</v>
      </c>
      <c r="AF87" s="1">
        <v>1</v>
      </c>
      <c r="AG87" s="1">
        <v>5</v>
      </c>
      <c r="AH87" s="1">
        <v>2</v>
      </c>
      <c r="AI87" s="1">
        <v>1</v>
      </c>
      <c r="AJ87" s="52">
        <v>1700000</v>
      </c>
      <c r="AK87" s="9">
        <f>($L$3*(L87-$Q$1)/$Q$2+$M$3*(M87-$R$1)/$R$2+$N$3*(N87-$S$1)/$S$2+$O$3*(O87-$T$1)/$T$2+$P$3*(P87-$U$1)/$U$2)/(SUM($L$3:$P$3))</f>
        <v>-1.4868967103540081</v>
      </c>
      <c r="AL87" s="9">
        <f>($L$3*(Q87-$Q$1)/$Q$2+$M$3*(R87-$R$1)/$R$2+$N$3*(S87-$S$1)/$S$2+$O$3*(T87-$T$1)/$T$2+$P$3*(U87-$U$1)/$U$2)/(SUM($L$3:$P$3))</f>
        <v>0.27231258866182484</v>
      </c>
      <c r="AM87">
        <f>IF(AVERAGE(AG87:AH87)&gt;9,1,0)+IF(AVERAGE(AG87:AH87)&gt;7,1,0)+IF(AG87&gt;7,1,0)+IF(AH87&gt;7,1,0)+IF(AI87&gt;8,1,0)+IF(AI87&gt;6,1,0)</f>
        <v>0</v>
      </c>
      <c r="AN87" s="6">
        <f>MIN(2,IF(OR(Y87="-",X87&lt;5),0,1+IF(Y87&gt;7,1+IF(X87&gt;7,0.25,0),IF(Y87&gt;4,0.5+IF(X87&gt;7,0.25,0),0+IF(X87&gt;7,0.25))))+IF(Z87="-",0,IF(Z87&gt;9,0.5,IF(Z87&gt;7,0.25,0)))+IF(AA87="-",0,IF(AA87&gt;7,1.1,IF(AA87&gt;4,0.6,0)))+IF(OR(AB87="-",V87&lt;5),0,IF(AB87&gt;7,1+IF(V87&gt;7,0.25,0),IF(AB87&gt;4,0.5+IF(V87&gt;7,0.25,0),0)))+IF(AC87="-",0,IF(AC87&gt;7,1.5,IF(AC87&gt;4,1,0)))+IF(AD87="-",0,IF(AD87&gt;9,0.5,IF(AD87&gt;7,0.25,0)))+IF(AE87="-",0,IF(AE87&gt;7,1.25,IF(AE87&gt;4,0.75,0)))+IF(OR(AF87="-",W87&lt;4),0,IF(AF87&gt;7,1+IF(W87&gt;7,0.15,0),IF(AF87&gt;4,0.5+IF(W87&gt;7,0.15,0),0))))</f>
        <v>0</v>
      </c>
      <c r="AO87" s="9">
        <f>($AK$3*AK87+$AL$3*AL87+$AM$3*AM87+$AN$3*AN87)+$J$3*VLOOKUP(J87,COND!$A$2:$C$7,2,FALSE)+$K$3*VLOOKUP(K87,COND!$A$2:$C$7,3,FALSE)</f>
        <v>13.119061392906497</v>
      </c>
      <c r="AP87" s="37">
        <f>STANDARDIZE(AO87,AVERAGE($AO$5:$AO$1295),STDEVP($AO$5:$AO$1295))</f>
        <v>0.34071748900684934</v>
      </c>
      <c r="AQ87" t="str">
        <f>IF(AND(Y87&lt;&gt;"-",X87&gt;1),"C",IF(AA87=MAX(AA87:AC87),"2B",IF(AC87=MAX(AA87:AC87),"SS",IF(OR(AB87=MAX(Z87:AC87),AND(AB87&lt;&gt;"-",AB87&gt;4,V87&gt;5)),"3B",IF(AE87=MAX(AD87:AF87),"CF",IF(AND(AF87=MAX(AD87,AF87),AND(W87&gt;5,AD87&lt;&gt;"-")),"RF",IF(AD87&lt;&gt;"-","LF",IF(Z87&lt;&gt;"-","1B","DH"))))))))</f>
        <v>CF</v>
      </c>
      <c r="AR87" t="s">
        <v>35</v>
      </c>
      <c r="AT87" t="s">
        <v>155</v>
      </c>
      <c r="AU87" t="str">
        <f>IF(AND($Q87&gt;=6,AVERAGE($S87:$T87)&gt;=6),"Likely",IF(OR($Q87&gt;6,AND($Q87=6,AVERAGE($S87:$T87)&gt;=3),AND($Q87&gt;=5,AVERAGE($S87:$T87)&gt;=5),AVERAGE($Q87,$S87:$T87)&gt;5),"Possible","Unlikely"))</f>
        <v>Possible</v>
      </c>
      <c r="AW87" t="str">
        <f>IF(VLOOKUP($B87,'Draft List'!$D$4:$AB$2598,AW$3,FALSE)&lt;&gt;0,VLOOKUP($B87,'Draft List'!$D$4:$AB$2598,AW$3,FALSE),"")</f>
        <v/>
      </c>
      <c r="AX87" t="str">
        <f>IF(VLOOKUP($B87,'Draft List'!$D$4:$AB$2598,AX$3,FALSE)&lt;&gt;0,VLOOKUP($B87,'Draft List'!$D$4:$AB$2598,AX$3,FALSE),"")</f>
        <v/>
      </c>
      <c r="AY87" t="str">
        <f>IF(VLOOKUP($B87,'Draft List'!$D$4:$AB$2598,AY$3,FALSE)&lt;&gt;0,VLOOKUP($B87,'Draft List'!$D$4:$AB$2598,AY$3,FALSE),"")</f>
        <v/>
      </c>
    </row>
    <row r="88" spans="1:51">
      <c r="A88" t="str">
        <f>IF(C88="C","C-",C88)&amp;D88&amp;E88</f>
        <v>1BAdam Wilson18</v>
      </c>
      <c r="B88">
        <f>VLOOKUP($A88,draft_listing_batters_stats!$A$1:$B$1324,2,FALSE)</f>
        <v>417</v>
      </c>
      <c r="C88" s="1" t="s">
        <v>2092</v>
      </c>
      <c r="D88" s="1" t="s">
        <v>1259</v>
      </c>
      <c r="E88" s="1">
        <v>18</v>
      </c>
      <c r="F88" s="1" t="s">
        <v>2038</v>
      </c>
      <c r="G88" s="1" t="s">
        <v>2038</v>
      </c>
      <c r="H88" s="1" t="s">
        <v>2033</v>
      </c>
      <c r="I88" s="1" t="s">
        <v>2033</v>
      </c>
      <c r="J88" s="1" t="s">
        <v>2025</v>
      </c>
      <c r="K88" s="1" t="s">
        <v>2030</v>
      </c>
      <c r="L88" s="1">
        <v>1</v>
      </c>
      <c r="M88" s="1">
        <v>2</v>
      </c>
      <c r="N88" s="1">
        <v>1</v>
      </c>
      <c r="O88" s="1">
        <v>1</v>
      </c>
      <c r="P88" s="1">
        <v>1</v>
      </c>
      <c r="Q88" s="1">
        <v>5</v>
      </c>
      <c r="R88" s="1">
        <v>9</v>
      </c>
      <c r="S88" s="1">
        <v>6</v>
      </c>
      <c r="T88" s="1">
        <v>2</v>
      </c>
      <c r="U88" s="1">
        <v>4</v>
      </c>
      <c r="V88" s="1">
        <v>2</v>
      </c>
      <c r="W88" s="1">
        <v>3</v>
      </c>
      <c r="X88" s="1">
        <v>1</v>
      </c>
      <c r="Y88" s="1" t="s">
        <v>2027</v>
      </c>
      <c r="Z88" s="1">
        <v>1</v>
      </c>
      <c r="AA88" s="1" t="s">
        <v>2027</v>
      </c>
      <c r="AB88" s="1" t="s">
        <v>2027</v>
      </c>
      <c r="AC88" s="1" t="s">
        <v>2027</v>
      </c>
      <c r="AD88" s="1" t="s">
        <v>2027</v>
      </c>
      <c r="AE88" s="1" t="s">
        <v>2027</v>
      </c>
      <c r="AF88" s="1" t="s">
        <v>2027</v>
      </c>
      <c r="AG88" s="1">
        <v>8</v>
      </c>
      <c r="AH88" s="1">
        <v>6</v>
      </c>
      <c r="AI88" s="1">
        <v>6</v>
      </c>
      <c r="AJ88" s="52" t="s">
        <v>2029</v>
      </c>
      <c r="AK88" s="9">
        <f>($L$3*(L88-$Q$1)/$Q$2+$M$3*(M88-$R$1)/$R$2+$N$3*(N88-$S$1)/$S$2+$O$3*(O88-$T$1)/$T$2+$P$3*(P88-$U$1)/$U$2)/(SUM($L$3:$P$3))</f>
        <v>-2.0332834702088682</v>
      </c>
      <c r="AL88" s="9">
        <f>($L$3*(Q88-$Q$1)/$Q$2+$M$3*(R88-$R$1)/$R$2+$N$3*(S88-$S$1)/$S$2+$O$3*(T88-$T$1)/$T$2+$P$3*(U88-$U$1)/$U$2)/(SUM($L$3:$P$3))</f>
        <v>0.2394250715130937</v>
      </c>
      <c r="AM88">
        <f>IF(AVERAGE(AG88:AH88)&gt;9,1,0)+IF(AVERAGE(AG88:AH88)&gt;7,1,0)+IF(AG88&gt;7,1,0)+IF(AH88&gt;7,1,0)+IF(AI88&gt;8,1,0)+IF(AI88&gt;6,1,0)</f>
        <v>1</v>
      </c>
      <c r="AN88" s="6">
        <f>MIN(2,IF(OR(Y88="-",X88&lt;5),0,1+IF(Y88&gt;7,1+IF(X88&gt;7,0.25,0),IF(Y88&gt;4,0.5+IF(X88&gt;7,0.25,0),0+IF(X88&gt;7,0.25))))+IF(Z88="-",0,IF(Z88&gt;9,0.5,IF(Z88&gt;7,0.25,0)))+IF(AA88="-",0,IF(AA88&gt;7,1.1,IF(AA88&gt;4,0.6,0)))+IF(OR(AB88="-",V88&lt;5),0,IF(AB88&gt;7,1+IF(V88&gt;7,0.25,0),IF(AB88&gt;4,0.5+IF(V88&gt;7,0.25,0),0)))+IF(AC88="-",0,IF(AC88&gt;7,1.5,IF(AC88&gt;4,1,0)))+IF(AD88="-",0,IF(AD88&gt;9,0.5,IF(AD88&gt;7,0.25,0)))+IF(AE88="-",0,IF(AE88&gt;7,1.25,IF(AE88&gt;4,0.75,0)))+IF(OR(AF88="-",W88&lt;4),0,IF(AF88&gt;7,1+IF(W88&gt;7,0.15,0),IF(AF88&gt;4,0.5+IF(W88&gt;7,0.15,0),0))))</f>
        <v>0</v>
      </c>
      <c r="AO88" s="9">
        <f>($AK$3*AK88+$AL$3*AL88+$AM$3*AM88+$AN$3*AN88)+$J$3*VLOOKUP(J88,COND!$A$2:$C$7,2,FALSE)+$K$3*VLOOKUP(K88,COND!$A$2:$C$7,3,FALSE)</f>
        <v>12.936439177802903</v>
      </c>
      <c r="AP88" s="37">
        <f>STANDARDIZE(AO88,AVERAGE($AO$5:$AO$1295),STDEVP($AO$5:$AO$1295))</f>
        <v>0.31534694378612227</v>
      </c>
      <c r="AQ88" t="str">
        <f>IF(AND(Y88&lt;&gt;"-",X88&gt;1),"C",IF(AA88=MAX(AA88:AC88),"2B",IF(AC88=MAX(AA88:AC88),"SS",IF(OR(AB88=MAX(Z88:AC88),AND(AB88&lt;&gt;"-",AB88&gt;4,V88&gt;5)),"3B",IF(AE88=MAX(AD88:AF88),"CF",IF(AND(AF88=MAX(AD88,AF88),AND(W88&gt;5,AD88&lt;&gt;"-")),"RF",IF(AD88&lt;&gt;"-","LF",IF(Z88&lt;&gt;"-","1B","DH"))))))))</f>
        <v>1B</v>
      </c>
      <c r="AR88" t="s">
        <v>35</v>
      </c>
      <c r="AT88" t="s">
        <v>156</v>
      </c>
      <c r="AU88" t="str">
        <f>IF(AND($Q88&gt;=6,AVERAGE($S88:$T88)&gt;=6),"Likely",IF(OR($Q88&gt;6,AND($Q88=6,AVERAGE($S88:$T88)&gt;=3),AND($Q88&gt;=5,AVERAGE($S88:$T88)&gt;=5),AVERAGE($Q88,$S88:$T88)&gt;5),"Possible","Unlikely"))</f>
        <v>Unlikely</v>
      </c>
      <c r="AW88" t="str">
        <f>IF(VLOOKUP($B88,'Draft List'!$D$4:$AB$2598,AW$3,FALSE)&lt;&gt;0,VLOOKUP($B88,'Draft List'!$D$4:$AB$2598,AW$3,FALSE),"")</f>
        <v/>
      </c>
      <c r="AX88" t="str">
        <f>IF(VLOOKUP($B88,'Draft List'!$D$4:$AB$2598,AX$3,FALSE)&lt;&gt;0,VLOOKUP($B88,'Draft List'!$D$4:$AB$2598,AX$3,FALSE),"")</f>
        <v/>
      </c>
      <c r="AY88" t="str">
        <f>IF(VLOOKUP($B88,'Draft List'!$D$4:$AB$2598,AY$3,FALSE)&lt;&gt;0,VLOOKUP($B88,'Draft List'!$D$4:$AB$2598,AY$3,FALSE),"")</f>
        <v/>
      </c>
    </row>
    <row r="89" spans="1:51">
      <c r="A89" t="str">
        <f>IF(C89="C","C-",C89)&amp;D89&amp;E89</f>
        <v>2BLorenzo Peret21</v>
      </c>
      <c r="B89">
        <f>VLOOKUP($A89,draft_listing_batters_stats!$A$1:$B$1324,2,FALSE)</f>
        <v>3389</v>
      </c>
      <c r="C89" s="1" t="s">
        <v>2069</v>
      </c>
      <c r="D89" s="1" t="s">
        <v>1397</v>
      </c>
      <c r="E89" s="1">
        <v>21</v>
      </c>
      <c r="F89" s="1" t="s">
        <v>2022</v>
      </c>
      <c r="G89" s="1" t="s">
        <v>2022</v>
      </c>
      <c r="H89" s="1" t="s">
        <v>2033</v>
      </c>
      <c r="I89" s="1" t="s">
        <v>2033</v>
      </c>
      <c r="J89" s="1" t="s">
        <v>2030</v>
      </c>
      <c r="K89" s="1" t="s">
        <v>2025</v>
      </c>
      <c r="L89" s="1">
        <v>4</v>
      </c>
      <c r="M89" s="1">
        <v>5</v>
      </c>
      <c r="N89" s="1">
        <v>2</v>
      </c>
      <c r="O89" s="1">
        <v>3</v>
      </c>
      <c r="P89" s="1">
        <v>2</v>
      </c>
      <c r="Q89" s="1">
        <v>5</v>
      </c>
      <c r="R89" s="1">
        <v>5</v>
      </c>
      <c r="S89" s="1">
        <v>5</v>
      </c>
      <c r="T89" s="1">
        <v>5</v>
      </c>
      <c r="U89" s="1">
        <v>4</v>
      </c>
      <c r="V89" s="1">
        <v>3</v>
      </c>
      <c r="W89" s="1">
        <v>2</v>
      </c>
      <c r="X89" s="1">
        <v>1</v>
      </c>
      <c r="Y89" s="1" t="s">
        <v>2027</v>
      </c>
      <c r="Z89" s="1" t="s">
        <v>2027</v>
      </c>
      <c r="AA89" s="1">
        <v>4</v>
      </c>
      <c r="AB89" s="1" t="s">
        <v>2027</v>
      </c>
      <c r="AC89" s="1" t="s">
        <v>2027</v>
      </c>
      <c r="AD89" s="1" t="s">
        <v>2027</v>
      </c>
      <c r="AE89" s="1" t="s">
        <v>2027</v>
      </c>
      <c r="AF89" s="1" t="s">
        <v>2027</v>
      </c>
      <c r="AG89" s="1">
        <v>6</v>
      </c>
      <c r="AH89" s="1">
        <v>6</v>
      </c>
      <c r="AI89" s="1">
        <v>7</v>
      </c>
      <c r="AJ89" s="52" t="s">
        <v>2029</v>
      </c>
      <c r="AK89" s="9">
        <f>($L$3*(L89-$Q$1)/$Q$2+$M$3*(M89-$R$1)/$R$2+$N$3*(N89-$S$1)/$S$2+$O$3*(O89-$T$1)/$T$2+$P$3*(P89-$U$1)/$U$2)/(SUM($L$3:$P$3))</f>
        <v>-0.60993938888458676</v>
      </c>
      <c r="AL89" s="9">
        <f>($L$3*(Q89-$Q$1)/$Q$2+$M$3*(R89-$R$1)/$R$2+$N$3*(S89-$S$1)/$S$2+$O$3*(T89-$T$1)/$T$2+$P$3*(U89-$U$1)/$U$2)/(SUM($L$3:$P$3))</f>
        <v>0.22125270904312133</v>
      </c>
      <c r="AM89">
        <f>IF(AVERAGE(AG89:AH89)&gt;9,1,0)+IF(AVERAGE(AG89:AH89)&gt;7,1,0)+IF(AG89&gt;7,1,0)+IF(AH89&gt;7,1,0)+IF(AI89&gt;8,1,0)+IF(AI89&gt;6,1,0)</f>
        <v>1</v>
      </c>
      <c r="AN89" s="6">
        <f>MIN(2,IF(OR(Y89="-",X89&lt;5),0,1+IF(Y89&gt;7,1+IF(X89&gt;7,0.25,0),IF(Y89&gt;4,0.5+IF(X89&gt;7,0.25,0),0+IF(X89&gt;7,0.25))))+IF(Z89="-",0,IF(Z89&gt;9,0.5,IF(Z89&gt;7,0.25,0)))+IF(AA89="-",0,IF(AA89&gt;7,1.1,IF(AA89&gt;4,0.6,0)))+IF(OR(AB89="-",V89&lt;5),0,IF(AB89&gt;7,1+IF(V89&gt;7,0.25,0),IF(AB89&gt;4,0.5+IF(V89&gt;7,0.25,0),0)))+IF(AC89="-",0,IF(AC89&gt;7,1.5,IF(AC89&gt;4,1,0)))+IF(AD89="-",0,IF(AD89&gt;9,0.5,IF(AD89&gt;7,0.25,0)))+IF(AE89="-",0,IF(AE89&gt;7,1.25,IF(AE89&gt;4,0.75,0)))+IF(OR(AF89="-",W89&lt;4),0,IF(AF89&gt;7,1+IF(W89&gt;7,0.15,0),IF(AF89&gt;4,0.5+IF(W89&gt;7,0.15,0),0))))</f>
        <v>0</v>
      </c>
      <c r="AO89" s="9">
        <f>($AK$3*AK89+$AL$3*AL89+$AM$3*AM89+$AN$3*AN89)+$J$3*VLOOKUP(J89,COND!$A$2:$C$7,2,FALSE)+$K$3*VLOOKUP(K89,COND!$A$2:$C$7,3,FALSE)</f>
        <v>12.860705236295663</v>
      </c>
      <c r="AP89" s="37">
        <f>STANDARDIZE(AO89,AVERAGE($AO$5:$AO$1295),STDEVP($AO$5:$AO$1295))</f>
        <v>0.30482570798431474</v>
      </c>
      <c r="AQ89" t="str">
        <f>IF(AND(Y89&lt;&gt;"-",X89&gt;1),"C",IF(AA89=MAX(AA89:AC89),"2B",IF(AC89=MAX(AA89:AC89),"SS",IF(OR(AB89=MAX(Z89:AC89),AND(AB89&lt;&gt;"-",AB89&gt;4,V89&gt;5)),"3B",IF(AE89=MAX(AD89:AF89),"CF",IF(AND(AF89=MAX(AD89,AF89),AND(W89&gt;5,AD89&lt;&gt;"-")),"RF",IF(AD89&lt;&gt;"-","LF",IF(Z89&lt;&gt;"-","1B","DH"))))))))</f>
        <v>2B</v>
      </c>
      <c r="AR89" t="s">
        <v>35</v>
      </c>
      <c r="AT89" t="s">
        <v>156</v>
      </c>
      <c r="AU89" t="str">
        <f>IF(AND($Q89&gt;=6,AVERAGE($S89:$T89)&gt;=6),"Likely",IF(OR($Q89&gt;6,AND($Q89=6,AVERAGE($S89:$T89)&gt;=3),AND($Q89&gt;=5,AVERAGE($S89:$T89)&gt;=5),AVERAGE($Q89,$S89:$T89)&gt;5),"Possible","Unlikely"))</f>
        <v>Possible</v>
      </c>
      <c r="AW89" t="str">
        <f>IF(VLOOKUP($B89,'Draft List'!$D$4:$AB$2598,AW$3,FALSE)&lt;&gt;0,VLOOKUP($B89,'Draft List'!$D$4:$AB$2598,AW$3,FALSE),"")</f>
        <v/>
      </c>
      <c r="AX89" t="str">
        <f>IF(VLOOKUP($B89,'Draft List'!$D$4:$AB$2598,AX$3,FALSE)&lt;&gt;0,VLOOKUP($B89,'Draft List'!$D$4:$AB$2598,AX$3,FALSE),"")</f>
        <v/>
      </c>
      <c r="AY89" t="str">
        <f>IF(VLOOKUP($B89,'Draft List'!$D$4:$AB$2598,AY$3,FALSE)&lt;&gt;0,VLOOKUP($B89,'Draft List'!$D$4:$AB$2598,AY$3,FALSE),"")</f>
        <v/>
      </c>
    </row>
    <row r="90" spans="1:51">
      <c r="A90" t="str">
        <f>IF(C90="C","C-",C90)&amp;D90&amp;E90</f>
        <v>1BEd Nielsen21</v>
      </c>
      <c r="B90">
        <f>VLOOKUP($A90,draft_listing_batters_stats!$A$1:$B$1324,2,FALSE)</f>
        <v>5239</v>
      </c>
      <c r="C90" s="1" t="s">
        <v>2092</v>
      </c>
      <c r="D90" s="1" t="s">
        <v>1385</v>
      </c>
      <c r="E90" s="1">
        <v>21</v>
      </c>
      <c r="F90" s="1" t="s">
        <v>2038</v>
      </c>
      <c r="G90" s="1" t="s">
        <v>2038</v>
      </c>
      <c r="H90" s="1" t="s">
        <v>2033</v>
      </c>
      <c r="I90" s="1" t="s">
        <v>2033</v>
      </c>
      <c r="J90" s="1" t="s">
        <v>2025</v>
      </c>
      <c r="K90" s="1" t="s">
        <v>2025</v>
      </c>
      <c r="L90" s="1">
        <v>5</v>
      </c>
      <c r="M90" s="1">
        <v>6</v>
      </c>
      <c r="N90" s="1">
        <v>3</v>
      </c>
      <c r="O90" s="1">
        <v>3</v>
      </c>
      <c r="P90" s="1">
        <v>2</v>
      </c>
      <c r="Q90" s="1">
        <v>5</v>
      </c>
      <c r="R90" s="1">
        <v>6</v>
      </c>
      <c r="S90" s="1">
        <v>4</v>
      </c>
      <c r="T90" s="1">
        <v>5</v>
      </c>
      <c r="U90" s="1">
        <v>5</v>
      </c>
      <c r="V90" s="1">
        <v>3</v>
      </c>
      <c r="W90" s="1">
        <v>2</v>
      </c>
      <c r="X90" s="1">
        <v>1</v>
      </c>
      <c r="Y90" s="1" t="s">
        <v>2027</v>
      </c>
      <c r="Z90" s="1">
        <v>7</v>
      </c>
      <c r="AA90" s="1" t="s">
        <v>2027</v>
      </c>
      <c r="AB90" s="1" t="s">
        <v>2027</v>
      </c>
      <c r="AC90" s="1" t="s">
        <v>2027</v>
      </c>
      <c r="AD90" s="1" t="s">
        <v>2027</v>
      </c>
      <c r="AE90" s="1" t="s">
        <v>2027</v>
      </c>
      <c r="AF90" s="1" t="s">
        <v>2027</v>
      </c>
      <c r="AG90" s="1">
        <v>1</v>
      </c>
      <c r="AH90" s="1">
        <v>3</v>
      </c>
      <c r="AI90" s="1">
        <v>3</v>
      </c>
      <c r="AJ90" s="52" t="s">
        <v>2029</v>
      </c>
      <c r="AK90" s="9">
        <f>($L$3*(L90-$Q$1)/$Q$2+$M$3*(M90-$R$1)/$R$2+$N$3*(N90-$S$1)/$S$2+$O$3*(O90-$T$1)/$T$2+$P$3*(P90-$U$1)/$U$2)/(SUM($L$3:$P$3))</f>
        <v>-0.15326217903930711</v>
      </c>
      <c r="AL90" s="9">
        <f>($L$3*(Q90-$Q$1)/$Q$2+$M$3*(R90-$R$1)/$R$2+$N$3*(S90-$S$1)/$S$2+$O$3*(T90-$T$1)/$T$2+$P$3*(U90-$U$1)/$U$2)/(SUM($L$3:$P$3))</f>
        <v>0.2292674344550068</v>
      </c>
      <c r="AM90">
        <f>IF(AVERAGE(AG90:AH90)&gt;9,1,0)+IF(AVERAGE(AG90:AH90)&gt;7,1,0)+IF(AG90&gt;7,1,0)+IF(AH90&gt;7,1,0)+IF(AI90&gt;8,1,0)+IF(AI90&gt;6,1,0)</f>
        <v>0</v>
      </c>
      <c r="AN90" s="6">
        <f>MIN(2,IF(OR(Y90="-",X90&lt;5),0,1+IF(Y90&gt;7,1+IF(X90&gt;7,0.25,0),IF(Y90&gt;4,0.5+IF(X90&gt;7,0.25,0),0+IF(X90&gt;7,0.25))))+IF(Z90="-",0,IF(Z90&gt;9,0.5,IF(Z90&gt;7,0.25,0)))+IF(AA90="-",0,IF(AA90&gt;7,1.1,IF(AA90&gt;4,0.6,0)))+IF(OR(AB90="-",V90&lt;5),0,IF(AB90&gt;7,1+IF(V90&gt;7,0.25,0),IF(AB90&gt;4,0.5+IF(V90&gt;7,0.25,0),0)))+IF(AC90="-",0,IF(AC90&gt;7,1.5,IF(AC90&gt;4,1,0)))+IF(AD90="-",0,IF(AD90&gt;9,0.5,IF(AD90&gt;7,0.25,0)))+IF(AE90="-",0,IF(AE90&gt;7,1.25,IF(AE90&gt;4,0.75,0)))+IF(OR(AF90="-",W90&lt;4),0,IF(AF90&gt;7,1+IF(W90&gt;7,0.15,0),IF(AF90&gt;4,0.5+IF(W90&gt;7,0.15,0),0))))</f>
        <v>0</v>
      </c>
      <c r="AO90" s="9">
        <f>($AK$3*AK90+$AL$3*AL90+$AM$3*AM90+$AN$3*AN90)+$J$3*VLOOKUP(J90,COND!$A$2:$C$7,2,FALSE)+$K$3*VLOOKUP(K90,COND!$A$2:$C$7,3,FALSE)</f>
        <v>12.735882995556151</v>
      </c>
      <c r="AP90" s="37">
        <f>STANDARDIZE(AO90,AVERAGE($AO$5:$AO$1295),STDEVP($AO$5:$AO$1295))</f>
        <v>0.28748494633909066</v>
      </c>
      <c r="AQ90" t="str">
        <f>IF(AND(Y90&lt;&gt;"-",X90&gt;1),"C",IF(AA90=MAX(AA90:AC90),"2B",IF(AC90=MAX(AA90:AC90),"SS",IF(OR(AB90=MAX(Z90:AC90),AND(AB90&lt;&gt;"-",AB90&gt;4,V90&gt;5)),"3B",IF(AE90=MAX(AD90:AF90),"CF",IF(AND(AF90=MAX(AD90,AF90),AND(W90&gt;5,AD90&lt;&gt;"-")),"RF",IF(AD90&lt;&gt;"-","LF",IF(Z90&lt;&gt;"-","1B","DH"))))))))</f>
        <v>1B</v>
      </c>
      <c r="AR90" t="s">
        <v>35</v>
      </c>
      <c r="AT90" t="s">
        <v>154</v>
      </c>
      <c r="AU90" t="str">
        <f>IF(AND($Q90&gt;=6,AVERAGE($S90:$T90)&gt;=6),"Likely",IF(OR($Q90&gt;6,AND($Q90=6,AVERAGE($S90:$T90)&gt;=3),AND($Q90&gt;=5,AVERAGE($S90:$T90)&gt;=5),AVERAGE($Q90,$S90:$T90)&gt;5),"Possible","Unlikely"))</f>
        <v>Unlikely</v>
      </c>
      <c r="AW90" t="str">
        <f>IF(VLOOKUP($B90,'Draft List'!$D$4:$AB$2598,AW$3,FALSE)&lt;&gt;0,VLOOKUP($B90,'Draft List'!$D$4:$AB$2598,AW$3,FALSE),"")</f>
        <v/>
      </c>
      <c r="AX90" t="str">
        <f>IF(VLOOKUP($B90,'Draft List'!$D$4:$AB$2598,AX$3,FALSE)&lt;&gt;0,VLOOKUP($B90,'Draft List'!$D$4:$AB$2598,AX$3,FALSE),"")</f>
        <v/>
      </c>
      <c r="AY90" t="str">
        <f>IF(VLOOKUP($B90,'Draft List'!$D$4:$AB$2598,AY$3,FALSE)&lt;&gt;0,VLOOKUP($B90,'Draft List'!$D$4:$AB$2598,AY$3,FALSE),"")</f>
        <v/>
      </c>
    </row>
    <row r="91" spans="1:51">
      <c r="A91" t="str">
        <f>IF(C91="C","C-",C91)&amp;D91&amp;E91</f>
        <v>SSTed Webster21</v>
      </c>
      <c r="B91">
        <f>VLOOKUP($A91,draft_listing_batters_stats!$A$1:$B$1324,2,FALSE)</f>
        <v>8186</v>
      </c>
      <c r="C91" s="1" t="s">
        <v>2074</v>
      </c>
      <c r="D91" s="1" t="s">
        <v>1251</v>
      </c>
      <c r="E91" s="1">
        <v>21</v>
      </c>
      <c r="F91" s="1" t="s">
        <v>2022</v>
      </c>
      <c r="G91" s="1" t="s">
        <v>2022</v>
      </c>
      <c r="H91" s="1" t="s">
        <v>2033</v>
      </c>
      <c r="I91" s="1" t="s">
        <v>2033</v>
      </c>
      <c r="J91" s="1" t="s">
        <v>2025</v>
      </c>
      <c r="K91" s="1" t="s">
        <v>2026</v>
      </c>
      <c r="L91" s="1">
        <v>4</v>
      </c>
      <c r="M91" s="1">
        <v>3</v>
      </c>
      <c r="N91" s="1">
        <v>1</v>
      </c>
      <c r="O91" s="1">
        <v>3</v>
      </c>
      <c r="P91" s="1">
        <v>2</v>
      </c>
      <c r="Q91" s="1">
        <v>5</v>
      </c>
      <c r="R91" s="1">
        <v>7</v>
      </c>
      <c r="S91" s="1">
        <v>2</v>
      </c>
      <c r="T91" s="1">
        <v>6</v>
      </c>
      <c r="U91" s="1">
        <v>4</v>
      </c>
      <c r="V91" s="1">
        <v>6</v>
      </c>
      <c r="W91" s="1">
        <v>2</v>
      </c>
      <c r="X91" s="1">
        <v>1</v>
      </c>
      <c r="Y91" s="1" t="s">
        <v>2027</v>
      </c>
      <c r="Z91" s="1" t="s">
        <v>2027</v>
      </c>
      <c r="AA91" s="1">
        <v>6</v>
      </c>
      <c r="AB91" s="1" t="s">
        <v>2027</v>
      </c>
      <c r="AC91" s="1">
        <v>3</v>
      </c>
      <c r="AD91" s="1" t="s">
        <v>2027</v>
      </c>
      <c r="AE91" s="1" t="s">
        <v>2027</v>
      </c>
      <c r="AF91" s="1" t="s">
        <v>2027</v>
      </c>
      <c r="AG91" s="1">
        <v>8</v>
      </c>
      <c r="AH91" s="1">
        <v>7</v>
      </c>
      <c r="AI91" s="1">
        <v>5</v>
      </c>
      <c r="AJ91" s="52" t="s">
        <v>2029</v>
      </c>
      <c r="AK91" s="9">
        <f>($L$3*(L91-$Q$1)/$Q$2+$M$3*(M91-$R$1)/$R$2+$N$3*(N91-$S$1)/$S$2+$O$3*(O91-$T$1)/$T$2+$P$3*(P91-$U$1)/$U$2)/(SUM($L$3:$P$3))</f>
        <v>-0.79512064214589528</v>
      </c>
      <c r="AL91" s="9">
        <f>($L$3*(Q91-$Q$1)/$Q$2+$M$3*(R91-$R$1)/$R$2+$N$3*(S91-$S$1)/$S$2+$O$3*(T91-$T$1)/$T$2+$P$3*(U91-$U$1)/$U$2)/(SUM($L$3:$P$3))</f>
        <v>0.16389753621840489</v>
      </c>
      <c r="AM91">
        <f>IF(AVERAGE(AG91:AH91)&gt;9,1,0)+IF(AVERAGE(AG91:AH91)&gt;7,1,0)+IF(AG91&gt;7,1,0)+IF(AH91&gt;7,1,0)+IF(AI91&gt;8,1,0)+IF(AI91&gt;6,1,0)</f>
        <v>2</v>
      </c>
      <c r="AN91" s="6">
        <f>MIN(2,IF(OR(Y91="-",X91&lt;5),0,1+IF(Y91&gt;7,1+IF(X91&gt;7,0.25,0),IF(Y91&gt;4,0.5+IF(X91&gt;7,0.25,0),0+IF(X91&gt;7,0.25))))+IF(Z91="-",0,IF(Z91&gt;9,0.5,IF(Z91&gt;7,0.25,0)))+IF(AA91="-",0,IF(AA91&gt;7,1.1,IF(AA91&gt;4,0.6,0)))+IF(OR(AB91="-",V91&lt;5),0,IF(AB91&gt;7,1+IF(V91&gt;7,0.25,0),IF(AB91&gt;4,0.5+IF(V91&gt;7,0.25,0),0)))+IF(AC91="-",0,IF(AC91&gt;7,1.5,IF(AC91&gt;4,1,0)))+IF(AD91="-",0,IF(AD91&gt;9,0.5,IF(AD91&gt;7,0.25,0)))+IF(AE91="-",0,IF(AE91&gt;7,1.25,IF(AE91&gt;4,0.75,0)))+IF(OR(AF91="-",W91&lt;4),0,IF(AF91&gt;7,1+IF(W91&gt;7,0.15,0),IF(AF91&gt;4,0.5+IF(W91&gt;7,0.15,0),0))))</f>
        <v>0.6</v>
      </c>
      <c r="AO91" s="9">
        <f>($AK$3*AK91+$AL$3*AL91+$AM$3*AM91+$AN$3*AN91)+$J$3*VLOOKUP(J91,COND!$A$2:$C$7,2,FALSE)+$K$3*VLOOKUP(K91,COND!$A$2:$C$7,3,FALSE)</f>
        <v>12.720591703739604</v>
      </c>
      <c r="AP91" s="37">
        <f>STANDARDIZE(AO91,AVERAGE($AO$5:$AO$1295),STDEVP($AO$5:$AO$1295))</f>
        <v>0.28536062422255637</v>
      </c>
      <c r="AQ91" t="str">
        <f>IF(AND(Y91&lt;&gt;"-",X91&gt;1),"C",IF(AA91=MAX(AA91:AC91),"2B",IF(AC91=MAX(AA91:AC91),"SS",IF(OR(AB91=MAX(Z91:AC91),AND(AB91&lt;&gt;"-",AB91&gt;4,V91&gt;5)),"3B",IF(AE91=MAX(AD91:AF91),"CF",IF(AND(AF91=MAX(AD91,AF91),AND(W91&gt;5,AD91&lt;&gt;"-")),"RF",IF(AD91&lt;&gt;"-","LF",IF(Z91&lt;&gt;"-","1B","DH"))))))))</f>
        <v>2B</v>
      </c>
      <c r="AR91" t="s">
        <v>35</v>
      </c>
      <c r="AT91" t="s">
        <v>156</v>
      </c>
      <c r="AU91" t="str">
        <f>IF(AND($Q91&gt;=6,AVERAGE($S91:$T91)&gt;=6),"Likely",IF(OR($Q91&gt;6,AND($Q91=6,AVERAGE($S91:$T91)&gt;=3),AND($Q91&gt;=5,AVERAGE($S91:$T91)&gt;=5),AVERAGE($Q91,$S91:$T91)&gt;5),"Possible","Unlikely"))</f>
        <v>Unlikely</v>
      </c>
      <c r="AW91" t="str">
        <f>IF(VLOOKUP($B91,'Draft List'!$D$4:$AB$2598,AW$3,FALSE)&lt;&gt;0,VLOOKUP($B91,'Draft List'!$D$4:$AB$2598,AW$3,FALSE),"")</f>
        <v/>
      </c>
      <c r="AX91" t="str">
        <f>IF(VLOOKUP($B91,'Draft List'!$D$4:$AB$2598,AX$3,FALSE)&lt;&gt;0,VLOOKUP($B91,'Draft List'!$D$4:$AB$2598,AX$3,FALSE),"")</f>
        <v/>
      </c>
      <c r="AY91" t="str">
        <f>IF(VLOOKUP($B91,'Draft List'!$D$4:$AB$2598,AY$3,FALSE)&lt;&gt;0,VLOOKUP($B91,'Draft List'!$D$4:$AB$2598,AY$3,FALSE),"")</f>
        <v/>
      </c>
    </row>
    <row r="92" spans="1:51">
      <c r="A92" t="str">
        <f>IF(C92="C","C-",C92)&amp;D92&amp;E92</f>
        <v>RFRick Wilson20</v>
      </c>
      <c r="B92">
        <f>VLOOKUP($A92,draft_listing_batters_stats!$A$1:$B$1324,2,FALSE)</f>
        <v>10386</v>
      </c>
      <c r="C92" s="1" t="s">
        <v>2057</v>
      </c>
      <c r="D92" s="1" t="s">
        <v>1260</v>
      </c>
      <c r="E92" s="1">
        <v>20</v>
      </c>
      <c r="F92" s="1" t="s">
        <v>2049</v>
      </c>
      <c r="G92" s="1" t="s">
        <v>2038</v>
      </c>
      <c r="H92" s="1" t="s">
        <v>2033</v>
      </c>
      <c r="I92" s="1" t="s">
        <v>2033</v>
      </c>
      <c r="J92" s="1" t="s">
        <v>2025</v>
      </c>
      <c r="K92" s="1" t="s">
        <v>2036</v>
      </c>
      <c r="L92" s="1">
        <v>1</v>
      </c>
      <c r="M92" s="1">
        <v>2</v>
      </c>
      <c r="N92" s="1">
        <v>2</v>
      </c>
      <c r="O92" s="1">
        <v>3</v>
      </c>
      <c r="P92" s="1">
        <v>1</v>
      </c>
      <c r="Q92" s="1">
        <v>4</v>
      </c>
      <c r="R92" s="1">
        <v>5</v>
      </c>
      <c r="S92" s="1">
        <v>7</v>
      </c>
      <c r="T92" s="1">
        <v>5</v>
      </c>
      <c r="U92" s="1">
        <v>4</v>
      </c>
      <c r="V92" s="1">
        <v>1</v>
      </c>
      <c r="W92" s="1">
        <v>8</v>
      </c>
      <c r="X92" s="1">
        <v>1</v>
      </c>
      <c r="Y92" s="1" t="s">
        <v>2027</v>
      </c>
      <c r="Z92" s="1" t="s">
        <v>2027</v>
      </c>
      <c r="AA92" s="1" t="s">
        <v>2027</v>
      </c>
      <c r="AB92" s="1" t="s">
        <v>2027</v>
      </c>
      <c r="AC92" s="1" t="s">
        <v>2027</v>
      </c>
      <c r="AD92" s="1">
        <v>1</v>
      </c>
      <c r="AE92" s="1">
        <v>2</v>
      </c>
      <c r="AF92" s="1">
        <v>8</v>
      </c>
      <c r="AG92" s="1">
        <v>8</v>
      </c>
      <c r="AH92" s="1">
        <v>8</v>
      </c>
      <c r="AI92" s="1">
        <v>7</v>
      </c>
      <c r="AJ92" s="52">
        <v>280000</v>
      </c>
      <c r="AK92" s="9">
        <f>($L$3*(L92-$Q$1)/$Q$2+$M$3*(M92-$R$1)/$R$2+$N$3*(N92-$S$1)/$S$2+$O$3*(O92-$T$1)/$T$2+$P$3*(P92-$U$1)/$U$2)/(SUM($L$3:$P$3))</f>
        <v>-1.7708028761658048</v>
      </c>
      <c r="AL92" s="9">
        <f>($L$3*(Q92-$Q$1)/$Q$2+$M$3*(R92-$R$1)/$R$2+$N$3*(S92-$S$1)/$S$2+$O$3*(T92-$T$1)/$T$2+$P$3*(U92-$U$1)/$U$2)/(SUM($L$3:$P$3))</f>
        <v>6.4819860888249647E-2</v>
      </c>
      <c r="AM92">
        <f>IF(AVERAGE(AG92:AH92)&gt;9,1,0)+IF(AVERAGE(AG92:AH92)&gt;7,1,0)+IF(AG92&gt;7,1,0)+IF(AH92&gt;7,1,0)+IF(AI92&gt;8,1,0)+IF(AI92&gt;6,1,0)</f>
        <v>4</v>
      </c>
      <c r="AN92" s="6">
        <f>MIN(2,IF(OR(Y92="-",X92&lt;5),0,1+IF(Y92&gt;7,1+IF(X92&gt;7,0.25,0),IF(Y92&gt;4,0.5+IF(X92&gt;7,0.25,0),0+IF(X92&gt;7,0.25))))+IF(Z92="-",0,IF(Z92&gt;9,0.5,IF(Z92&gt;7,0.25,0)))+IF(AA92="-",0,IF(AA92&gt;7,1.1,IF(AA92&gt;4,0.6,0)))+IF(OR(AB92="-",V92&lt;5),0,IF(AB92&gt;7,1+IF(V92&gt;7,0.25,0),IF(AB92&gt;4,0.5+IF(V92&gt;7,0.25,0),0)))+IF(AC92="-",0,IF(AC92&gt;7,1.5,IF(AC92&gt;4,1,0)))+IF(AD92="-",0,IF(AD92&gt;9,0.5,IF(AD92&gt;7,0.25,0)))+IF(AE92="-",0,IF(AE92&gt;7,1.25,IF(AE92&gt;4,0.75,0)))+IF(OR(AF92="-",W92&lt;4),0,IF(AF92&gt;7,1+IF(W92&gt;7,0.15,0),IF(AF92&gt;4,0.5+IF(W92&gt;7,0.15,0),0))))</f>
        <v>1.1499999999999999</v>
      </c>
      <c r="AO92" s="9">
        <f>($AK$3*AK92+$AL$3*AL92+$AM$3*AM92+$AN$3*AN92)+$J$3*VLOOKUP(J92,COND!$A$2:$C$7,2,FALSE)+$K$3*VLOOKUP(K92,COND!$A$2:$C$7,3,FALSE)</f>
        <v>12.667424709709081</v>
      </c>
      <c r="AP92" s="37">
        <f>STANDARDIZE(AO92,AVERAGE($AO$5:$AO$1295),STDEVP($AO$5:$AO$1295))</f>
        <v>0.27797447119875068</v>
      </c>
      <c r="AQ92" t="str">
        <f>IF(AND(Y92&lt;&gt;"-",X92&gt;1),"C",IF(AA92=MAX(AA92:AC92),"2B",IF(AC92=MAX(AA92:AC92),"SS",IF(OR(AB92=MAX(Z92:AC92),AND(AB92&lt;&gt;"-",AB92&gt;4,V92&gt;5)),"3B",IF(AE92=MAX(AD92:AF92),"CF",IF(AND(AF92=MAX(AD92,AF92),AND(W92&gt;5,AD92&lt;&gt;"-")),"RF",IF(AD92&lt;&gt;"-","LF",IF(Z92&lt;&gt;"-","1B","DH"))))))))</f>
        <v>RF</v>
      </c>
      <c r="AR92" t="s">
        <v>35</v>
      </c>
      <c r="AT92" t="s">
        <v>154</v>
      </c>
      <c r="AU92" t="str">
        <f>IF(AND($Q92&gt;=6,AVERAGE($S92:$T92)&gt;=6),"Likely",IF(OR($Q92&gt;6,AND($Q92=6,AVERAGE($S92:$T92)&gt;=3),AND($Q92&gt;=5,AVERAGE($S92:$T92)&gt;=5),AVERAGE($Q92,$S92:$T92)&gt;5),"Possible","Unlikely"))</f>
        <v>Possible</v>
      </c>
      <c r="AW92" t="str">
        <f>IF(VLOOKUP($B92,'Draft List'!$D$4:$AB$2598,AW$3,FALSE)&lt;&gt;0,VLOOKUP($B92,'Draft List'!$D$4:$AB$2598,AW$3,FALSE),"")</f>
        <v/>
      </c>
      <c r="AX92" t="str">
        <f>IF(VLOOKUP($B92,'Draft List'!$D$4:$AB$2598,AX$3,FALSE)&lt;&gt;0,VLOOKUP($B92,'Draft List'!$D$4:$AB$2598,AX$3,FALSE),"")</f>
        <v/>
      </c>
      <c r="AY92" t="str">
        <f>IF(VLOOKUP($B92,'Draft List'!$D$4:$AB$2598,AY$3,FALSE)&lt;&gt;0,VLOOKUP($B92,'Draft List'!$D$4:$AB$2598,AY$3,FALSE),"")</f>
        <v/>
      </c>
    </row>
    <row r="93" spans="1:51">
      <c r="A93" t="str">
        <f>IF(C93="C","C-",C93)&amp;D93&amp;E93</f>
        <v>RFCarlos Robinson21</v>
      </c>
      <c r="B93">
        <f>VLOOKUP($A93,draft_listing_batters_stats!$A$1:$B$1324,2,FALSE)</f>
        <v>2639</v>
      </c>
      <c r="C93" s="1" t="s">
        <v>2057</v>
      </c>
      <c r="D93" s="1" t="s">
        <v>1204</v>
      </c>
      <c r="E93" s="1">
        <v>21</v>
      </c>
      <c r="F93" s="1" t="s">
        <v>2038</v>
      </c>
      <c r="G93" s="1" t="s">
        <v>2038</v>
      </c>
      <c r="H93" s="1" t="s">
        <v>2033</v>
      </c>
      <c r="I93" s="1" t="s">
        <v>2033</v>
      </c>
      <c r="J93" s="1" t="s">
        <v>2026</v>
      </c>
      <c r="K93" s="1" t="s">
        <v>2025</v>
      </c>
      <c r="L93" s="1">
        <v>4</v>
      </c>
      <c r="M93" s="1">
        <v>4</v>
      </c>
      <c r="N93" s="1">
        <v>2</v>
      </c>
      <c r="O93" s="1">
        <v>2</v>
      </c>
      <c r="P93" s="1">
        <v>2</v>
      </c>
      <c r="Q93" s="1">
        <v>5</v>
      </c>
      <c r="R93" s="1">
        <v>6</v>
      </c>
      <c r="S93" s="1">
        <v>4</v>
      </c>
      <c r="T93" s="1">
        <v>5</v>
      </c>
      <c r="U93" s="1">
        <v>4</v>
      </c>
      <c r="V93" s="1">
        <v>1</v>
      </c>
      <c r="W93" s="1">
        <v>7</v>
      </c>
      <c r="X93" s="1">
        <v>1</v>
      </c>
      <c r="Y93" s="1" t="s">
        <v>2027</v>
      </c>
      <c r="Z93" s="1">
        <v>1</v>
      </c>
      <c r="AA93" s="1" t="s">
        <v>2027</v>
      </c>
      <c r="AB93" s="1" t="s">
        <v>2027</v>
      </c>
      <c r="AC93" s="1" t="s">
        <v>2027</v>
      </c>
      <c r="AD93" s="1">
        <v>5</v>
      </c>
      <c r="AE93" s="1">
        <v>2</v>
      </c>
      <c r="AF93" s="1">
        <v>5</v>
      </c>
      <c r="AG93" s="1">
        <v>4</v>
      </c>
      <c r="AH93" s="1">
        <v>6</v>
      </c>
      <c r="AI93" s="1">
        <v>5</v>
      </c>
      <c r="AJ93" s="52" t="s">
        <v>2029</v>
      </c>
      <c r="AK93" s="9">
        <f>($L$3*(L93-$Q$1)/$Q$2+$M$3*(M93-$R$1)/$R$2+$N$3*(N93-$S$1)/$S$2+$O$3*(O93-$T$1)/$T$2+$P$3*(P93-$U$1)/$U$2)/(SUM($L$3:$P$3))</f>
        <v>-0.75070881851287141</v>
      </c>
      <c r="AL93" s="9">
        <f>($L$3*(Q93-$Q$1)/$Q$2+$M$3*(R93-$R$1)/$R$2+$N$3*(S93-$S$1)/$S$2+$O$3*(T93-$T$1)/$T$2+$P$3*(U93-$U$1)/$U$2)/(SUM($L$3:$P$3))</f>
        <v>0.18925109463792333</v>
      </c>
      <c r="AM93">
        <f>IF(AVERAGE(AG93:AH93)&gt;9,1,0)+IF(AVERAGE(AG93:AH93)&gt;7,1,0)+IF(AG93&gt;7,1,0)+IF(AH93&gt;7,1,0)+IF(AI93&gt;8,1,0)+IF(AI93&gt;6,1,0)</f>
        <v>0</v>
      </c>
      <c r="AN93" s="6">
        <f>MIN(2,IF(OR(Y93="-",X93&lt;5),0,1+IF(Y93&gt;7,1+IF(X93&gt;7,0.25,0),IF(Y93&gt;4,0.5+IF(X93&gt;7,0.25,0),0+IF(X93&gt;7,0.25))))+IF(Z93="-",0,IF(Z93&gt;9,0.5,IF(Z93&gt;7,0.25,0)))+IF(AA93="-",0,IF(AA93&gt;7,1.1,IF(AA93&gt;4,0.6,0)))+IF(OR(AB93="-",V93&lt;5),0,IF(AB93&gt;7,1+IF(V93&gt;7,0.25,0),IF(AB93&gt;4,0.5+IF(V93&gt;7,0.25,0),0)))+IF(AC93="-",0,IF(AC93&gt;7,1.5,IF(AC93&gt;4,1,0)))+IF(AD93="-",0,IF(AD93&gt;9,0.5,IF(AD93&gt;7,0.25,0)))+IF(AE93="-",0,IF(AE93&gt;7,1.25,IF(AE93&gt;4,0.75,0)))+IF(OR(AF93="-",W93&lt;4),0,IF(AF93&gt;7,1+IF(W93&gt;7,0.15,0),IF(AF93&gt;4,0.5+IF(W93&gt;7,0.15,0),0))))</f>
        <v>0.5</v>
      </c>
      <c r="AO93" s="9">
        <f>($AK$3*AK93+$AL$3*AL93+$AM$3*AM93+$AN$3*AN93)+$J$3*VLOOKUP(J93,COND!$A$2:$C$7,2,FALSE)+$K$3*VLOOKUP(K93,COND!$A$2:$C$7,3,FALSE)</f>
        <v>12.595942253803793</v>
      </c>
      <c r="AP93" s="37">
        <f>STANDARDIZE(AO93,AVERAGE($AO$5:$AO$1295),STDEVP($AO$5:$AO$1295))</f>
        <v>0.26804386730696794</v>
      </c>
      <c r="AQ93" t="str">
        <f>IF(AND(Y93&lt;&gt;"-",X93&gt;1),"C",IF(AA93=MAX(AA93:AC93),"2B",IF(AC93=MAX(AA93:AC93),"SS",IF(OR(AB93=MAX(Z93:AC93),AND(AB93&lt;&gt;"-",AB93&gt;4,V93&gt;5)),"3B",IF(AE93=MAX(AD93:AF93),"CF",IF(AND(AF93=MAX(AD93,AF93),AND(W93&gt;5,AD93&lt;&gt;"-")),"RF",IF(AD93&lt;&gt;"-","LF",IF(Z93&lt;&gt;"-","1B","DH"))))))))</f>
        <v>RF</v>
      </c>
      <c r="AR93" t="s">
        <v>35</v>
      </c>
      <c r="AT93" t="s">
        <v>155</v>
      </c>
      <c r="AU93" t="str">
        <f>IF(AND($Q93&gt;=6,AVERAGE($S93:$T93)&gt;=6),"Likely",IF(OR($Q93&gt;6,AND($Q93=6,AVERAGE($S93:$T93)&gt;=3),AND($Q93&gt;=5,AVERAGE($S93:$T93)&gt;=5),AVERAGE($Q93,$S93:$T93)&gt;5),"Possible","Unlikely"))</f>
        <v>Unlikely</v>
      </c>
      <c r="AW93" t="str">
        <f>IF(VLOOKUP($B93,'Draft List'!$D$4:$AB$2598,AW$3,FALSE)&lt;&gt;0,VLOOKUP($B93,'Draft List'!$D$4:$AB$2598,AW$3,FALSE),"")</f>
        <v/>
      </c>
      <c r="AX93" t="str">
        <f>IF(VLOOKUP($B93,'Draft List'!$D$4:$AB$2598,AX$3,FALSE)&lt;&gt;0,VLOOKUP($B93,'Draft List'!$D$4:$AB$2598,AX$3,FALSE),"")</f>
        <v/>
      </c>
      <c r="AY93" t="str">
        <f>IF(VLOOKUP($B93,'Draft List'!$D$4:$AB$2598,AY$3,FALSE)&lt;&gt;0,VLOOKUP($B93,'Draft List'!$D$4:$AB$2598,AY$3,FALSE),"")</f>
        <v/>
      </c>
    </row>
    <row r="94" spans="1:51">
      <c r="A94" t="str">
        <f>IF(C94="C","C-",C94)&amp;D94&amp;E94</f>
        <v>RFLuis Antonio Sánchez21</v>
      </c>
      <c r="B94" t="e">
        <f>VLOOKUP($A94,draft_listing_batters_stats!$A$1:$B$1324,2,FALSE)</f>
        <v>#N/A</v>
      </c>
      <c r="C94" s="1" t="s">
        <v>2057</v>
      </c>
      <c r="D94" s="1" t="s">
        <v>1209</v>
      </c>
      <c r="E94" s="1">
        <v>21</v>
      </c>
      <c r="F94" s="1" t="s">
        <v>2022</v>
      </c>
      <c r="G94" s="1" t="s">
        <v>2022</v>
      </c>
      <c r="H94" s="1" t="s">
        <v>2033</v>
      </c>
      <c r="I94" s="1" t="s">
        <v>2033</v>
      </c>
      <c r="J94" s="1" t="s">
        <v>2040</v>
      </c>
      <c r="K94" s="1" t="s">
        <v>2025</v>
      </c>
      <c r="L94" s="1">
        <v>3</v>
      </c>
      <c r="M94" s="1">
        <v>2</v>
      </c>
      <c r="N94" s="1">
        <v>1</v>
      </c>
      <c r="O94" s="1">
        <v>2</v>
      </c>
      <c r="P94" s="1">
        <v>2</v>
      </c>
      <c r="Q94" s="1">
        <v>5</v>
      </c>
      <c r="R94" s="1">
        <v>5</v>
      </c>
      <c r="S94" s="1">
        <v>4</v>
      </c>
      <c r="T94" s="1">
        <v>5</v>
      </c>
      <c r="U94" s="1">
        <v>4</v>
      </c>
      <c r="V94" s="1">
        <v>1</v>
      </c>
      <c r="W94" s="1">
        <v>6</v>
      </c>
      <c r="X94" s="1">
        <v>1</v>
      </c>
      <c r="Y94" s="1" t="s">
        <v>2027</v>
      </c>
      <c r="Z94" s="1" t="s">
        <v>2027</v>
      </c>
      <c r="AA94" s="1" t="s">
        <v>2027</v>
      </c>
      <c r="AB94" s="1" t="s">
        <v>2027</v>
      </c>
      <c r="AC94" s="1" t="s">
        <v>2027</v>
      </c>
      <c r="AD94" s="1">
        <v>5</v>
      </c>
      <c r="AE94" s="1">
        <v>2</v>
      </c>
      <c r="AF94" s="1">
        <v>5</v>
      </c>
      <c r="AG94" s="1">
        <v>6</v>
      </c>
      <c r="AH94" s="1">
        <v>9</v>
      </c>
      <c r="AI94" s="1">
        <v>9</v>
      </c>
      <c r="AJ94" s="52" t="s">
        <v>2029</v>
      </c>
      <c r="AK94" s="9">
        <f>($L$3*(L94-$Q$1)/$Q$2+$M$3*(M94-$R$1)/$R$2+$N$3*(N94-$S$1)/$S$2+$O$3*(O94-$T$1)/$T$2+$P$3*(P94-$U$1)/$U$2)/(SUM($L$3:$P$3))</f>
        <v>-1.2584459079768546</v>
      </c>
      <c r="AL94" s="9">
        <f>($L$3*(Q94-$Q$1)/$Q$2+$M$3*(R94-$R$1)/$R$2+$N$3*(S94-$S$1)/$S$2+$O$3*(T94-$T$1)/$T$2+$P$3*(U94-$U$1)/$U$2)/(SUM($L$3:$P$3))</f>
        <v>0.13819121501921985</v>
      </c>
      <c r="AM94">
        <f>IF(AVERAGE(AG94:AH94)&gt;9,1,0)+IF(AVERAGE(AG94:AH94)&gt;7,1,0)+IF(AG94&gt;7,1,0)+IF(AH94&gt;7,1,0)+IF(AI94&gt;8,1,0)+IF(AI94&gt;6,1,0)</f>
        <v>4</v>
      </c>
      <c r="AN94" s="6">
        <f>MIN(2,IF(OR(Y94="-",X94&lt;5),0,1+IF(Y94&gt;7,1+IF(X94&gt;7,0.25,0),IF(Y94&gt;4,0.5+IF(X94&gt;7,0.25,0),0+IF(X94&gt;7,0.25))))+IF(Z94="-",0,IF(Z94&gt;9,0.5,IF(Z94&gt;7,0.25,0)))+IF(AA94="-",0,IF(AA94&gt;7,1.1,IF(AA94&gt;4,0.6,0)))+IF(OR(AB94="-",V94&lt;5),0,IF(AB94&gt;7,1+IF(V94&gt;7,0.25,0),IF(AB94&gt;4,0.5+IF(V94&gt;7,0.25,0),0)))+IF(AC94="-",0,IF(AC94&gt;7,1.5,IF(AC94&gt;4,1,0)))+IF(AD94="-",0,IF(AD94&gt;9,0.5,IF(AD94&gt;7,0.25,0)))+IF(AE94="-",0,IF(AE94&gt;7,1.25,IF(AE94&gt;4,0.75,0)))+IF(OR(AF94="-",W94&lt;4),0,IF(AF94&gt;7,1+IF(W94&gt;7,0.15,0),IF(AF94&gt;4,0.5+IF(W94&gt;7,0.15,0),0))))</f>
        <v>0.5</v>
      </c>
      <c r="AO94" s="9">
        <f>($AK$3*AK94+$AL$3*AL94+$AM$3*AM94+$AN$3*AN94)+$J$3*VLOOKUP(J94,COND!$A$2:$C$7,2,FALSE)+$K$3*VLOOKUP(K94,COND!$A$2:$C$7,3,FALSE)</f>
        <v>12.199116656099619</v>
      </c>
      <c r="AP94" s="37">
        <f>STANDARDIZE(AO94,AVERAGE($AO$5:$AO$1295),STDEVP($AO$5:$AO$1295))</f>
        <v>0.21291540571435821</v>
      </c>
      <c r="AQ94" t="str">
        <f>IF(AND(Y94&lt;&gt;"-",X94&gt;1),"C",IF(AA94=MAX(AA94:AC94),"2B",IF(AC94=MAX(AA94:AC94),"SS",IF(OR(AB94=MAX(Z94:AC94),AND(AB94&lt;&gt;"-",AB94&gt;4,V94&gt;5)),"3B",IF(AE94=MAX(AD94:AF94),"CF",IF(AND(AF94=MAX(AD94,AF94),AND(W94&gt;5,AD94&lt;&gt;"-")),"RF",IF(AD94&lt;&gt;"-","LF",IF(Z94&lt;&gt;"-","1B","DH"))))))))</f>
        <v>RF</v>
      </c>
      <c r="AR94" t="s">
        <v>35</v>
      </c>
      <c r="AT94" t="s">
        <v>155</v>
      </c>
      <c r="AU94" t="str">
        <f>IF(AND($Q94&gt;=6,AVERAGE($S94:$T94)&gt;=6),"Likely",IF(OR($Q94&gt;6,AND($Q94=6,AVERAGE($S94:$T94)&gt;=3),AND($Q94&gt;=5,AVERAGE($S94:$T94)&gt;=5),AVERAGE($Q94,$S94:$T94)&gt;5),"Possible","Unlikely"))</f>
        <v>Unlikely</v>
      </c>
      <c r="AW94" t="e">
        <f>IF(VLOOKUP($B94,'Draft List'!$D$4:$AB$2598,AW$3,FALSE)&lt;&gt;0,VLOOKUP($B94,'Draft List'!$D$4:$AB$2598,AW$3,FALSE),"")</f>
        <v>#N/A</v>
      </c>
      <c r="AX94" t="e">
        <f>IF(VLOOKUP($B94,'Draft List'!$D$4:$AB$2598,AX$3,FALSE)&lt;&gt;0,VLOOKUP($B94,'Draft List'!$D$4:$AB$2598,AX$3,FALSE),"")</f>
        <v>#N/A</v>
      </c>
      <c r="AY94" t="e">
        <f>IF(VLOOKUP($B94,'Draft List'!$D$4:$AB$2598,AY$3,FALSE)&lt;&gt;0,VLOOKUP($B94,'Draft List'!$D$4:$AB$2598,AY$3,FALSE),"")</f>
        <v>#N/A</v>
      </c>
    </row>
    <row r="95" spans="1:51">
      <c r="A95" t="str">
        <f>IF(C95="C","C-",C95)&amp;D95&amp;E95</f>
        <v>RFRiver Mitchell18</v>
      </c>
      <c r="B95">
        <f>VLOOKUP($A95,draft_listing_batters_stats!$A$1:$B$1324,2,FALSE)</f>
        <v>13784</v>
      </c>
      <c r="C95" s="1" t="s">
        <v>2057</v>
      </c>
      <c r="D95" s="1" t="s">
        <v>1373</v>
      </c>
      <c r="E95" s="1">
        <v>18</v>
      </c>
      <c r="F95" s="1" t="s">
        <v>2038</v>
      </c>
      <c r="G95" s="1" t="s">
        <v>2038</v>
      </c>
      <c r="H95" s="1" t="s">
        <v>2033</v>
      </c>
      <c r="I95" s="1" t="s">
        <v>2033</v>
      </c>
      <c r="J95" s="1" t="s">
        <v>2040</v>
      </c>
      <c r="K95" s="1" t="s">
        <v>2036</v>
      </c>
      <c r="L95" s="1">
        <v>1</v>
      </c>
      <c r="M95" s="1">
        <v>2</v>
      </c>
      <c r="N95" s="1">
        <v>1</v>
      </c>
      <c r="O95" s="1">
        <v>2</v>
      </c>
      <c r="P95" s="1">
        <v>1</v>
      </c>
      <c r="Q95" s="1">
        <v>5</v>
      </c>
      <c r="R95" s="1">
        <v>6</v>
      </c>
      <c r="S95" s="1">
        <v>5</v>
      </c>
      <c r="T95" s="1">
        <v>3</v>
      </c>
      <c r="U95" s="1">
        <v>5</v>
      </c>
      <c r="V95" s="1">
        <v>1</v>
      </c>
      <c r="W95" s="1">
        <v>6</v>
      </c>
      <c r="X95" s="1">
        <v>1</v>
      </c>
      <c r="Y95" s="1" t="s">
        <v>2027</v>
      </c>
      <c r="Z95" s="1">
        <v>1</v>
      </c>
      <c r="AA95" s="1" t="s">
        <v>2027</v>
      </c>
      <c r="AB95" s="1" t="s">
        <v>2027</v>
      </c>
      <c r="AC95" s="1" t="s">
        <v>2027</v>
      </c>
      <c r="AD95" s="1">
        <v>1</v>
      </c>
      <c r="AE95" s="1" t="s">
        <v>2027</v>
      </c>
      <c r="AF95" s="1">
        <v>1</v>
      </c>
      <c r="AG95" s="1">
        <v>10</v>
      </c>
      <c r="AH95" s="1">
        <v>9</v>
      </c>
      <c r="AI95" s="1">
        <v>10</v>
      </c>
      <c r="AJ95" s="52" t="s">
        <v>2029</v>
      </c>
      <c r="AK95" s="9">
        <f>($L$3*(L95-$Q$1)/$Q$2+$M$3*(M95-$R$1)/$R$2+$N$3*(N95-$S$1)/$S$2+$O$3*(O95-$T$1)/$T$2+$P$3*(P95-$U$1)/$U$2)/(SUM($L$3:$P$3))</f>
        <v>-1.9435739201992874</v>
      </c>
      <c r="AL95" s="9">
        <f>($L$3*(Q95-$Q$1)/$Q$2+$M$3*(R95-$R$1)/$R$2+$N$3*(S95-$S$1)/$S$2+$O$3*(T95-$T$1)/$T$2+$P$3*(U95-$U$1)/$U$2)/(SUM($L$3:$P$3))</f>
        <v>0.13290982845974622</v>
      </c>
      <c r="AM95">
        <f>IF(AVERAGE(AG95:AH95)&gt;9,1,0)+IF(AVERAGE(AG95:AH95)&gt;7,1,0)+IF(AG95&gt;7,1,0)+IF(AH95&gt;7,1,0)+IF(AI95&gt;8,1,0)+IF(AI95&gt;6,1,0)</f>
        <v>6</v>
      </c>
      <c r="AN95" s="6">
        <f>MIN(2,IF(OR(Y95="-",X95&lt;5),0,1+IF(Y95&gt;7,1+IF(X95&gt;7,0.25,0),IF(Y95&gt;4,0.5+IF(X95&gt;7,0.25,0),0+IF(X95&gt;7,0.25))))+IF(Z95="-",0,IF(Z95&gt;9,0.5,IF(Z95&gt;7,0.25,0)))+IF(AA95="-",0,IF(AA95&gt;7,1.1,IF(AA95&gt;4,0.6,0)))+IF(OR(AB95="-",V95&lt;5),0,IF(AB95&gt;7,1+IF(V95&gt;7,0.25,0),IF(AB95&gt;4,0.5+IF(V95&gt;7,0.25,0),0)))+IF(AC95="-",0,IF(AC95&gt;7,1.5,IF(AC95&gt;4,1,0)))+IF(AD95="-",0,IF(AD95&gt;9,0.5,IF(AD95&gt;7,0.25,0)))+IF(AE95="-",0,IF(AE95&gt;7,1.25,IF(AE95&gt;4,0.75,0)))+IF(OR(AF95="-",W95&lt;4),0,IF(AF95&gt;7,1+IF(W95&gt;7,0.15,0),IF(AF95&gt;4,0.5+IF(W95&gt;7,0.15,0),0))))</f>
        <v>0</v>
      </c>
      <c r="AO95" s="9">
        <f>($AK$3*AK95+$AL$3*AL95+$AM$3*AM95+$AN$3*AN95)+$J$3*VLOOKUP(J95,COND!$A$2:$C$7,2,FALSE)+$K$3*VLOOKUP(K95,COND!$A$2:$C$7,3,FALSE)</f>
        <v>12.150560549497026</v>
      </c>
      <c r="AP95" s="37">
        <f>STANDARDIZE(AO95,AVERAGE($AO$5:$AO$1295),STDEVP($AO$5:$AO$1295))</f>
        <v>0.20616981401509685</v>
      </c>
      <c r="AQ95" t="str">
        <f>IF(AND(Y95&lt;&gt;"-",X95&gt;1),"C",IF(AA95=MAX(AA95:AC95),"2B",IF(AC95=MAX(AA95:AC95),"SS",IF(OR(AB95=MAX(Z95:AC95),AND(AB95&lt;&gt;"-",AB95&gt;4,V95&gt;5)),"3B",IF(AE95=MAX(AD95:AF95),"CF",IF(AND(AF95=MAX(AD95,AF95),AND(W95&gt;5,AD95&lt;&gt;"-")),"RF",IF(AD95&lt;&gt;"-","LF",IF(Z95&lt;&gt;"-","1B","DH"))))))))</f>
        <v>RF</v>
      </c>
      <c r="AR95" t="s">
        <v>35</v>
      </c>
      <c r="AT95" t="s">
        <v>155</v>
      </c>
      <c r="AU95" t="str">
        <f>IF(AND($Q95&gt;=6,AVERAGE($S95:$T95)&gt;=6),"Likely",IF(OR($Q95&gt;6,AND($Q95=6,AVERAGE($S95:$T95)&gt;=3),AND($Q95&gt;=5,AVERAGE($S95:$T95)&gt;=5),AVERAGE($Q95,$S95:$T95)&gt;5),"Possible","Unlikely"))</f>
        <v>Unlikely</v>
      </c>
      <c r="AW95" t="str">
        <f>IF(VLOOKUP($B95,'Draft List'!$D$4:$AB$2598,AW$3,FALSE)&lt;&gt;0,VLOOKUP($B95,'Draft List'!$D$4:$AB$2598,AW$3,FALSE),"")</f>
        <v/>
      </c>
      <c r="AX95" t="str">
        <f>IF(VLOOKUP($B95,'Draft List'!$D$4:$AB$2598,AX$3,FALSE)&lt;&gt;0,VLOOKUP($B95,'Draft List'!$D$4:$AB$2598,AX$3,FALSE),"")</f>
        <v/>
      </c>
      <c r="AY95" t="str">
        <f>IF(VLOOKUP($B95,'Draft List'!$D$4:$AB$2598,AY$3,FALSE)&lt;&gt;0,VLOOKUP($B95,'Draft List'!$D$4:$AB$2598,AY$3,FALSE),"")</f>
        <v/>
      </c>
    </row>
    <row r="96" spans="1:51">
      <c r="A96" t="str">
        <f>IF(C96="C","C-",C96)&amp;D96&amp;E96</f>
        <v>C-Raymond Powys21</v>
      </c>
      <c r="B96">
        <f>VLOOKUP($A96,draft_listing_batters_stats!$A$1:$B$1324,2,FALSE)</f>
        <v>2988</v>
      </c>
      <c r="C96" s="1" t="s">
        <v>2091</v>
      </c>
      <c r="D96" s="1" t="s">
        <v>1195</v>
      </c>
      <c r="E96" s="1">
        <v>21</v>
      </c>
      <c r="F96" s="1" t="s">
        <v>2022</v>
      </c>
      <c r="G96" s="1" t="s">
        <v>2022</v>
      </c>
      <c r="H96" s="1" t="s">
        <v>2033</v>
      </c>
      <c r="I96" s="1" t="s">
        <v>2033</v>
      </c>
      <c r="J96" s="1" t="s">
        <v>2025</v>
      </c>
      <c r="K96" s="1" t="s">
        <v>2025</v>
      </c>
      <c r="L96" s="1">
        <v>3</v>
      </c>
      <c r="M96" s="1">
        <v>4</v>
      </c>
      <c r="N96" s="1">
        <v>1</v>
      </c>
      <c r="O96" s="1">
        <v>1</v>
      </c>
      <c r="P96" s="1">
        <v>3</v>
      </c>
      <c r="Q96" s="1">
        <v>5</v>
      </c>
      <c r="R96" s="1">
        <v>7</v>
      </c>
      <c r="S96" s="1">
        <v>4</v>
      </c>
      <c r="T96" s="1">
        <v>3</v>
      </c>
      <c r="U96" s="1">
        <v>4</v>
      </c>
      <c r="V96" s="1">
        <v>5</v>
      </c>
      <c r="W96" s="1">
        <v>5</v>
      </c>
      <c r="X96" s="1">
        <v>6</v>
      </c>
      <c r="Y96" s="1">
        <v>5</v>
      </c>
      <c r="Z96" s="1" t="s">
        <v>2027</v>
      </c>
      <c r="AA96" s="1" t="s">
        <v>2027</v>
      </c>
      <c r="AB96" s="1" t="s">
        <v>2027</v>
      </c>
      <c r="AC96" s="1" t="s">
        <v>2027</v>
      </c>
      <c r="AD96" s="1" t="s">
        <v>2027</v>
      </c>
      <c r="AE96" s="1" t="s">
        <v>2027</v>
      </c>
      <c r="AF96" s="1" t="s">
        <v>2027</v>
      </c>
      <c r="AG96" s="1">
        <v>2</v>
      </c>
      <c r="AH96" s="1">
        <v>4</v>
      </c>
      <c r="AI96" s="1">
        <v>2</v>
      </c>
      <c r="AJ96" s="52" t="s">
        <v>2029</v>
      </c>
      <c r="AK96" s="9">
        <f>($L$3*(L96-$Q$1)/$Q$2+$M$3*(M96-$R$1)/$R$2+$N$3*(N96-$S$1)/$S$2+$O$3*(O96-$T$1)/$T$2+$P$3*(P96-$U$1)/$U$2)/(SUM($L$3:$P$3))</f>
        <v>-1.2060193589319452</v>
      </c>
      <c r="AL96" s="9">
        <f>($L$3*(Q96-$Q$1)/$Q$2+$M$3*(R96-$R$1)/$R$2+$N$3*(S96-$S$1)/$S$2+$O$3*(T96-$T$1)/$T$2+$P$3*(U96-$U$1)/$U$2)/(SUM($L$3:$P$3))</f>
        <v>6.0891874237464783E-2</v>
      </c>
      <c r="AM96">
        <f>IF(AVERAGE(AG96:AH96)&gt;9,1,0)+IF(AVERAGE(AG96:AH96)&gt;7,1,0)+IF(AG96&gt;7,1,0)+IF(AH96&gt;7,1,0)+IF(AI96&gt;8,1,0)+IF(AI96&gt;6,1,0)</f>
        <v>0</v>
      </c>
      <c r="AN96" s="6">
        <f>MIN(2,IF(OR(Y96="-",X96&lt;5),0,1+IF(Y96&gt;7,1+IF(X96&gt;7,0.25,0),IF(Y96&gt;4,0.5+IF(X96&gt;7,0.25,0),0+IF(X96&gt;7,0.25))))+IF(Z96="-",0,IF(Z96&gt;9,0.5,IF(Z96&gt;7,0.25,0)))+IF(AA96="-",0,IF(AA96&gt;7,1.1,IF(AA96&gt;4,0.6,0)))+IF(OR(AB96="-",V96&lt;5),0,IF(AB96&gt;7,1+IF(V96&gt;7,0.25,0),IF(AB96&gt;4,0.5+IF(V96&gt;7,0.25,0),0)))+IF(AC96="-",0,IF(AC96&gt;7,1.5,IF(AC96&gt;4,1,0)))+IF(AD96="-",0,IF(AD96&gt;9,0.5,IF(AD96&gt;7,0.25,0)))+IF(AE96="-",0,IF(AE96&gt;7,1.25,IF(AE96&gt;4,0.75,0)))+IF(OR(AF96="-",W96&lt;4),0,IF(AF96&gt;7,1+IF(W96&gt;7,0.15,0),IF(AF96&gt;4,0.5+IF(W96&gt;7,0.15,0),0))))</f>
        <v>1.5</v>
      </c>
      <c r="AO96" s="9">
        <f>($AK$3*AK96+$AL$3*AL96+$AM$3*AM96+$AN$3*AN96)+$J$3*VLOOKUP(J96,COND!$A$2:$C$7,2,FALSE)+$K$3*VLOOKUP(K96,COND!$A$2:$C$7,3,FALSE)</f>
        <v>12.110100554956382</v>
      </c>
      <c r="AP96" s="37">
        <f>STANDARDIZE(AO96,AVERAGE($AO$5:$AO$1295),STDEVP($AO$5:$AO$1295))</f>
        <v>0.2005489637776737</v>
      </c>
      <c r="AQ96" t="str">
        <f>IF(AND(Y96&lt;&gt;"-",X96&gt;1),"C",IF(AA96=MAX(AA96:AC96),"2B",IF(AC96=MAX(AA96:AC96),"SS",IF(OR(AB96=MAX(Z96:AC96),AND(AB96&lt;&gt;"-",AB96&gt;4,V96&gt;5)),"3B",IF(AE96=MAX(AD96:AF96),"CF",IF(AND(AF96=MAX(AD96,AF96),AND(W96&gt;5,AD96&lt;&gt;"-")),"RF",IF(AD96&lt;&gt;"-","LF",IF(Z96&lt;&gt;"-","1B","DH"))))))))</f>
        <v>C</v>
      </c>
      <c r="AR96" t="s">
        <v>35</v>
      </c>
      <c r="AT96" t="s">
        <v>155</v>
      </c>
      <c r="AU96" t="str">
        <f>IF(AND($Q96&gt;=6,AVERAGE($S96:$T96)&gt;=6),"Likely",IF(OR($Q96&gt;6,AND($Q96=6,AVERAGE($S96:$T96)&gt;=3),AND($Q96&gt;=5,AVERAGE($S96:$T96)&gt;=5),AVERAGE($Q96,$S96:$T96)&gt;5),"Possible","Unlikely"))</f>
        <v>Unlikely</v>
      </c>
      <c r="AW96" t="str">
        <f>IF(VLOOKUP($B96,'Draft List'!$D$4:$AB$2598,AW$3,FALSE)&lt;&gt;0,VLOOKUP($B96,'Draft List'!$D$4:$AB$2598,AW$3,FALSE),"")</f>
        <v/>
      </c>
      <c r="AX96" t="str">
        <f>IF(VLOOKUP($B96,'Draft List'!$D$4:$AB$2598,AX$3,FALSE)&lt;&gt;0,VLOOKUP($B96,'Draft List'!$D$4:$AB$2598,AX$3,FALSE),"")</f>
        <v/>
      </c>
      <c r="AY96" t="str">
        <f>IF(VLOOKUP($B96,'Draft List'!$D$4:$AB$2598,AY$3,FALSE)&lt;&gt;0,VLOOKUP($B96,'Draft List'!$D$4:$AB$2598,AY$3,FALSE),"")</f>
        <v/>
      </c>
    </row>
    <row r="97" spans="1:51">
      <c r="A97" t="str">
        <f>IF(C97="C","C-",C97)&amp;D97&amp;E97</f>
        <v>CFDave Clay21</v>
      </c>
      <c r="B97">
        <f>VLOOKUP($A97,draft_listing_batters_stats!$A$1:$B$1324,2,FALSE)</f>
        <v>2799</v>
      </c>
      <c r="C97" s="1" t="s">
        <v>2079</v>
      </c>
      <c r="D97" s="1" t="s">
        <v>1474</v>
      </c>
      <c r="E97" s="1">
        <v>21</v>
      </c>
      <c r="F97" s="1" t="s">
        <v>2022</v>
      </c>
      <c r="G97" s="1" t="s">
        <v>2038</v>
      </c>
      <c r="H97" s="1" t="s">
        <v>2033</v>
      </c>
      <c r="I97" s="1" t="s">
        <v>2033</v>
      </c>
      <c r="J97" s="1" t="s">
        <v>2026</v>
      </c>
      <c r="K97" s="1" t="s">
        <v>2036</v>
      </c>
      <c r="L97" s="1">
        <v>3</v>
      </c>
      <c r="M97" s="1">
        <v>3</v>
      </c>
      <c r="N97" s="1">
        <v>2</v>
      </c>
      <c r="O97" s="1">
        <v>3</v>
      </c>
      <c r="P97" s="1">
        <v>2</v>
      </c>
      <c r="Q97" s="1">
        <v>5</v>
      </c>
      <c r="R97" s="1">
        <v>4</v>
      </c>
      <c r="S97" s="1">
        <v>5</v>
      </c>
      <c r="T97" s="1">
        <v>4</v>
      </c>
      <c r="U97" s="1">
        <v>4</v>
      </c>
      <c r="V97" s="1">
        <v>1</v>
      </c>
      <c r="W97" s="1">
        <v>7</v>
      </c>
      <c r="X97" s="1">
        <v>1</v>
      </c>
      <c r="Y97" s="1" t="s">
        <v>2027</v>
      </c>
      <c r="Z97" s="1" t="s">
        <v>2027</v>
      </c>
      <c r="AA97" s="1" t="s">
        <v>2027</v>
      </c>
      <c r="AB97" s="1" t="s">
        <v>2027</v>
      </c>
      <c r="AC97" s="1" t="s">
        <v>2027</v>
      </c>
      <c r="AD97" s="1">
        <v>5</v>
      </c>
      <c r="AE97" s="1">
        <v>3</v>
      </c>
      <c r="AF97" s="1">
        <v>5</v>
      </c>
      <c r="AG97" s="1">
        <v>6</v>
      </c>
      <c r="AH97" s="1">
        <v>10</v>
      </c>
      <c r="AI97" s="1">
        <v>8</v>
      </c>
      <c r="AJ97" s="52" t="s">
        <v>2029</v>
      </c>
      <c r="AK97" s="9">
        <f>($L$3*(L97-$Q$1)/$Q$2+$M$3*(M97-$R$1)/$R$2+$N$3*(N97-$S$1)/$S$2+$O$3*(O97-$T$1)/$T$2+$P$3*(P97-$U$1)/$U$2)/(SUM($L$3:$P$3))</f>
        <v>-1.0346149843246686</v>
      </c>
      <c r="AL97" s="9">
        <f>($L$3*(Q97-$Q$1)/$Q$2+$M$3*(R97-$R$1)/$R$2+$N$3*(S97-$S$1)/$S$2+$O$3*(T97-$T$1)/$T$2+$P$3*(U97-$U$1)/$U$2)/(SUM($L$3:$P$3))</f>
        <v>8.0483279414836809E-2</v>
      </c>
      <c r="AM97">
        <f>IF(AVERAGE(AG97:AH97)&gt;9,1,0)+IF(AVERAGE(AG97:AH97)&gt;7,1,0)+IF(AG97&gt;7,1,0)+IF(AH97&gt;7,1,0)+IF(AI97&gt;8,1,0)+IF(AI97&gt;6,1,0)</f>
        <v>3</v>
      </c>
      <c r="AN97" s="6">
        <f>MIN(2,IF(OR(Y97="-",X97&lt;5),0,1+IF(Y97&gt;7,1+IF(X97&gt;7,0.25,0),IF(Y97&gt;4,0.5+IF(X97&gt;7,0.25,0),0+IF(X97&gt;7,0.25))))+IF(Z97="-",0,IF(Z97&gt;9,0.5,IF(Z97&gt;7,0.25,0)))+IF(AA97="-",0,IF(AA97&gt;7,1.1,IF(AA97&gt;4,0.6,0)))+IF(OR(AB97="-",V97&lt;5),0,IF(AB97&gt;7,1+IF(V97&gt;7,0.25,0),IF(AB97&gt;4,0.5+IF(V97&gt;7,0.25,0),0)))+IF(AC97="-",0,IF(AC97&gt;7,1.5,IF(AC97&gt;4,1,0)))+IF(AD97="-",0,IF(AD97&gt;9,0.5,IF(AD97&gt;7,0.25,0)))+IF(AE97="-",0,IF(AE97&gt;7,1.25,IF(AE97&gt;4,0.75,0)))+IF(OR(AF97="-",W97&lt;4),0,IF(AF97&gt;7,1+IF(W97&gt;7,0.15,0),IF(AF97&gt;4,0.5+IF(W97&gt;7,0.15,0),0))))</f>
        <v>0.5</v>
      </c>
      <c r="AO97" s="9">
        <f>($AK$3*AK97+$AL$3*AL97+$AM$3*AM97+$AN$3*AN97)+$J$3*VLOOKUP(J97,COND!$A$2:$C$7,2,FALSE)+$K$3*VLOOKUP(K97,COND!$A$2:$C$7,3,FALSE)</f>
        <v>12.012337854545574</v>
      </c>
      <c r="AP97" s="37">
        <f>STANDARDIZE(AO97,AVERAGE($AO$5:$AO$1295),STDEVP($AO$5:$AO$1295))</f>
        <v>0.18696741232038891</v>
      </c>
      <c r="AQ97" t="str">
        <f>IF(AND(Y97&lt;&gt;"-",X97&gt;1),"C",IF(AA97=MAX(AA97:AC97),"2B",IF(AC97=MAX(AA97:AC97),"SS",IF(OR(AB97=MAX(Z97:AC97),AND(AB97&lt;&gt;"-",AB97&gt;4,V97&gt;5)),"3B",IF(AE97=MAX(AD97:AF97),"CF",IF(AND(AF97=MAX(AD97,AF97),AND(W97&gt;5,AD97&lt;&gt;"-")),"RF",IF(AD97&lt;&gt;"-","LF",IF(Z97&lt;&gt;"-","1B","DH"))))))))</f>
        <v>RF</v>
      </c>
      <c r="AR97" t="s">
        <v>35</v>
      </c>
      <c r="AT97" t="s">
        <v>154</v>
      </c>
      <c r="AU97" t="str">
        <f>IF(AND($Q97&gt;=6,AVERAGE($S97:$T97)&gt;=6),"Likely",IF(OR($Q97&gt;6,AND($Q97=6,AVERAGE($S97:$T97)&gt;=3),AND($Q97&gt;=5,AVERAGE($S97:$T97)&gt;=5),AVERAGE($Q97,$S97:$T97)&gt;5),"Possible","Unlikely"))</f>
        <v>Unlikely</v>
      </c>
      <c r="AW97" t="e">
        <f>IF(VLOOKUP($B97,'Draft List'!$D$4:$AB$2598,AW$3,FALSE)&lt;&gt;0,VLOOKUP($B97,'Draft List'!$D$4:$AB$2598,AW$3,FALSE),"")</f>
        <v>#N/A</v>
      </c>
      <c r="AX97" t="e">
        <f>IF(VLOOKUP($B97,'Draft List'!$D$4:$AB$2598,AX$3,FALSE)&lt;&gt;0,VLOOKUP($B97,'Draft List'!$D$4:$AB$2598,AX$3,FALSE),"")</f>
        <v>#N/A</v>
      </c>
      <c r="AY97" t="e">
        <f>IF(VLOOKUP($B97,'Draft List'!$D$4:$AB$2598,AY$3,FALSE)&lt;&gt;0,VLOOKUP($B97,'Draft List'!$D$4:$AB$2598,AY$3,FALSE),"")</f>
        <v>#N/A</v>
      </c>
    </row>
    <row r="98" spans="1:51">
      <c r="A98" t="str">
        <f>IF(C98="C","C-",C98)&amp;D98&amp;E98</f>
        <v>1BBilly Mills21</v>
      </c>
      <c r="B98">
        <f>VLOOKUP($A98,draft_listing_batters_stats!$A$1:$B$1324,2,FALSE)</f>
        <v>6094</v>
      </c>
      <c r="C98" s="1" t="s">
        <v>2092</v>
      </c>
      <c r="D98" s="1" t="s">
        <v>1372</v>
      </c>
      <c r="E98" s="1">
        <v>21</v>
      </c>
      <c r="F98" s="1" t="s">
        <v>2038</v>
      </c>
      <c r="G98" s="1" t="s">
        <v>2038</v>
      </c>
      <c r="H98" s="1" t="s">
        <v>2033</v>
      </c>
      <c r="I98" s="1" t="s">
        <v>2033</v>
      </c>
      <c r="J98" s="1" t="s">
        <v>2026</v>
      </c>
      <c r="K98" s="1" t="s">
        <v>2025</v>
      </c>
      <c r="L98" s="1">
        <v>3</v>
      </c>
      <c r="M98" s="1">
        <v>5</v>
      </c>
      <c r="N98" s="1">
        <v>3</v>
      </c>
      <c r="O98" s="1">
        <v>5</v>
      </c>
      <c r="P98" s="1">
        <v>1</v>
      </c>
      <c r="Q98" s="1">
        <v>5</v>
      </c>
      <c r="R98" s="1">
        <v>5</v>
      </c>
      <c r="S98" s="1">
        <v>5</v>
      </c>
      <c r="T98" s="1">
        <v>5</v>
      </c>
      <c r="U98" s="1">
        <v>3</v>
      </c>
      <c r="V98" s="1">
        <v>3</v>
      </c>
      <c r="W98" s="1">
        <v>2</v>
      </c>
      <c r="X98" s="1">
        <v>1</v>
      </c>
      <c r="Y98" s="1" t="s">
        <v>2027</v>
      </c>
      <c r="Z98" s="1">
        <v>4</v>
      </c>
      <c r="AA98" s="1" t="s">
        <v>2027</v>
      </c>
      <c r="AB98" s="1" t="s">
        <v>2027</v>
      </c>
      <c r="AC98" s="1" t="s">
        <v>2027</v>
      </c>
      <c r="AD98" s="1" t="s">
        <v>2027</v>
      </c>
      <c r="AE98" s="1" t="s">
        <v>2027</v>
      </c>
      <c r="AF98" s="1" t="s">
        <v>2027</v>
      </c>
      <c r="AG98" s="1">
        <v>2</v>
      </c>
      <c r="AH98" s="1">
        <v>2</v>
      </c>
      <c r="AI98" s="1">
        <v>3</v>
      </c>
      <c r="AJ98" s="52" t="s">
        <v>2029</v>
      </c>
      <c r="AK98" s="9">
        <f>($L$3*(L98-$Q$1)/$Q$2+$M$3*(M98-$R$1)/$R$2+$N$3*(N98-$S$1)/$S$2+$O$3*(O98-$T$1)/$T$2+$P$3*(P98-$U$1)/$U$2)/(SUM($L$3:$P$3))</f>
        <v>-0.71003097086128142</v>
      </c>
      <c r="AL98" s="9">
        <f>($L$3*(Q98-$Q$1)/$Q$2+$M$3*(R98-$R$1)/$R$2+$N$3*(S98-$S$1)/$S$2+$O$3*(T98-$T$1)/$T$2+$P$3*(U98-$U$1)/$U$2)/(SUM($L$3:$P$3))</f>
        <v>0.18123636922603786</v>
      </c>
      <c r="AM98">
        <f>IF(AVERAGE(AG98:AH98)&gt;9,1,0)+IF(AVERAGE(AG98:AH98)&gt;7,1,0)+IF(AG98&gt;7,1,0)+IF(AH98&gt;7,1,0)+IF(AI98&gt;8,1,0)+IF(AI98&gt;6,1,0)</f>
        <v>0</v>
      </c>
      <c r="AN98" s="6">
        <f>MIN(2,IF(OR(Y98="-",X98&lt;5),0,1+IF(Y98&gt;7,1+IF(X98&gt;7,0.25,0),IF(Y98&gt;4,0.5+IF(X98&gt;7,0.25,0),0+IF(X98&gt;7,0.25))))+IF(Z98="-",0,IF(Z98&gt;9,0.5,IF(Z98&gt;7,0.25,0)))+IF(AA98="-",0,IF(AA98&gt;7,1.1,IF(AA98&gt;4,0.6,0)))+IF(OR(AB98="-",V98&lt;5),0,IF(AB98&gt;7,1+IF(V98&gt;7,0.25,0),IF(AB98&gt;4,0.5+IF(V98&gt;7,0.25,0),0)))+IF(AC98="-",0,IF(AC98&gt;7,1.5,IF(AC98&gt;4,1,0)))+IF(AD98="-",0,IF(AD98&gt;9,0.5,IF(AD98&gt;7,0.25,0)))+IF(AE98="-",0,IF(AE98&gt;7,1.25,IF(AE98&gt;4,0.75,0)))+IF(OR(AF98="-",W98&lt;4),0,IF(AF98&gt;7,1+IF(W98&gt;7,0.15,0),IF(AF98&gt;4,0.5+IF(W98&gt;7,0.15,0),0))))</f>
        <v>0</v>
      </c>
      <c r="AO98" s="9">
        <f>($AK$3*AK98+$AL$3*AL98+$AM$3*AM98+$AN$3*AN98)+$J$3*VLOOKUP(J98,COND!$A$2:$C$7,2,FALSE)+$K$3*VLOOKUP(K98,COND!$A$2:$C$7,3,FALSE)</f>
        <v>12.003833333626327</v>
      </c>
      <c r="AP98" s="37">
        <f>STANDARDIZE(AO98,AVERAGE($AO$5:$AO$1295),STDEVP($AO$5:$AO$1295))</f>
        <v>0.18578593320822287</v>
      </c>
      <c r="AQ98" t="str">
        <f>IF(AND(Y98&lt;&gt;"-",X98&gt;1),"C",IF(AA98=MAX(AA98:AC98),"2B",IF(AC98=MAX(AA98:AC98),"SS",IF(OR(AB98=MAX(Z98:AC98),AND(AB98&lt;&gt;"-",AB98&gt;4,V98&gt;5)),"3B",IF(AE98=MAX(AD98:AF98),"CF",IF(AND(AF98=MAX(AD98,AF98),AND(W98&gt;5,AD98&lt;&gt;"-")),"RF",IF(AD98&lt;&gt;"-","LF",IF(Z98&lt;&gt;"-","1B","DH"))))))))</f>
        <v>1B</v>
      </c>
      <c r="AR98" t="s">
        <v>35</v>
      </c>
      <c r="AT98" t="s">
        <v>155</v>
      </c>
      <c r="AU98" t="str">
        <f>IF(AND($Q98&gt;=6,AVERAGE($S98:$T98)&gt;=6),"Likely",IF(OR($Q98&gt;6,AND($Q98=6,AVERAGE($S98:$T98)&gt;=3),AND($Q98&gt;=5,AVERAGE($S98:$T98)&gt;=5),AVERAGE($Q98,$S98:$T98)&gt;5),"Possible","Unlikely"))</f>
        <v>Possible</v>
      </c>
      <c r="AW98" t="str">
        <f>IF(VLOOKUP($B98,'Draft List'!$D$4:$AB$2598,AW$3,FALSE)&lt;&gt;0,VLOOKUP($B98,'Draft List'!$D$4:$AB$2598,AW$3,FALSE),"")</f>
        <v/>
      </c>
      <c r="AX98" t="str">
        <f>IF(VLOOKUP($B98,'Draft List'!$D$4:$AB$2598,AX$3,FALSE)&lt;&gt;0,VLOOKUP($B98,'Draft List'!$D$4:$AB$2598,AX$3,FALSE),"")</f>
        <v/>
      </c>
      <c r="AY98" t="str">
        <f>IF(VLOOKUP($B98,'Draft List'!$D$4:$AB$2598,AY$3,FALSE)&lt;&gt;0,VLOOKUP($B98,'Draft List'!$D$4:$AB$2598,AY$3,FALSE),"")</f>
        <v/>
      </c>
    </row>
    <row r="99" spans="1:51">
      <c r="A99" t="str">
        <f>IF(C99="C","C-",C99)&amp;D99&amp;E99</f>
        <v>LFJonathan Payne18</v>
      </c>
      <c r="B99">
        <f>VLOOKUP($A99,draft_listing_batters_stats!$A$1:$B$1324,2,FALSE)</f>
        <v>13806</v>
      </c>
      <c r="C99" s="1" t="s">
        <v>2035</v>
      </c>
      <c r="D99" s="1" t="s">
        <v>1396</v>
      </c>
      <c r="E99" s="1">
        <v>18</v>
      </c>
      <c r="F99" s="1" t="s">
        <v>2038</v>
      </c>
      <c r="G99" s="1" t="s">
        <v>2038</v>
      </c>
      <c r="H99" s="1" t="s">
        <v>2033</v>
      </c>
      <c r="I99" s="1" t="s">
        <v>2033</v>
      </c>
      <c r="J99" s="1" t="s">
        <v>2036</v>
      </c>
      <c r="K99" s="1" t="s">
        <v>2025</v>
      </c>
      <c r="L99" s="1">
        <v>1</v>
      </c>
      <c r="M99" s="1">
        <v>2</v>
      </c>
      <c r="N99" s="1">
        <v>1</v>
      </c>
      <c r="O99" s="1">
        <v>1</v>
      </c>
      <c r="P99" s="1">
        <v>1</v>
      </c>
      <c r="Q99" s="1">
        <v>5</v>
      </c>
      <c r="R99" s="1">
        <v>8</v>
      </c>
      <c r="S99" s="1">
        <v>3</v>
      </c>
      <c r="T99" s="1">
        <v>4</v>
      </c>
      <c r="U99" s="1">
        <v>4</v>
      </c>
      <c r="V99" s="1">
        <v>1</v>
      </c>
      <c r="W99" s="1">
        <v>9</v>
      </c>
      <c r="X99" s="1">
        <v>1</v>
      </c>
      <c r="Y99" s="1" t="s">
        <v>2027</v>
      </c>
      <c r="Z99" s="1">
        <v>1</v>
      </c>
      <c r="AA99" s="1" t="s">
        <v>2027</v>
      </c>
      <c r="AB99" s="1" t="s">
        <v>2027</v>
      </c>
      <c r="AC99" s="1" t="s">
        <v>2027</v>
      </c>
      <c r="AD99" s="1">
        <v>1</v>
      </c>
      <c r="AE99" s="1">
        <v>1</v>
      </c>
      <c r="AF99" s="1">
        <v>1</v>
      </c>
      <c r="AG99" s="1">
        <v>8</v>
      </c>
      <c r="AH99" s="1">
        <v>7</v>
      </c>
      <c r="AI99" s="1">
        <v>8</v>
      </c>
      <c r="AJ99" s="52" t="s">
        <v>2029</v>
      </c>
      <c r="AK99" s="9">
        <f>($L$3*(L99-$Q$1)/$Q$2+$M$3*(M99-$R$1)/$R$2+$N$3*(N99-$S$1)/$S$2+$O$3*(O99-$T$1)/$T$2+$P$3*(P99-$U$1)/$U$2)/(SUM($L$3:$P$3))</f>
        <v>-2.0332834702088682</v>
      </c>
      <c r="AL99" s="9">
        <f>($L$3*(Q99-$Q$1)/$Q$2+$M$3*(R99-$R$1)/$R$2+$N$3*(S99-$S$1)/$S$2+$O$3*(T99-$T$1)/$T$2+$P$3*(U99-$U$1)/$U$2)/(SUM($L$3:$P$3))</f>
        <v>0.11859980984184781</v>
      </c>
      <c r="AM99">
        <f>IF(AVERAGE(AG99:AH99)&gt;9,1,0)+IF(AVERAGE(AG99:AH99)&gt;7,1,0)+IF(AG99&gt;7,1,0)+IF(AH99&gt;7,1,0)+IF(AI99&gt;8,1,0)+IF(AI99&gt;6,1,0)</f>
        <v>3</v>
      </c>
      <c r="AN99" s="6">
        <f>MIN(2,IF(OR(Y99="-",X99&lt;5),0,1+IF(Y99&gt;7,1+IF(X99&gt;7,0.25,0),IF(Y99&gt;4,0.5+IF(X99&gt;7,0.25,0),0+IF(X99&gt;7,0.25))))+IF(Z99="-",0,IF(Z99&gt;9,0.5,IF(Z99&gt;7,0.25,0)))+IF(AA99="-",0,IF(AA99&gt;7,1.1,IF(AA99&gt;4,0.6,0)))+IF(OR(AB99="-",V99&lt;5),0,IF(AB99&gt;7,1+IF(V99&gt;7,0.25,0),IF(AB99&gt;4,0.5+IF(V99&gt;7,0.25,0),0)))+IF(AC99="-",0,IF(AC99&gt;7,1.5,IF(AC99&gt;4,1,0)))+IF(AD99="-",0,IF(AD99&gt;9,0.5,IF(AD99&gt;7,0.25,0)))+IF(AE99="-",0,IF(AE99&gt;7,1.25,IF(AE99&gt;4,0.75,0)))+IF(OR(AF99="-",W99&lt;4),0,IF(AF99&gt;7,1+IF(W99&gt;7,0.15,0),IF(AF99&gt;4,0.5+IF(W99&gt;7,0.15,0),0))))</f>
        <v>0</v>
      </c>
      <c r="AO99" s="9">
        <f>($AK$3*AK99+$AL$3*AL99+$AM$3*AM99+$AN$3*AN99)+$J$3*VLOOKUP(J99,COND!$A$2:$C$7,2,FALSE)+$K$3*VLOOKUP(K99,COND!$A$2:$C$7,3,FALSE)</f>
        <v>11.969869371081288</v>
      </c>
      <c r="AP99" s="37">
        <f>STANDARDIZE(AO99,AVERAGE($AO$5:$AO$1295),STDEVP($AO$5:$AO$1295))</f>
        <v>0.18106753546490781</v>
      </c>
      <c r="AQ99" t="str">
        <f>IF(AND(Y99&lt;&gt;"-",X99&gt;1),"C",IF(AA99=MAX(AA99:AC99),"2B",IF(AC99=MAX(AA99:AC99),"SS",IF(OR(AB99=MAX(Z99:AC99),AND(AB99&lt;&gt;"-",AB99&gt;4,V99&gt;5)),"3B",IF(AE99=MAX(AD99:AF99),"CF",IF(AND(AF99=MAX(AD99,AF99),AND(W99&gt;5,AD99&lt;&gt;"-")),"RF",IF(AD99&lt;&gt;"-","LF",IF(Z99&lt;&gt;"-","1B","DH"))))))))</f>
        <v>CF</v>
      </c>
      <c r="AR99" t="s">
        <v>35</v>
      </c>
      <c r="AT99" t="s">
        <v>155</v>
      </c>
      <c r="AU99" t="str">
        <f>IF(AND($Q99&gt;=6,AVERAGE($S99:$T99)&gt;=6),"Likely",IF(OR($Q99&gt;6,AND($Q99=6,AVERAGE($S99:$T99)&gt;=3),AND($Q99&gt;=5,AVERAGE($S99:$T99)&gt;=5),AVERAGE($Q99,$S99:$T99)&gt;5),"Possible","Unlikely"))</f>
        <v>Unlikely</v>
      </c>
      <c r="AW99" t="e">
        <f>IF(VLOOKUP($B99,'Draft List'!$D$4:$AB$2598,AW$3,FALSE)&lt;&gt;0,VLOOKUP($B99,'Draft List'!$D$4:$AB$2598,AW$3,FALSE),"")</f>
        <v>#N/A</v>
      </c>
      <c r="AX99" t="e">
        <f>IF(VLOOKUP($B99,'Draft List'!$D$4:$AB$2598,AX$3,FALSE)&lt;&gt;0,VLOOKUP($B99,'Draft List'!$D$4:$AB$2598,AX$3,FALSE),"")</f>
        <v>#N/A</v>
      </c>
      <c r="AY99" t="e">
        <f>IF(VLOOKUP($B99,'Draft List'!$D$4:$AB$2598,AY$3,FALSE)&lt;&gt;0,VLOOKUP($B99,'Draft List'!$D$4:$AB$2598,AY$3,FALSE),"")</f>
        <v>#N/A</v>
      </c>
    </row>
    <row r="100" spans="1:51">
      <c r="A100" t="str">
        <f>IF(C100="C","C-",C100)&amp;D100&amp;E100</f>
        <v>RFJuan Muñóz18</v>
      </c>
      <c r="B100" t="e">
        <f>VLOOKUP($A100,draft_listing_batters_stats!$A$1:$B$1324,2,FALSE)</f>
        <v>#N/A</v>
      </c>
      <c r="C100" s="1" t="s">
        <v>2057</v>
      </c>
      <c r="D100" s="1" t="s">
        <v>1379</v>
      </c>
      <c r="E100" s="1">
        <v>18</v>
      </c>
      <c r="F100" s="1" t="s">
        <v>2038</v>
      </c>
      <c r="G100" s="1" t="s">
        <v>2038</v>
      </c>
      <c r="H100" s="1" t="s">
        <v>2033</v>
      </c>
      <c r="I100" s="1" t="s">
        <v>2033</v>
      </c>
      <c r="J100" s="1" t="s">
        <v>2026</v>
      </c>
      <c r="K100" s="1" t="s">
        <v>2026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5</v>
      </c>
      <c r="R100" s="1">
        <v>5</v>
      </c>
      <c r="S100" s="1">
        <v>6</v>
      </c>
      <c r="T100" s="1">
        <v>3</v>
      </c>
      <c r="U100" s="1">
        <v>4</v>
      </c>
      <c r="V100" s="1">
        <v>1</v>
      </c>
      <c r="W100" s="1">
        <v>7</v>
      </c>
      <c r="X100" s="1">
        <v>1</v>
      </c>
      <c r="Y100" s="1" t="s">
        <v>2027</v>
      </c>
      <c r="Z100" s="1">
        <v>1</v>
      </c>
      <c r="AA100" s="1" t="s">
        <v>2027</v>
      </c>
      <c r="AB100" s="1" t="s">
        <v>2027</v>
      </c>
      <c r="AC100" s="1" t="s">
        <v>2027</v>
      </c>
      <c r="AD100" s="1">
        <v>1</v>
      </c>
      <c r="AE100" s="1">
        <v>1</v>
      </c>
      <c r="AF100" s="1">
        <v>3</v>
      </c>
      <c r="AG100" s="1">
        <v>9</v>
      </c>
      <c r="AH100" s="1">
        <v>10</v>
      </c>
      <c r="AI100" s="1">
        <v>7</v>
      </c>
      <c r="AJ100" s="52" t="s">
        <v>2029</v>
      </c>
      <c r="AK100" s="9">
        <f>($L$3*(L100-$Q$1)/$Q$2+$M$3*(M100-$R$1)/$R$2+$N$3*(N100-$S$1)/$S$2+$O$3*(O100-$T$1)/$T$2+$P$3*(P100-$U$1)/$U$2)/(SUM($L$3:$P$3))</f>
        <v>-2.0843433498275723</v>
      </c>
      <c r="AL100" s="9">
        <f>($L$3*(Q100-$Q$1)/$Q$2+$M$3*(R100-$R$1)/$R$2+$N$3*(S100-$S$1)/$S$2+$O$3*(T100-$T$1)/$T$2+$P$3*(U100-$U$1)/$U$2)/(SUM($L$3:$P$3))</f>
        <v>0.12489510304786074</v>
      </c>
      <c r="AM100">
        <f>IF(AVERAGE(AG100:AH100)&gt;9,1,0)+IF(AVERAGE(AG100:AH100)&gt;7,1,0)+IF(AG100&gt;7,1,0)+IF(AH100&gt;7,1,0)+IF(AI100&gt;8,1,0)+IF(AI100&gt;6,1,0)</f>
        <v>5</v>
      </c>
      <c r="AN100" s="6">
        <f>MIN(2,IF(OR(Y100="-",X100&lt;5),0,1+IF(Y100&gt;7,1+IF(X100&gt;7,0.25,0),IF(Y100&gt;4,0.5+IF(X100&gt;7,0.25,0),0+IF(X100&gt;7,0.25))))+IF(Z100="-",0,IF(Z100&gt;9,0.5,IF(Z100&gt;7,0.25,0)))+IF(AA100="-",0,IF(AA100&gt;7,1.1,IF(AA100&gt;4,0.6,0)))+IF(OR(AB100="-",V100&lt;5),0,IF(AB100&gt;7,1+IF(V100&gt;7,0.25,0),IF(AB100&gt;4,0.5+IF(V100&gt;7,0.25,0),0)))+IF(AC100="-",0,IF(AC100&gt;7,1.5,IF(AC100&gt;4,1,0)))+IF(AD100="-",0,IF(AD100&gt;9,0.5,IF(AD100&gt;7,0.25,0)))+IF(AE100="-",0,IF(AE100&gt;7,1.25,IF(AE100&gt;4,0.75,0)))+IF(OR(AF100="-",W100&lt;4),0,IF(AF100&gt;7,1+IF(W100&gt;7,0.15,0),IF(AF100&gt;4,0.5+IF(W100&gt;7,0.15,0),0))))</f>
        <v>0</v>
      </c>
      <c r="AO100" s="9">
        <f>($AK$3*AK100+$AL$3*AL100+$AM$3*AM100+$AN$3*AN100)+$J$3*VLOOKUP(J100,COND!$A$2:$C$7,2,FALSE)+$K$3*VLOOKUP(K100,COND!$A$2:$C$7,3,FALSE)</f>
        <v>11.923640234924905</v>
      </c>
      <c r="AP100" s="37">
        <f>STANDARDIZE(AO100,AVERAGE($AO$5:$AO$1295),STDEVP($AO$5:$AO$1295))</f>
        <v>0.17464521500019689</v>
      </c>
      <c r="AQ100" t="str">
        <f>IF(AND(Y100&lt;&gt;"-",X100&gt;1),"C",IF(AA100=MAX(AA100:AC100),"2B",IF(AC100=MAX(AA100:AC100),"SS",IF(OR(AB100=MAX(Z100:AC100),AND(AB100&lt;&gt;"-",AB100&gt;4,V100&gt;5)),"3B",IF(AE100=MAX(AD100:AF100),"CF",IF(AND(AF100=MAX(AD100,AF100),AND(W100&gt;5,AD100&lt;&gt;"-")),"RF",IF(AD100&lt;&gt;"-","LF",IF(Z100&lt;&gt;"-","1B","DH"))))))))</f>
        <v>RF</v>
      </c>
      <c r="AR100" t="s">
        <v>35</v>
      </c>
      <c r="AT100" t="s">
        <v>157</v>
      </c>
      <c r="AU100" t="str">
        <f>IF(AND($Q100&gt;=6,AVERAGE($S100:$T100)&gt;=6),"Likely",IF(OR($Q100&gt;6,AND($Q100=6,AVERAGE($S100:$T100)&gt;=3),AND($Q100&gt;=5,AVERAGE($S100:$T100)&gt;=5),AVERAGE($Q100,$S100:$T100)&gt;5),"Possible","Unlikely"))</f>
        <v>Unlikely</v>
      </c>
      <c r="AW100" t="e">
        <f>IF(VLOOKUP($B100,'Draft List'!$D$4:$AB$2598,AW$3,FALSE)&lt;&gt;0,VLOOKUP($B100,'Draft List'!$D$4:$AB$2598,AW$3,FALSE),"")</f>
        <v>#N/A</v>
      </c>
      <c r="AX100" t="e">
        <f>IF(VLOOKUP($B100,'Draft List'!$D$4:$AB$2598,AX$3,FALSE)&lt;&gt;0,VLOOKUP($B100,'Draft List'!$D$4:$AB$2598,AX$3,FALSE),"")</f>
        <v>#N/A</v>
      </c>
      <c r="AY100" t="e">
        <f>IF(VLOOKUP($B100,'Draft List'!$D$4:$AB$2598,AY$3,FALSE)&lt;&gt;0,VLOOKUP($B100,'Draft List'!$D$4:$AB$2598,AY$3,FALSE),"")</f>
        <v>#N/A</v>
      </c>
    </row>
    <row r="101" spans="1:51">
      <c r="A101" t="str">
        <f>IF(C101="C","C-",C101)&amp;D101&amp;E101</f>
        <v>SSJoe Lane21</v>
      </c>
      <c r="B101">
        <f>VLOOKUP($A101,draft_listing_batters_stats!$A$1:$B$1324,2,FALSE)</f>
        <v>3080</v>
      </c>
      <c r="C101" s="1" t="s">
        <v>2074</v>
      </c>
      <c r="D101" s="1" t="s">
        <v>1340</v>
      </c>
      <c r="E101" s="1">
        <v>21</v>
      </c>
      <c r="F101" s="1" t="s">
        <v>2022</v>
      </c>
      <c r="G101" s="1" t="s">
        <v>2022</v>
      </c>
      <c r="H101" s="1" t="s">
        <v>2033</v>
      </c>
      <c r="I101" s="1" t="s">
        <v>2033</v>
      </c>
      <c r="J101" s="1" t="s">
        <v>2030</v>
      </c>
      <c r="K101" s="1" t="s">
        <v>2025</v>
      </c>
      <c r="L101" s="1">
        <v>4</v>
      </c>
      <c r="M101" s="1">
        <v>4</v>
      </c>
      <c r="N101" s="1">
        <v>2</v>
      </c>
      <c r="O101" s="1">
        <v>3</v>
      </c>
      <c r="P101" s="1">
        <v>2</v>
      </c>
      <c r="Q101" s="1">
        <v>5</v>
      </c>
      <c r="R101" s="1">
        <v>5</v>
      </c>
      <c r="S101" s="1">
        <v>2</v>
      </c>
      <c r="T101" s="1">
        <v>5</v>
      </c>
      <c r="U101" s="1">
        <v>5</v>
      </c>
      <c r="V101" s="1">
        <v>4</v>
      </c>
      <c r="W101" s="1">
        <v>3</v>
      </c>
      <c r="X101" s="1">
        <v>1</v>
      </c>
      <c r="Y101" s="1" t="s">
        <v>2027</v>
      </c>
      <c r="Z101" s="1">
        <v>7</v>
      </c>
      <c r="AA101" s="1">
        <v>7</v>
      </c>
      <c r="AB101" s="1">
        <v>3</v>
      </c>
      <c r="AC101" s="1">
        <v>5</v>
      </c>
      <c r="AD101" s="1" t="s">
        <v>2027</v>
      </c>
      <c r="AE101" s="1" t="s">
        <v>2027</v>
      </c>
      <c r="AF101" s="1">
        <v>2</v>
      </c>
      <c r="AG101" s="1">
        <v>7</v>
      </c>
      <c r="AH101" s="1">
        <v>7</v>
      </c>
      <c r="AI101" s="1">
        <v>4</v>
      </c>
      <c r="AJ101" s="52" t="s">
        <v>2029</v>
      </c>
      <c r="AK101" s="9">
        <f>($L$3*(L101-$Q$1)/$Q$2+$M$3*(M101-$R$1)/$R$2+$N$3*(N101-$S$1)/$S$2+$O$3*(O101-$T$1)/$T$2+$P$3*(P101-$U$1)/$U$2)/(SUM($L$3:$P$3))</f>
        <v>-0.66099926850329038</v>
      </c>
      <c r="AL101" s="9">
        <f>($L$3*(Q101-$Q$1)/$Q$2+$M$3*(R101-$R$1)/$R$2+$N$3*(S101-$S$1)/$S$2+$O$3*(T101-$T$1)/$T$2+$P$3*(U101-$U$1)/$U$2)/(SUM($L$3:$P$3))</f>
        <v>1.2084566788500299E-2</v>
      </c>
      <c r="AM101">
        <f>IF(AVERAGE(AG101:AH101)&gt;9,1,0)+IF(AVERAGE(AG101:AH101)&gt;7,1,0)+IF(AG101&gt;7,1,0)+IF(AH101&gt;7,1,0)+IF(AI101&gt;8,1,0)+IF(AI101&gt;6,1,0)</f>
        <v>0</v>
      </c>
      <c r="AN101" s="6">
        <f>MIN(2,IF(OR(Y101="-",X101&lt;5),0,1+IF(Y101&gt;7,1+IF(X101&gt;7,0.25,0),IF(Y101&gt;4,0.5+IF(X101&gt;7,0.25,0),0+IF(X101&gt;7,0.25))))+IF(Z101="-",0,IF(Z101&gt;9,0.5,IF(Z101&gt;7,0.25,0)))+IF(AA101="-",0,IF(AA101&gt;7,1.1,IF(AA101&gt;4,0.6,0)))+IF(OR(AB101="-",V101&lt;5),0,IF(AB101&gt;7,1+IF(V101&gt;7,0.25,0),IF(AB101&gt;4,0.5+IF(V101&gt;7,0.25,0),0)))+IF(AC101="-",0,IF(AC101&gt;7,1.5,IF(AC101&gt;4,1,0)))+IF(AD101="-",0,IF(AD101&gt;9,0.5,IF(AD101&gt;7,0.25,0)))+IF(AE101="-",0,IF(AE101&gt;7,1.25,IF(AE101&gt;4,0.75,0)))+IF(OR(AF101="-",W101&lt;4),0,IF(AF101&gt;7,1+IF(W101&gt;7,0.15,0),IF(AF101&gt;4,0.5+IF(W101&gt;7,0.15,0),0))))</f>
        <v>1.6</v>
      </c>
      <c r="AO101" s="9">
        <f>($AK$3*AK101+$AL$3*AL101+$AM$3*AM101+$AN$3*AN101)+$J$3*VLOOKUP(J101,COND!$A$2:$C$7,2,FALSE)+$K$3*VLOOKUP(K101,COND!$A$2:$C$7,3,FALSE)</f>
        <v>11.778914874611674</v>
      </c>
      <c r="AP101" s="37">
        <f>STANDARDIZE(AO101,AVERAGE($AO$5:$AO$1295),STDEVP($AO$5:$AO$1295))</f>
        <v>0.154539439279921</v>
      </c>
      <c r="AQ101" t="str">
        <f>IF(AND(Y101&lt;&gt;"-",X101&gt;1),"C",IF(AA101=MAX(AA101:AC101),"2B",IF(AC101=MAX(AA101:AC101),"SS",IF(OR(AB101=MAX(Z101:AC101),AND(AB101&lt;&gt;"-",AB101&gt;4,V101&gt;5)),"3B",IF(AE101=MAX(AD101:AF101),"CF",IF(AND(AF101=MAX(AD101,AF101),AND(W101&gt;5,AD101&lt;&gt;"-")),"RF",IF(AD101&lt;&gt;"-","LF",IF(Z101&lt;&gt;"-","1B","DH"))))))))</f>
        <v>2B</v>
      </c>
      <c r="AR101" t="s">
        <v>35</v>
      </c>
      <c r="AT101" t="s">
        <v>155</v>
      </c>
      <c r="AU101" t="str">
        <f>IF(AND($Q101&gt;=6,AVERAGE($S101:$T101)&gt;=6),"Likely",IF(OR($Q101&gt;6,AND($Q101=6,AVERAGE($S101:$T101)&gt;=3),AND($Q101&gt;=5,AVERAGE($S101:$T101)&gt;=5),AVERAGE($Q101,$S101:$T101)&gt;5),"Possible","Unlikely"))</f>
        <v>Unlikely</v>
      </c>
      <c r="AW101" t="str">
        <f>IF(VLOOKUP($B101,'Draft List'!$D$4:$AB$2598,AW$3,FALSE)&lt;&gt;0,VLOOKUP($B101,'Draft List'!$D$4:$AB$2598,AW$3,FALSE),"")</f>
        <v/>
      </c>
      <c r="AX101" t="str">
        <f>IF(VLOOKUP($B101,'Draft List'!$D$4:$AB$2598,AX$3,FALSE)&lt;&gt;0,VLOOKUP($B101,'Draft List'!$D$4:$AB$2598,AX$3,FALSE),"")</f>
        <v/>
      </c>
      <c r="AY101" t="str">
        <f>IF(VLOOKUP($B101,'Draft List'!$D$4:$AB$2598,AY$3,FALSE)&lt;&gt;0,VLOOKUP($B101,'Draft List'!$D$4:$AB$2598,AY$3,FALSE),"")</f>
        <v/>
      </c>
    </row>
    <row r="102" spans="1:51">
      <c r="A102" t="str">
        <f>IF(C102="C","C-",C102)&amp;D102&amp;E102</f>
        <v>RFJoe Williams18</v>
      </c>
      <c r="B102">
        <f>VLOOKUP($A102,draft_listing_batters_stats!$A$1:$B$1324,2,FALSE)</f>
        <v>1808</v>
      </c>
      <c r="C102" s="1" t="s">
        <v>2057</v>
      </c>
      <c r="D102" s="1" t="s">
        <v>1257</v>
      </c>
      <c r="E102" s="1">
        <v>18</v>
      </c>
      <c r="F102" s="1" t="s">
        <v>2038</v>
      </c>
      <c r="G102" s="1" t="s">
        <v>2038</v>
      </c>
      <c r="H102" s="1" t="s">
        <v>2033</v>
      </c>
      <c r="I102" s="1" t="s">
        <v>2033</v>
      </c>
      <c r="J102" s="1" t="s">
        <v>2026</v>
      </c>
      <c r="K102" s="1" t="s">
        <v>2026</v>
      </c>
      <c r="L102" s="1">
        <v>1</v>
      </c>
      <c r="M102" s="1">
        <v>1</v>
      </c>
      <c r="N102" s="1">
        <v>1</v>
      </c>
      <c r="O102" s="1">
        <v>1</v>
      </c>
      <c r="P102" s="1">
        <v>1</v>
      </c>
      <c r="Q102" s="1">
        <v>5</v>
      </c>
      <c r="R102" s="1">
        <v>5</v>
      </c>
      <c r="S102" s="1">
        <v>3</v>
      </c>
      <c r="T102" s="1">
        <v>5</v>
      </c>
      <c r="U102" s="1">
        <v>5</v>
      </c>
      <c r="V102" s="1">
        <v>1</v>
      </c>
      <c r="W102" s="1">
        <v>7</v>
      </c>
      <c r="X102" s="1">
        <v>1</v>
      </c>
      <c r="Y102" s="1" t="s">
        <v>2027</v>
      </c>
      <c r="Z102" s="1">
        <v>1</v>
      </c>
      <c r="AA102" s="1" t="s">
        <v>2027</v>
      </c>
      <c r="AB102" s="1" t="s">
        <v>2027</v>
      </c>
      <c r="AC102" s="1" t="s">
        <v>2027</v>
      </c>
      <c r="AD102" s="1">
        <v>1</v>
      </c>
      <c r="AE102" s="1">
        <v>1</v>
      </c>
      <c r="AF102" s="1">
        <v>1</v>
      </c>
      <c r="AG102" s="1">
        <v>9</v>
      </c>
      <c r="AH102" s="1">
        <v>10</v>
      </c>
      <c r="AI102" s="1">
        <v>10</v>
      </c>
      <c r="AJ102" s="52" t="s">
        <v>2029</v>
      </c>
      <c r="AK102" s="9">
        <f>($L$3*(L102-$Q$1)/$Q$2+$M$3*(M102-$R$1)/$R$2+$N$3*(N102-$S$1)/$S$2+$O$3*(O102-$T$1)/$T$2+$P$3*(P102-$U$1)/$U$2)/(SUM($L$3:$P$3))</f>
        <v>-2.0843433498275723</v>
      </c>
      <c r="AL102" s="9">
        <f>($L$3*(Q102-$Q$1)/$Q$2+$M$3*(R102-$R$1)/$R$2+$N$3*(S102-$S$1)/$S$2+$O$3*(T102-$T$1)/$T$2+$P$3*(U102-$U$1)/$U$2)/(SUM($L$3:$P$3))</f>
        <v>9.5146060812401817E-2</v>
      </c>
      <c r="AM102">
        <f>IF(AVERAGE(AG102:AH102)&gt;9,1,0)+IF(AVERAGE(AG102:AH102)&gt;7,1,0)+IF(AG102&gt;7,1,0)+IF(AH102&gt;7,1,0)+IF(AI102&gt;8,1,0)+IF(AI102&gt;6,1,0)</f>
        <v>6</v>
      </c>
      <c r="AN102" s="6">
        <f>MIN(2,IF(OR(Y102="-",X102&lt;5),0,1+IF(Y102&gt;7,1+IF(X102&gt;7,0.25,0),IF(Y102&gt;4,0.5+IF(X102&gt;7,0.25,0),0+IF(X102&gt;7,0.25))))+IF(Z102="-",0,IF(Z102&gt;9,0.5,IF(Z102&gt;7,0.25,0)))+IF(AA102="-",0,IF(AA102&gt;7,1.1,IF(AA102&gt;4,0.6,0)))+IF(OR(AB102="-",V102&lt;5),0,IF(AB102&gt;7,1+IF(V102&gt;7,0.25,0),IF(AB102&gt;4,0.5+IF(V102&gt;7,0.25,0),0)))+IF(AC102="-",0,IF(AC102&gt;7,1.5,IF(AC102&gt;4,1,0)))+IF(AD102="-",0,IF(AD102&gt;9,0.5,IF(AD102&gt;7,0.25,0)))+IF(AE102="-",0,IF(AE102&gt;7,1.25,IF(AE102&gt;4,0.75,0)))+IF(OR(AF102="-",W102&lt;4),0,IF(AF102&gt;7,1+IF(W102&gt;7,0.15,0),IF(AF102&gt;4,0.5+IF(W102&gt;7,0.15,0),0))))</f>
        <v>0</v>
      </c>
      <c r="AO102" s="9">
        <f>($AK$3*AK102+$AL$3*AL102+$AM$3*AM102+$AN$3*AN102)+$J$3*VLOOKUP(J102,COND!$A$2:$C$7,2,FALSE)+$K$3*VLOOKUP(K102,COND!$A$2:$C$7,3,FALSE)</f>
        <v>11.733318394766066</v>
      </c>
      <c r="AP102" s="37">
        <f>STANDARDIZE(AO102,AVERAGE($AO$5:$AO$1295),STDEVP($AO$5:$AO$1295))</f>
        <v>0.1482050097409256</v>
      </c>
      <c r="AQ102" t="str">
        <f>IF(AND(Y102&lt;&gt;"-",X102&gt;1),"C",IF(AA102=MAX(AA102:AC102),"2B",IF(AC102=MAX(AA102:AC102),"SS",IF(OR(AB102=MAX(Z102:AC102),AND(AB102&lt;&gt;"-",AB102&gt;4,V102&gt;5)),"3B",IF(AE102=MAX(AD102:AF102),"CF",IF(AND(AF102=MAX(AD102,AF102),AND(W102&gt;5,AD102&lt;&gt;"-")),"RF",IF(AD102&lt;&gt;"-","LF",IF(Z102&lt;&gt;"-","1B","DH"))))))))</f>
        <v>CF</v>
      </c>
      <c r="AR102" t="s">
        <v>35</v>
      </c>
      <c r="AT102" t="s">
        <v>155</v>
      </c>
      <c r="AU102" t="str">
        <f>IF(AND($Q102&gt;=6,AVERAGE($S102:$T102)&gt;=6),"Likely",IF(OR($Q102&gt;6,AND($Q102=6,AVERAGE($S102:$T102)&gt;=3),AND($Q102&gt;=5,AVERAGE($S102:$T102)&gt;=5),AVERAGE($Q102,$S102:$T102)&gt;5),"Possible","Unlikely"))</f>
        <v>Unlikely</v>
      </c>
      <c r="AW102" t="str">
        <f>IF(VLOOKUP($B102,'Draft List'!$D$4:$AB$2598,AW$3,FALSE)&lt;&gt;0,VLOOKUP($B102,'Draft List'!$D$4:$AB$2598,AW$3,FALSE),"")</f>
        <v/>
      </c>
      <c r="AX102" t="str">
        <f>IF(VLOOKUP($B102,'Draft List'!$D$4:$AB$2598,AX$3,FALSE)&lt;&gt;0,VLOOKUP($B102,'Draft List'!$D$4:$AB$2598,AX$3,FALSE),"")</f>
        <v/>
      </c>
      <c r="AY102" t="str">
        <f>IF(VLOOKUP($B102,'Draft List'!$D$4:$AB$2598,AY$3,FALSE)&lt;&gt;0,VLOOKUP($B102,'Draft List'!$D$4:$AB$2598,AY$3,FALSE),"")</f>
        <v/>
      </c>
    </row>
    <row r="103" spans="1:51">
      <c r="A103" t="str">
        <f>IF(C103="C","C-",C103)&amp;D103&amp;E103</f>
        <v>RFJoe Schulz21</v>
      </c>
      <c r="B103">
        <f>VLOOKUP($A103,draft_listing_batters_stats!$A$1:$B$1324,2,FALSE)</f>
        <v>4000</v>
      </c>
      <c r="C103" s="1" t="s">
        <v>2057</v>
      </c>
      <c r="D103" s="1" t="s">
        <v>1212</v>
      </c>
      <c r="E103" s="1">
        <v>21</v>
      </c>
      <c r="F103" s="1" t="s">
        <v>2038</v>
      </c>
      <c r="G103" s="1" t="s">
        <v>2038</v>
      </c>
      <c r="H103" s="1" t="s">
        <v>2033</v>
      </c>
      <c r="I103" s="1" t="s">
        <v>2033</v>
      </c>
      <c r="J103" s="1" t="s">
        <v>2026</v>
      </c>
      <c r="K103" s="1" t="s">
        <v>2030</v>
      </c>
      <c r="L103" s="1">
        <v>4</v>
      </c>
      <c r="M103" s="1">
        <v>6</v>
      </c>
      <c r="N103" s="1">
        <v>2</v>
      </c>
      <c r="O103" s="1">
        <v>4</v>
      </c>
      <c r="P103" s="1">
        <v>3</v>
      </c>
      <c r="Q103" s="1">
        <v>5</v>
      </c>
      <c r="R103" s="1">
        <v>6</v>
      </c>
      <c r="S103" s="1">
        <v>2</v>
      </c>
      <c r="T103" s="1">
        <v>5</v>
      </c>
      <c r="U103" s="1">
        <v>6</v>
      </c>
      <c r="V103" s="1">
        <v>1</v>
      </c>
      <c r="W103" s="1">
        <v>4</v>
      </c>
      <c r="X103" s="1">
        <v>1</v>
      </c>
      <c r="Y103" s="1" t="s">
        <v>2027</v>
      </c>
      <c r="Z103" s="1">
        <v>1</v>
      </c>
      <c r="AA103" s="1" t="s">
        <v>2027</v>
      </c>
      <c r="AB103" s="1" t="s">
        <v>2027</v>
      </c>
      <c r="AC103" s="1" t="s">
        <v>2027</v>
      </c>
      <c r="AD103" s="1">
        <v>4</v>
      </c>
      <c r="AE103" s="1">
        <v>2</v>
      </c>
      <c r="AF103" s="1">
        <v>6</v>
      </c>
      <c r="AG103" s="1">
        <v>4</v>
      </c>
      <c r="AH103" s="1">
        <v>2</v>
      </c>
      <c r="AI103" s="1">
        <v>1</v>
      </c>
      <c r="AJ103" s="52" t="s">
        <v>2029</v>
      </c>
      <c r="AK103" s="9">
        <f>($L$3*(L103-$Q$1)/$Q$2+$M$3*(M103-$R$1)/$R$2+$N$3*(N103-$S$1)/$S$2+$O$3*(O103-$T$1)/$T$2+$P$3*(P103-$U$1)/$U$2)/(SUM($L$3:$P$3))</f>
        <v>-0.42915361943921881</v>
      </c>
      <c r="AL103" s="9">
        <f>($L$3*(Q103-$Q$1)/$Q$2+$M$3*(R103-$R$1)/$R$2+$N$3*(S103-$S$1)/$S$2+$O$3*(T103-$T$1)/$T$2+$P$3*(U103-$U$1)/$U$2)/(SUM($L$3:$P$3))</f>
        <v>0.10316078622428725</v>
      </c>
      <c r="AM103">
        <f>IF(AVERAGE(AG103:AH103)&gt;9,1,0)+IF(AVERAGE(AG103:AH103)&gt;7,1,0)+IF(AG103&gt;7,1,0)+IF(AH103&gt;7,1,0)+IF(AI103&gt;8,1,0)+IF(AI103&gt;6,1,0)</f>
        <v>0</v>
      </c>
      <c r="AN103" s="6">
        <f>MIN(2,IF(OR(Y103="-",X103&lt;5),0,1+IF(Y103&gt;7,1+IF(X103&gt;7,0.25,0),IF(Y103&gt;4,0.5+IF(X103&gt;7,0.25,0),0+IF(X103&gt;7,0.25))))+IF(Z103="-",0,IF(Z103&gt;9,0.5,IF(Z103&gt;7,0.25,0)))+IF(AA103="-",0,IF(AA103&gt;7,1.1,IF(AA103&gt;4,0.6,0)))+IF(OR(AB103="-",V103&lt;5),0,IF(AB103&gt;7,1+IF(V103&gt;7,0.25,0),IF(AB103&gt;4,0.5+IF(V103&gt;7,0.25,0),0)))+IF(AC103="-",0,IF(AC103&gt;7,1.5,IF(AC103&gt;4,1,0)))+IF(AD103="-",0,IF(AD103&gt;9,0.5,IF(AD103&gt;7,0.25,0)))+IF(AE103="-",0,IF(AE103&gt;7,1.25,IF(AE103&gt;4,0.75,0)))+IF(OR(AF103="-",W103&lt;4),0,IF(AF103&gt;7,1+IF(W103&gt;7,0.15,0),IF(AF103&gt;4,0.5+IF(W103&gt;7,0.15,0),0))))</f>
        <v>0.5</v>
      </c>
      <c r="AO103" s="9">
        <f>($AK$3*AK103+$AL$3*AL103+$AM$3*AM103+$AN$3*AN103)+$J$3*VLOOKUP(J103,COND!$A$2:$C$7,2,FALSE)+$K$3*VLOOKUP(K103,COND!$A$2:$C$7,3,FALSE)</f>
        <v>11.695014072747526</v>
      </c>
      <c r="AP103" s="37">
        <f>STANDARDIZE(AO103,AVERAGE($AO$5:$AO$1295),STDEVP($AO$5:$AO$1295))</f>
        <v>0.14288363340470389</v>
      </c>
      <c r="AQ103" t="str">
        <f>IF(AND(Y103&lt;&gt;"-",X103&gt;1),"C",IF(AA103=MAX(AA103:AC103),"2B",IF(AC103=MAX(AA103:AC103),"SS",IF(OR(AB103=MAX(Z103:AC103),AND(AB103&lt;&gt;"-",AB103&gt;4,V103&gt;5)),"3B",IF(AE103=MAX(AD103:AF103),"CF",IF(AND(AF103=MAX(AD103,AF103),AND(W103&gt;5,AD103&lt;&gt;"-")),"RF",IF(AD103&lt;&gt;"-","LF",IF(Z103&lt;&gt;"-","1B","DH"))))))))</f>
        <v>LF</v>
      </c>
      <c r="AR103" t="s">
        <v>35</v>
      </c>
      <c r="AT103" t="s">
        <v>156</v>
      </c>
      <c r="AU103" t="str">
        <f>IF(AND($Q103&gt;=6,AVERAGE($S103:$T103)&gt;=6),"Likely",IF(OR($Q103&gt;6,AND($Q103=6,AVERAGE($S103:$T103)&gt;=3),AND($Q103&gt;=5,AVERAGE($S103:$T103)&gt;=5),AVERAGE($Q103,$S103:$T103)&gt;5),"Possible","Unlikely"))</f>
        <v>Unlikely</v>
      </c>
      <c r="AW103" t="str">
        <f>IF(VLOOKUP($B103,'Draft List'!$D$4:$AB$2598,AW$3,FALSE)&lt;&gt;0,VLOOKUP($B103,'Draft List'!$D$4:$AB$2598,AW$3,FALSE),"")</f>
        <v/>
      </c>
      <c r="AX103" t="str">
        <f>IF(VLOOKUP($B103,'Draft List'!$D$4:$AB$2598,AX$3,FALSE)&lt;&gt;0,VLOOKUP($B103,'Draft List'!$D$4:$AB$2598,AX$3,FALSE),"")</f>
        <v/>
      </c>
      <c r="AY103" t="str">
        <f>IF(VLOOKUP($B103,'Draft List'!$D$4:$AB$2598,AY$3,FALSE)&lt;&gt;0,VLOOKUP($B103,'Draft List'!$D$4:$AB$2598,AY$3,FALSE),"")</f>
        <v/>
      </c>
    </row>
    <row r="104" spans="1:51">
      <c r="A104" t="str">
        <f>IF(C104="C","C-",C104)&amp;D104&amp;E104</f>
        <v>RFDouglas Moon18</v>
      </c>
      <c r="B104">
        <f>VLOOKUP($A104,draft_listing_batters_stats!$A$1:$B$1324,2,FALSE)</f>
        <v>13752</v>
      </c>
      <c r="C104" s="1" t="s">
        <v>2057</v>
      </c>
      <c r="D104" s="1" t="s">
        <v>1375</v>
      </c>
      <c r="E104" s="1">
        <v>18</v>
      </c>
      <c r="F104" s="1" t="s">
        <v>2022</v>
      </c>
      <c r="G104" s="1" t="s">
        <v>2022</v>
      </c>
      <c r="H104" s="1" t="s">
        <v>2033</v>
      </c>
      <c r="I104" s="1" t="s">
        <v>2033</v>
      </c>
      <c r="J104" s="1" t="s">
        <v>2026</v>
      </c>
      <c r="K104" s="1" t="s">
        <v>2030</v>
      </c>
      <c r="L104" s="1">
        <v>1</v>
      </c>
      <c r="M104" s="1">
        <v>2</v>
      </c>
      <c r="N104" s="1">
        <v>1</v>
      </c>
      <c r="O104" s="1">
        <v>1</v>
      </c>
      <c r="P104" s="1">
        <v>1</v>
      </c>
      <c r="Q104" s="1">
        <v>5</v>
      </c>
      <c r="R104" s="1">
        <v>6</v>
      </c>
      <c r="S104" s="1">
        <v>5</v>
      </c>
      <c r="T104" s="1">
        <v>3</v>
      </c>
      <c r="U104" s="1">
        <v>4</v>
      </c>
      <c r="V104" s="1">
        <v>5</v>
      </c>
      <c r="W104" s="1">
        <v>5</v>
      </c>
      <c r="X104" s="1">
        <v>1</v>
      </c>
      <c r="Y104" s="1" t="s">
        <v>2027</v>
      </c>
      <c r="Z104" s="1" t="s">
        <v>2027</v>
      </c>
      <c r="AA104" s="1" t="s">
        <v>2027</v>
      </c>
      <c r="AB104" s="1">
        <v>1</v>
      </c>
      <c r="AC104" s="1" t="s">
        <v>2027</v>
      </c>
      <c r="AD104" s="1">
        <v>2</v>
      </c>
      <c r="AE104" s="1">
        <v>2</v>
      </c>
      <c r="AF104" s="1">
        <v>1</v>
      </c>
      <c r="AG104" s="1">
        <v>8</v>
      </c>
      <c r="AH104" s="1">
        <v>10</v>
      </c>
      <c r="AI104" s="1">
        <v>8</v>
      </c>
      <c r="AJ104" s="52" t="s">
        <v>2029</v>
      </c>
      <c r="AK104" s="9">
        <f>($L$3*(L104-$Q$1)/$Q$2+$M$3*(M104-$R$1)/$R$2+$N$3*(N104-$S$1)/$S$2+$O$3*(O104-$T$1)/$T$2+$P$3*(P104-$U$1)/$U$2)/(SUM($L$3:$P$3))</f>
        <v>-2.0332834702088682</v>
      </c>
      <c r="AL104" s="9">
        <f>($L$3*(Q104-$Q$1)/$Q$2+$M$3*(R104-$R$1)/$R$2+$N$3*(S104-$S$1)/$S$2+$O$3*(T104-$T$1)/$T$2+$P$3*(U104-$U$1)/$U$2)/(SUM($L$3:$P$3))</f>
        <v>9.289348864266278E-2</v>
      </c>
      <c r="AM104">
        <f>IF(AVERAGE(AG104:AH104)&gt;9,1,0)+IF(AVERAGE(AG104:AH104)&gt;7,1,0)+IF(AG104&gt;7,1,0)+IF(AH104&gt;7,1,0)+IF(AI104&gt;8,1,0)+IF(AI104&gt;6,1,0)</f>
        <v>4</v>
      </c>
      <c r="AN104" s="6">
        <f>MIN(2,IF(OR(Y104="-",X104&lt;5),0,1+IF(Y104&gt;7,1+IF(X104&gt;7,0.25,0),IF(Y104&gt;4,0.5+IF(X104&gt;7,0.25,0),0+IF(X104&gt;7,0.25))))+IF(Z104="-",0,IF(Z104&gt;9,0.5,IF(Z104&gt;7,0.25,0)))+IF(AA104="-",0,IF(AA104&gt;7,1.1,IF(AA104&gt;4,0.6,0)))+IF(OR(AB104="-",V104&lt;5),0,IF(AB104&gt;7,1+IF(V104&gt;7,0.25,0),IF(AB104&gt;4,0.5+IF(V104&gt;7,0.25,0),0)))+IF(AC104="-",0,IF(AC104&gt;7,1.5,IF(AC104&gt;4,1,0)))+IF(AD104="-",0,IF(AD104&gt;9,0.5,IF(AD104&gt;7,0.25,0)))+IF(AE104="-",0,IF(AE104&gt;7,1.25,IF(AE104&gt;4,0.75,0)))+IF(OR(AF104="-",W104&lt;4),0,IF(AF104&gt;7,1+IF(W104&gt;7,0.15,0),IF(AF104&gt;4,0.5+IF(W104&gt;7,0.15,0),0))))</f>
        <v>0</v>
      </c>
      <c r="AO104" s="9">
        <f>($AK$3*AK104+$AL$3*AL104+$AM$3*AM104+$AN$3*AN104)+$J$3*VLOOKUP(J104,COND!$A$2:$C$7,2,FALSE)+$K$3*VLOOKUP(K104,COND!$A$2:$C$7,3,FALSE)</f>
        <v>11.578060183357733</v>
      </c>
      <c r="AP104" s="37">
        <f>STANDARDIZE(AO104,AVERAGE($AO$5:$AO$1295),STDEVP($AO$5:$AO$1295))</f>
        <v>0.12663597187119066</v>
      </c>
      <c r="AQ104" t="str">
        <f>IF(AND(Y104&lt;&gt;"-",X104&gt;1),"C",IF(AA104=MAX(AA104:AC104),"2B",IF(AC104=MAX(AA104:AC104),"SS",IF(OR(AB104=MAX(Z104:AC104),AND(AB104&lt;&gt;"-",AB104&gt;4,V104&gt;5)),"3B",IF(AE104=MAX(AD104:AF104),"CF",IF(AND(AF104=MAX(AD104,AF104),AND(W104&gt;5,AD104&lt;&gt;"-")),"RF",IF(AD104&lt;&gt;"-","LF",IF(Z104&lt;&gt;"-","1B","DH"))))))))</f>
        <v>3B</v>
      </c>
      <c r="AR104" t="s">
        <v>35</v>
      </c>
      <c r="AT104" t="s">
        <v>157</v>
      </c>
      <c r="AU104" t="str">
        <f>IF(AND($Q104&gt;=6,AVERAGE($S104:$T104)&gt;=6),"Likely",IF(OR($Q104&gt;6,AND($Q104=6,AVERAGE($S104:$T104)&gt;=3),AND($Q104&gt;=5,AVERAGE($S104:$T104)&gt;=5),AVERAGE($Q104,$S104:$T104)&gt;5),"Possible","Unlikely"))</f>
        <v>Unlikely</v>
      </c>
      <c r="AW104" t="e">
        <f>IF(VLOOKUP($B104,'Draft List'!$D$4:$AB$2598,AW$3,FALSE)&lt;&gt;0,VLOOKUP($B104,'Draft List'!$D$4:$AB$2598,AW$3,FALSE),"")</f>
        <v>#N/A</v>
      </c>
      <c r="AX104" t="e">
        <f>IF(VLOOKUP($B104,'Draft List'!$D$4:$AB$2598,AX$3,FALSE)&lt;&gt;0,VLOOKUP($B104,'Draft List'!$D$4:$AB$2598,AX$3,FALSE),"")</f>
        <v>#N/A</v>
      </c>
      <c r="AY104" t="e">
        <f>IF(VLOOKUP($B104,'Draft List'!$D$4:$AB$2598,AY$3,FALSE)&lt;&gt;0,VLOOKUP($B104,'Draft List'!$D$4:$AB$2598,AY$3,FALSE),"")</f>
        <v>#N/A</v>
      </c>
    </row>
    <row r="105" spans="1:51">
      <c r="A105" t="str">
        <f>IF(C105="C","C-",C105)&amp;D105&amp;E105</f>
        <v>C-Miguel Garza21</v>
      </c>
      <c r="B105">
        <f>VLOOKUP($A105,draft_listing_batters_stats!$A$1:$B$1324,2,FALSE)</f>
        <v>7418</v>
      </c>
      <c r="C105" s="1" t="s">
        <v>2091</v>
      </c>
      <c r="D105" s="1" t="s">
        <v>1297</v>
      </c>
      <c r="E105" s="1">
        <v>21</v>
      </c>
      <c r="F105" s="1" t="s">
        <v>2038</v>
      </c>
      <c r="G105" s="1" t="s">
        <v>2022</v>
      </c>
      <c r="H105" s="1" t="s">
        <v>2033</v>
      </c>
      <c r="I105" s="1" t="s">
        <v>2033</v>
      </c>
      <c r="J105" s="1" t="s">
        <v>2030</v>
      </c>
      <c r="K105" s="1" t="s">
        <v>2030</v>
      </c>
      <c r="L105" s="1">
        <v>3</v>
      </c>
      <c r="M105" s="1">
        <v>5</v>
      </c>
      <c r="N105" s="1">
        <v>1</v>
      </c>
      <c r="O105" s="1">
        <v>2</v>
      </c>
      <c r="P105" s="1">
        <v>2</v>
      </c>
      <c r="Q105" s="1">
        <v>5</v>
      </c>
      <c r="R105" s="1">
        <v>7</v>
      </c>
      <c r="S105" s="1">
        <v>3</v>
      </c>
      <c r="T105" s="1">
        <v>3</v>
      </c>
      <c r="U105" s="1">
        <v>5</v>
      </c>
      <c r="V105" s="1">
        <v>4</v>
      </c>
      <c r="W105" s="1">
        <v>4</v>
      </c>
      <c r="X105" s="1">
        <v>6</v>
      </c>
      <c r="Y105" s="1">
        <v>4</v>
      </c>
      <c r="Z105" s="1" t="s">
        <v>2027</v>
      </c>
      <c r="AA105" s="1" t="s">
        <v>2027</v>
      </c>
      <c r="AB105" s="1" t="s">
        <v>2027</v>
      </c>
      <c r="AC105" s="1" t="s">
        <v>2027</v>
      </c>
      <c r="AD105" s="1" t="s">
        <v>2027</v>
      </c>
      <c r="AE105" s="1" t="s">
        <v>2027</v>
      </c>
      <c r="AF105" s="1" t="s">
        <v>2027</v>
      </c>
      <c r="AG105" s="1">
        <v>4</v>
      </c>
      <c r="AH105" s="1">
        <v>7</v>
      </c>
      <c r="AI105" s="1">
        <v>7</v>
      </c>
      <c r="AJ105" s="52" t="s">
        <v>2029</v>
      </c>
      <c r="AK105" s="9">
        <f>($L$3*(L105-$Q$1)/$Q$2+$M$3*(M105-$R$1)/$R$2+$N$3*(N105-$S$1)/$S$2+$O$3*(O105-$T$1)/$T$2+$P$3*(P105-$U$1)/$U$2)/(SUM($L$3:$P$3))</f>
        <v>-1.1052662691207442</v>
      </c>
      <c r="AL105" s="9">
        <f>($L$3*(Q105-$Q$1)/$Q$2+$M$3*(R105-$R$1)/$R$2+$N$3*(S105-$S$1)/$S$2+$O$3*(T105-$T$1)/$T$2+$P$3*(U105-$U$1)/$U$2)/(SUM($L$3:$P$3))</f>
        <v>1.7846720030646721E-2</v>
      </c>
      <c r="AM105">
        <f>IF(AVERAGE(AG105:AH105)&gt;9,1,0)+IF(AVERAGE(AG105:AH105)&gt;7,1,0)+IF(AG105&gt;7,1,0)+IF(AH105&gt;7,1,0)+IF(AI105&gt;8,1,0)+IF(AI105&gt;6,1,0)</f>
        <v>1</v>
      </c>
      <c r="AN105" s="6">
        <f>MIN(2,IF(OR(Y105="-",X105&lt;5),0,1+IF(Y105&gt;7,1+IF(X105&gt;7,0.25,0),IF(Y105&gt;4,0.5+IF(X105&gt;7,0.25,0),0+IF(X105&gt;7,0.25))))+IF(Z105="-",0,IF(Z105&gt;9,0.5,IF(Z105&gt;7,0.25,0)))+IF(AA105="-",0,IF(AA105&gt;7,1.1,IF(AA105&gt;4,0.6,0)))+IF(OR(AB105="-",V105&lt;5),0,IF(AB105&gt;7,1+IF(V105&gt;7,0.25,0),IF(AB105&gt;4,0.5+IF(V105&gt;7,0.25,0),0)))+IF(AC105="-",0,IF(AC105&gt;7,1.5,IF(AC105&gt;4,1,0)))+IF(AD105="-",0,IF(AD105&gt;9,0.5,IF(AD105&gt;7,0.25,0)))+IF(AE105="-",0,IF(AE105&gt;7,1.25,IF(AE105&gt;4,0.75,0)))+IF(OR(AF105="-",W105&lt;4),0,IF(AF105&gt;7,1+IF(W105&gt;7,0.15,0),IF(AF105&gt;4,0.5+IF(W105&gt;7,0.15,0),0))))</f>
        <v>1</v>
      </c>
      <c r="AO105" s="9">
        <f>($AK$3*AK105+$AL$3*AL105+$AM$3*AM105+$AN$3*AN105)+$J$3*VLOOKUP(J105,COND!$A$2:$C$7,2,FALSE)+$K$3*VLOOKUP(K105,COND!$A$2:$C$7,3,FALSE)</f>
        <v>11.470300680122353</v>
      </c>
      <c r="AP105" s="37">
        <f>STANDARDIZE(AO105,AVERAGE($AO$5:$AO$1295),STDEVP($AO$5:$AO$1295))</f>
        <v>0.11166562804831313</v>
      </c>
      <c r="AQ105" t="str">
        <f>IF(AND(Y105&lt;&gt;"-",X105&gt;1),"C",IF(AA105=MAX(AA105:AC105),"2B",IF(AC105=MAX(AA105:AC105),"SS",IF(OR(AB105=MAX(Z105:AC105),AND(AB105&lt;&gt;"-",AB105&gt;4,V105&gt;5)),"3B",IF(AE105=MAX(AD105:AF105),"CF",IF(AND(AF105=MAX(AD105,AF105),AND(W105&gt;5,AD105&lt;&gt;"-")),"RF",IF(AD105&lt;&gt;"-","LF",IF(Z105&lt;&gt;"-","1B","DH"))))))))</f>
        <v>C</v>
      </c>
      <c r="AR105" t="s">
        <v>35</v>
      </c>
      <c r="AT105" t="s">
        <v>156</v>
      </c>
      <c r="AU105" t="str">
        <f>IF(AND($Q105&gt;=6,AVERAGE($S105:$T105)&gt;=6),"Likely",IF(OR($Q105&gt;6,AND($Q105=6,AVERAGE($S105:$T105)&gt;=3),AND($Q105&gt;=5,AVERAGE($S105:$T105)&gt;=5),AVERAGE($Q105,$S105:$T105)&gt;5),"Possible","Unlikely"))</f>
        <v>Unlikely</v>
      </c>
      <c r="AW105" t="str">
        <f>IF(VLOOKUP($B105,'Draft List'!$D$4:$AB$2598,AW$3,FALSE)&lt;&gt;0,VLOOKUP($B105,'Draft List'!$D$4:$AB$2598,AW$3,FALSE),"")</f>
        <v/>
      </c>
      <c r="AX105" t="str">
        <f>IF(VLOOKUP($B105,'Draft List'!$D$4:$AB$2598,AX$3,FALSE)&lt;&gt;0,VLOOKUP($B105,'Draft List'!$D$4:$AB$2598,AX$3,FALSE),"")</f>
        <v/>
      </c>
      <c r="AY105" t="str">
        <f>IF(VLOOKUP($B105,'Draft List'!$D$4:$AB$2598,AY$3,FALSE)&lt;&gt;0,VLOOKUP($B105,'Draft List'!$D$4:$AB$2598,AY$3,FALSE),"")</f>
        <v/>
      </c>
    </row>
    <row r="106" spans="1:51">
      <c r="A106" t="str">
        <f>IF(C106="C","C-",C106)&amp;D106&amp;E106</f>
        <v>1BJon Lange21</v>
      </c>
      <c r="B106">
        <f>VLOOKUP($A106,draft_listing_batters_stats!$A$1:$B$1324,2,FALSE)</f>
        <v>2552</v>
      </c>
      <c r="C106" s="1" t="s">
        <v>2092</v>
      </c>
      <c r="D106" s="1" t="s">
        <v>1341</v>
      </c>
      <c r="E106" s="1">
        <v>21</v>
      </c>
      <c r="F106" s="1" t="s">
        <v>2038</v>
      </c>
      <c r="G106" s="1" t="s">
        <v>2038</v>
      </c>
      <c r="H106" s="1" t="s">
        <v>2033</v>
      </c>
      <c r="I106" s="1" t="s">
        <v>2033</v>
      </c>
      <c r="J106" s="1" t="s">
        <v>2026</v>
      </c>
      <c r="K106" s="1" t="s">
        <v>2025</v>
      </c>
      <c r="L106" s="1">
        <v>4</v>
      </c>
      <c r="M106" s="1">
        <v>4</v>
      </c>
      <c r="N106" s="1">
        <v>2</v>
      </c>
      <c r="O106" s="1">
        <v>2</v>
      </c>
      <c r="P106" s="1">
        <v>2</v>
      </c>
      <c r="Q106" s="1">
        <v>5</v>
      </c>
      <c r="R106" s="1">
        <v>5</v>
      </c>
      <c r="S106" s="1">
        <v>5</v>
      </c>
      <c r="T106" s="1">
        <v>4</v>
      </c>
      <c r="U106" s="1">
        <v>4</v>
      </c>
      <c r="V106" s="1">
        <v>2</v>
      </c>
      <c r="W106" s="1">
        <v>3</v>
      </c>
      <c r="X106" s="1">
        <v>1</v>
      </c>
      <c r="Y106" s="1" t="s">
        <v>2027</v>
      </c>
      <c r="Z106" s="1">
        <v>3</v>
      </c>
      <c r="AA106" s="1" t="s">
        <v>2027</v>
      </c>
      <c r="AB106" s="1" t="s">
        <v>2027</v>
      </c>
      <c r="AC106" s="1" t="s">
        <v>2027</v>
      </c>
      <c r="AD106" s="1" t="s">
        <v>2027</v>
      </c>
      <c r="AE106" s="1" t="s">
        <v>2027</v>
      </c>
      <c r="AF106" s="1" t="s">
        <v>2027</v>
      </c>
      <c r="AG106" s="1">
        <v>3</v>
      </c>
      <c r="AH106" s="1">
        <v>4</v>
      </c>
      <c r="AI106" s="1">
        <v>3</v>
      </c>
      <c r="AJ106" s="52" t="s">
        <v>2029</v>
      </c>
      <c r="AK106" s="9">
        <f>($L$3*(L106-$Q$1)/$Q$2+$M$3*(M106-$R$1)/$R$2+$N$3*(N106-$S$1)/$S$2+$O$3*(O106-$T$1)/$T$2+$P$3*(P106-$U$1)/$U$2)/(SUM($L$3:$P$3))</f>
        <v>-0.75070881851287141</v>
      </c>
      <c r="AL106" s="9">
        <f>($L$3*(Q106-$Q$1)/$Q$2+$M$3*(R106-$R$1)/$R$2+$N$3*(S106-$S$1)/$S$2+$O$3*(T106-$T$1)/$T$2+$P$3*(U106-$U$1)/$U$2)/(SUM($L$3:$P$3))</f>
        <v>0.1315431590335403</v>
      </c>
      <c r="AM106">
        <f>IF(AVERAGE(AG106:AH106)&gt;9,1,0)+IF(AVERAGE(AG106:AH106)&gt;7,1,0)+IF(AG106&gt;7,1,0)+IF(AH106&gt;7,1,0)+IF(AI106&gt;8,1,0)+IF(AI106&gt;6,1,0)</f>
        <v>0</v>
      </c>
      <c r="AN106" s="6">
        <f>MIN(2,IF(OR(Y106="-",X106&lt;5),0,1+IF(Y106&gt;7,1+IF(X106&gt;7,0.25,0),IF(Y106&gt;4,0.5+IF(X106&gt;7,0.25,0),0+IF(X106&gt;7,0.25))))+IF(Z106="-",0,IF(Z106&gt;9,0.5,IF(Z106&gt;7,0.25,0)))+IF(AA106="-",0,IF(AA106&gt;7,1.1,IF(AA106&gt;4,0.6,0)))+IF(OR(AB106="-",V106&lt;5),0,IF(AB106&gt;7,1+IF(V106&gt;7,0.25,0),IF(AB106&gt;4,0.5+IF(V106&gt;7,0.25,0),0)))+IF(AC106="-",0,IF(AC106&gt;7,1.5,IF(AC106&gt;4,1,0)))+IF(AD106="-",0,IF(AD106&gt;9,0.5,IF(AD106&gt;7,0.25,0)))+IF(AE106="-",0,IF(AE106&gt;7,1.25,IF(AE106&gt;4,0.75,0)))+IF(OR(AF106="-",W106&lt;4),0,IF(AF106&gt;7,1+IF(W106&gt;7,0.15,0),IF(AF106&gt;4,0.5+IF(W106&gt;7,0.15,0),0))))</f>
        <v>0</v>
      </c>
      <c r="AO106" s="9">
        <f>($AK$3*AK106+$AL$3*AL106+$AM$3*AM106+$AN$3*AN106)+$J$3*VLOOKUP(J106,COND!$A$2:$C$7,2,FALSE)+$K$3*VLOOKUP(K106,COND!$A$2:$C$7,3,FALSE)</f>
        <v>11.403447026551197</v>
      </c>
      <c r="AP106" s="37">
        <f>STANDARDIZE(AO106,AVERAGE($AO$5:$AO$1295),STDEVP($AO$5:$AO$1295))</f>
        <v>0.10237807428528541</v>
      </c>
      <c r="AQ106" t="str">
        <f>IF(AND(Y106&lt;&gt;"-",X106&gt;1),"C",IF(AA106=MAX(AA106:AC106),"2B",IF(AC106=MAX(AA106:AC106),"SS",IF(OR(AB106=MAX(Z106:AC106),AND(AB106&lt;&gt;"-",AB106&gt;4,V106&gt;5)),"3B",IF(AE106=MAX(AD106:AF106),"CF",IF(AND(AF106=MAX(AD106,AF106),AND(W106&gt;5,AD106&lt;&gt;"-")),"RF",IF(AD106&lt;&gt;"-","LF",IF(Z106&lt;&gt;"-","1B","DH"))))))))</f>
        <v>1B</v>
      </c>
      <c r="AR106" t="s">
        <v>35</v>
      </c>
      <c r="AU106" t="str">
        <f>IF(AND($Q106&gt;=6,AVERAGE($S106:$T106)&gt;=6),"Likely",IF(OR($Q106&gt;6,AND($Q106=6,AVERAGE($S106:$T106)&gt;=3),AND($Q106&gt;=5,AVERAGE($S106:$T106)&gt;=5),AVERAGE($Q106,$S106:$T106)&gt;5),"Possible","Unlikely"))</f>
        <v>Unlikely</v>
      </c>
      <c r="AW106" t="str">
        <f>IF(VLOOKUP($B106,'Draft List'!$D$4:$AB$2598,AW$3,FALSE)&lt;&gt;0,VLOOKUP($B106,'Draft List'!$D$4:$AB$2598,AW$3,FALSE),"")</f>
        <v/>
      </c>
      <c r="AX106" t="str">
        <f>IF(VLOOKUP($B106,'Draft List'!$D$4:$AB$2598,AX$3,FALSE)&lt;&gt;0,VLOOKUP($B106,'Draft List'!$D$4:$AB$2598,AX$3,FALSE),"")</f>
        <v/>
      </c>
      <c r="AY106" t="str">
        <f>IF(VLOOKUP($B106,'Draft List'!$D$4:$AB$2598,AY$3,FALSE)&lt;&gt;0,VLOOKUP($B106,'Draft List'!$D$4:$AB$2598,AY$3,FALSE),"")</f>
        <v/>
      </c>
    </row>
    <row r="107" spans="1:51">
      <c r="A107" t="str">
        <f>IF(C107="C","C-",C107)&amp;D107&amp;E107</f>
        <v>2BWinston MacLyan21</v>
      </c>
      <c r="B107">
        <f>VLOOKUP($A107,draft_listing_batters_stats!$A$1:$B$1324,2,FALSE)</f>
        <v>7846</v>
      </c>
      <c r="C107" s="1" t="s">
        <v>2069</v>
      </c>
      <c r="D107" s="1" t="s">
        <v>1354</v>
      </c>
      <c r="E107" s="1">
        <v>21</v>
      </c>
      <c r="F107" s="1" t="s">
        <v>2022</v>
      </c>
      <c r="G107" s="1" t="s">
        <v>2022</v>
      </c>
      <c r="H107" s="1" t="s">
        <v>2033</v>
      </c>
      <c r="I107" s="1" t="s">
        <v>2033</v>
      </c>
      <c r="J107" s="1" t="s">
        <v>2036</v>
      </c>
      <c r="K107" s="1" t="s">
        <v>2036</v>
      </c>
      <c r="L107" s="1">
        <v>4</v>
      </c>
      <c r="M107" s="1">
        <v>3</v>
      </c>
      <c r="N107" s="1">
        <v>1</v>
      </c>
      <c r="O107" s="1">
        <v>2</v>
      </c>
      <c r="P107" s="1">
        <v>2</v>
      </c>
      <c r="Q107" s="1">
        <v>5</v>
      </c>
      <c r="R107" s="1">
        <v>5</v>
      </c>
      <c r="S107" s="1">
        <v>4</v>
      </c>
      <c r="T107" s="1">
        <v>3</v>
      </c>
      <c r="U107" s="1">
        <v>4</v>
      </c>
      <c r="V107" s="1">
        <v>10</v>
      </c>
      <c r="W107" s="1">
        <v>1</v>
      </c>
      <c r="X107" s="1">
        <v>1</v>
      </c>
      <c r="Y107" s="1" t="s">
        <v>2027</v>
      </c>
      <c r="Z107" s="1">
        <v>7</v>
      </c>
      <c r="AA107" s="1">
        <v>7</v>
      </c>
      <c r="AB107" s="1">
        <v>6</v>
      </c>
      <c r="AC107" s="1">
        <v>4</v>
      </c>
      <c r="AD107" s="1" t="s">
        <v>2027</v>
      </c>
      <c r="AE107" s="1" t="s">
        <v>2027</v>
      </c>
      <c r="AF107" s="1" t="s">
        <v>2027</v>
      </c>
      <c r="AG107" s="1">
        <v>3</v>
      </c>
      <c r="AH107" s="1">
        <v>1</v>
      </c>
      <c r="AI107" s="1">
        <v>1</v>
      </c>
      <c r="AJ107" s="52" t="s">
        <v>2029</v>
      </c>
      <c r="AK107" s="9">
        <f>($L$3*(L107-$Q$1)/$Q$2+$M$3*(M107-$R$1)/$R$2+$N$3*(N107-$S$1)/$S$2+$O$3*(O107-$T$1)/$T$2+$P$3*(P107-$U$1)/$U$2)/(SUM($L$3:$P$3))</f>
        <v>-0.88483019215547631</v>
      </c>
      <c r="AL107" s="9">
        <f>($L$3*(Q107-$Q$1)/$Q$2+$M$3*(R107-$R$1)/$R$2+$N$3*(S107-$S$1)/$S$2+$O$3*(T107-$T$1)/$T$2+$P$3*(U107-$U$1)/$U$2)/(SUM($L$3:$P$3))</f>
        <v>-4.1227884999942219E-2</v>
      </c>
      <c r="AM107">
        <f>IF(AVERAGE(AG107:AH107)&gt;9,1,0)+IF(AVERAGE(AG107:AH107)&gt;7,1,0)+IF(AG107&gt;7,1,0)+IF(AH107&gt;7,1,0)+IF(AI107&gt;8,1,0)+IF(AI107&gt;6,1,0)</f>
        <v>0</v>
      </c>
      <c r="AN107" s="6">
        <f>MIN(2,IF(OR(Y107="-",X107&lt;5),0,1+IF(Y107&gt;7,1+IF(X107&gt;7,0.25,0),IF(Y107&gt;4,0.5+IF(X107&gt;7,0.25,0),0+IF(X107&gt;7,0.25))))+IF(Z107="-",0,IF(Z107&gt;9,0.5,IF(Z107&gt;7,0.25,0)))+IF(AA107="-",0,IF(AA107&gt;7,1.1,IF(AA107&gt;4,0.6,0)))+IF(OR(AB107="-",V107&lt;5),0,IF(AB107&gt;7,1+IF(V107&gt;7,0.25,0),IF(AB107&gt;4,0.5+IF(V107&gt;7,0.25,0),0)))+IF(AC107="-",0,IF(AC107&gt;7,1.5,IF(AC107&gt;4,1,0)))+IF(AD107="-",0,IF(AD107&gt;9,0.5,IF(AD107&gt;7,0.25,0)))+IF(AE107="-",0,IF(AE107&gt;7,1.25,IF(AE107&gt;4,0.75,0)))+IF(OR(AF107="-",W107&lt;4),0,IF(AF107&gt;7,1+IF(W107&gt;7,0.15,0),IF(AF107&gt;4,0.5+IF(W107&gt;7,0.15,0),0))))</f>
        <v>1.35</v>
      </c>
      <c r="AO107" s="9">
        <f>($AK$3*AK107+$AL$3*AL107+$AM$3*AM107+$AN$3*AN107)+$J$3*VLOOKUP(J107,COND!$A$2:$C$7,2,FALSE)+$K$3*VLOOKUP(K107,COND!$A$2:$C$7,3,FALSE)</f>
        <v>11.266782360785147</v>
      </c>
      <c r="AP107" s="37">
        <f>STANDARDIZE(AO107,AVERAGE($AO$5:$AO$1295),STDEVP($AO$5:$AO$1295))</f>
        <v>8.3392119696319947E-2</v>
      </c>
      <c r="AQ107" t="str">
        <f>IF(AND(Y107&lt;&gt;"-",X107&gt;1),"C",IF(AA107=MAX(AA107:AC107),"2B",IF(AC107=MAX(AA107:AC107),"SS",IF(OR(AB107=MAX(Z107:AC107),AND(AB107&lt;&gt;"-",AB107&gt;4,V107&gt;5)),"3B",IF(AE107=MAX(AD107:AF107),"CF",IF(AND(AF107=MAX(AD107,AF107),AND(W107&gt;5,AD107&lt;&gt;"-")),"RF",IF(AD107&lt;&gt;"-","LF",IF(Z107&lt;&gt;"-","1B","DH"))))))))</f>
        <v>2B</v>
      </c>
      <c r="AR107" t="s">
        <v>35</v>
      </c>
      <c r="AT107" t="s">
        <v>70</v>
      </c>
      <c r="AU107" t="str">
        <f>IF(AND($Q107&gt;=6,AVERAGE($S107:$T107)&gt;=6),"Likely",IF(OR($Q107&gt;6,AND($Q107=6,AVERAGE($S107:$T107)&gt;=3),AND($Q107&gt;=5,AVERAGE($S107:$T107)&gt;=5),AVERAGE($Q107,$S107:$T107)&gt;5),"Possible","Unlikely"))</f>
        <v>Unlikely</v>
      </c>
      <c r="AW107" t="str">
        <f>IF(VLOOKUP($B107,'Draft List'!$D$4:$AB$2598,AW$3,FALSE)&lt;&gt;0,VLOOKUP($B107,'Draft List'!$D$4:$AB$2598,AW$3,FALSE),"")</f>
        <v/>
      </c>
      <c r="AX107" t="str">
        <f>IF(VLOOKUP($B107,'Draft List'!$D$4:$AB$2598,AX$3,FALSE)&lt;&gt;0,VLOOKUP($B107,'Draft List'!$D$4:$AB$2598,AX$3,FALSE),"")</f>
        <v/>
      </c>
      <c r="AY107" t="str">
        <f>IF(VLOOKUP($B107,'Draft List'!$D$4:$AB$2598,AY$3,FALSE)&lt;&gt;0,VLOOKUP($B107,'Draft List'!$D$4:$AB$2598,AY$3,FALSE),"")</f>
        <v/>
      </c>
    </row>
    <row r="108" spans="1:51">
      <c r="A108" t="str">
        <f>IF(C108="C","C-",C108)&amp;D108&amp;E108</f>
        <v>C-Ed Jensen21</v>
      </c>
      <c r="B108">
        <f>VLOOKUP($A108,draft_listing_batters_stats!$A$1:$B$1324,2,FALSE)</f>
        <v>3766</v>
      </c>
      <c r="C108" s="1" t="s">
        <v>2091</v>
      </c>
      <c r="D108" s="1" t="s">
        <v>1323</v>
      </c>
      <c r="E108" s="1">
        <v>21</v>
      </c>
      <c r="F108" s="1" t="s">
        <v>2038</v>
      </c>
      <c r="G108" s="1" t="s">
        <v>2022</v>
      </c>
      <c r="H108" s="1" t="s">
        <v>2033</v>
      </c>
      <c r="I108" s="1" t="s">
        <v>2033</v>
      </c>
      <c r="J108" s="1" t="s">
        <v>2025</v>
      </c>
      <c r="K108" s="1" t="s">
        <v>2040</v>
      </c>
      <c r="L108" s="1">
        <v>3</v>
      </c>
      <c r="M108" s="1">
        <v>4</v>
      </c>
      <c r="N108" s="1">
        <v>2</v>
      </c>
      <c r="O108" s="1">
        <v>4</v>
      </c>
      <c r="P108" s="1">
        <v>2</v>
      </c>
      <c r="Q108" s="1">
        <v>5</v>
      </c>
      <c r="R108" s="1">
        <v>6</v>
      </c>
      <c r="S108" s="1">
        <v>3</v>
      </c>
      <c r="T108" s="1">
        <v>5</v>
      </c>
      <c r="U108" s="1">
        <v>5</v>
      </c>
      <c r="V108" s="1">
        <v>5</v>
      </c>
      <c r="W108" s="1">
        <v>4</v>
      </c>
      <c r="X108" s="1">
        <v>4</v>
      </c>
      <c r="Y108" s="1">
        <v>3</v>
      </c>
      <c r="Z108" s="1" t="s">
        <v>2027</v>
      </c>
      <c r="AA108" s="1" t="s">
        <v>2027</v>
      </c>
      <c r="AB108" s="1" t="s">
        <v>2027</v>
      </c>
      <c r="AC108" s="1" t="s">
        <v>2027</v>
      </c>
      <c r="AD108" s="1" t="s">
        <v>2027</v>
      </c>
      <c r="AE108" s="1" t="s">
        <v>2027</v>
      </c>
      <c r="AF108" s="1" t="s">
        <v>2027</v>
      </c>
      <c r="AG108" s="1">
        <v>3</v>
      </c>
      <c r="AH108" s="1">
        <v>1</v>
      </c>
      <c r="AI108" s="1">
        <v>1</v>
      </c>
      <c r="AJ108" s="52" t="s">
        <v>2029</v>
      </c>
      <c r="AK108" s="9">
        <f>($L$3*(L108-$Q$1)/$Q$2+$M$3*(M108-$R$1)/$R$2+$N$3*(N108-$S$1)/$S$2+$O$3*(O108-$T$1)/$T$2+$P$3*(P108-$U$1)/$U$2)/(SUM($L$3:$P$3))</f>
        <v>-0.89384555469638405</v>
      </c>
      <c r="AL108" s="9">
        <f>($L$3*(Q108-$Q$1)/$Q$2+$M$3*(R108-$R$1)/$R$2+$N$3*(S108-$S$1)/$S$2+$O$3*(T108-$T$1)/$T$2+$P$3*(U108-$U$1)/$U$2)/(SUM($L$3:$P$3))</f>
        <v>0.14620594043110532</v>
      </c>
      <c r="AM108">
        <f>IF(AVERAGE(AG108:AH108)&gt;9,1,0)+IF(AVERAGE(AG108:AH108)&gt;7,1,0)+IF(AG108&gt;7,1,0)+IF(AH108&gt;7,1,0)+IF(AI108&gt;8,1,0)+IF(AI108&gt;6,1,0)</f>
        <v>0</v>
      </c>
      <c r="AN108" s="6">
        <f>MIN(2,IF(OR(Y108="-",X108&lt;5),0,1+IF(Y108&gt;7,1+IF(X108&gt;7,0.25,0),IF(Y108&gt;4,0.5+IF(X108&gt;7,0.25,0),0+IF(X108&gt;7,0.25))))+IF(Z108="-",0,IF(Z108&gt;9,0.5,IF(Z108&gt;7,0.25,0)))+IF(AA108="-",0,IF(AA108&gt;7,1.1,IF(AA108&gt;4,0.6,0)))+IF(OR(AB108="-",V108&lt;5),0,IF(AB108&gt;7,1+IF(V108&gt;7,0.25,0),IF(AB108&gt;4,0.5+IF(V108&gt;7,0.25,0),0)))+IF(AC108="-",0,IF(AC108&gt;7,1.5,IF(AC108&gt;4,1,0)))+IF(AD108="-",0,IF(AD108&gt;9,0.5,IF(AD108&gt;7,0.25,0)))+IF(AE108="-",0,IF(AE108&gt;7,1.25,IF(AE108&gt;4,0.75,0)))+IF(OR(AF108="-",W108&lt;4),0,IF(AF108&gt;7,1+IF(W108&gt;7,0.15,0),IF(AF108&gt;4,0.5+IF(W108&gt;7,0.15,0),0))))</f>
        <v>0</v>
      </c>
      <c r="AO108" s="9">
        <f>($AK$3*AK108+$AL$3*AL108+$AM$3*AM108+$AN$3*AN108)+$J$3*VLOOKUP(J108,COND!$A$2:$C$7,2,FALSE)+$K$3*VLOOKUP(K108,COND!$A$2:$C$7,3,FALSE)</f>
        <v>11.165086729703624</v>
      </c>
      <c r="AP108" s="37">
        <f>STANDARDIZE(AO108,AVERAGE($AO$5:$AO$1295),STDEVP($AO$5:$AO$1295))</f>
        <v>6.9264191143703427E-2</v>
      </c>
      <c r="AQ108" t="str">
        <f>IF(AND(Y108&lt;&gt;"-",X108&gt;1),"C",IF(AA108=MAX(AA108:AC108),"2B",IF(AC108=MAX(AA108:AC108),"SS",IF(OR(AB108=MAX(Z108:AC108),AND(AB108&lt;&gt;"-",AB108&gt;4,V108&gt;5)),"3B",IF(AE108=MAX(AD108:AF108),"CF",IF(AND(AF108=MAX(AD108,AF108),AND(W108&gt;5,AD108&lt;&gt;"-")),"RF",IF(AD108&lt;&gt;"-","LF",IF(Z108&lt;&gt;"-","1B","DH"))))))))</f>
        <v>C</v>
      </c>
      <c r="AR108" t="s">
        <v>35</v>
      </c>
      <c r="AT108" t="s">
        <v>155</v>
      </c>
      <c r="AU108" t="str">
        <f>IF(AND($Q108&gt;=6,AVERAGE($S108:$T108)&gt;=6),"Likely",IF(OR($Q108&gt;6,AND($Q108=6,AVERAGE($S108:$T108)&gt;=3),AND($Q108&gt;=5,AVERAGE($S108:$T108)&gt;=5),AVERAGE($Q108,$S108:$T108)&gt;5),"Possible","Unlikely"))</f>
        <v>Unlikely</v>
      </c>
      <c r="AW108" t="str">
        <f>IF(VLOOKUP($B108,'Draft List'!$D$4:$AB$2598,AW$3,FALSE)&lt;&gt;0,VLOOKUP($B108,'Draft List'!$D$4:$AB$2598,AW$3,FALSE),"")</f>
        <v/>
      </c>
      <c r="AX108" t="str">
        <f>IF(VLOOKUP($B108,'Draft List'!$D$4:$AB$2598,AX$3,FALSE)&lt;&gt;0,VLOOKUP($B108,'Draft List'!$D$4:$AB$2598,AX$3,FALSE),"")</f>
        <v/>
      </c>
      <c r="AY108" t="str">
        <f>IF(VLOOKUP($B108,'Draft List'!$D$4:$AB$2598,AY$3,FALSE)&lt;&gt;0,VLOOKUP($B108,'Draft List'!$D$4:$AB$2598,AY$3,FALSE),"")</f>
        <v/>
      </c>
    </row>
    <row r="109" spans="1:51">
      <c r="A109" t="str">
        <f>IF(C109="C","C-",C109)&amp;D109&amp;E109</f>
        <v>1BBill Sims21</v>
      </c>
      <c r="B109">
        <f>VLOOKUP($A109,draft_listing_batters_stats!$A$1:$B$1324,2,FALSE)</f>
        <v>5781</v>
      </c>
      <c r="C109" s="1" t="s">
        <v>2092</v>
      </c>
      <c r="D109" s="1" t="s">
        <v>1214</v>
      </c>
      <c r="E109" s="1">
        <v>21</v>
      </c>
      <c r="F109" s="1" t="s">
        <v>2049</v>
      </c>
      <c r="G109" s="1" t="s">
        <v>2038</v>
      </c>
      <c r="H109" s="1" t="s">
        <v>2033</v>
      </c>
      <c r="I109" s="1" t="s">
        <v>2033</v>
      </c>
      <c r="J109" s="1" t="s">
        <v>2040</v>
      </c>
      <c r="K109" s="1" t="s">
        <v>2030</v>
      </c>
      <c r="L109" s="1">
        <v>3</v>
      </c>
      <c r="M109" s="1">
        <v>5</v>
      </c>
      <c r="N109" s="1">
        <v>3</v>
      </c>
      <c r="O109" s="1">
        <v>2</v>
      </c>
      <c r="P109" s="1">
        <v>1</v>
      </c>
      <c r="Q109" s="1">
        <v>5</v>
      </c>
      <c r="R109" s="1">
        <v>6</v>
      </c>
      <c r="S109" s="1">
        <v>5</v>
      </c>
      <c r="T109" s="1">
        <v>3</v>
      </c>
      <c r="U109" s="1">
        <v>5</v>
      </c>
      <c r="V109" s="1">
        <v>3</v>
      </c>
      <c r="W109" s="1">
        <v>3</v>
      </c>
      <c r="X109" s="1">
        <v>1</v>
      </c>
      <c r="Y109" s="1" t="s">
        <v>2027</v>
      </c>
      <c r="Z109" s="1">
        <v>4</v>
      </c>
      <c r="AA109" s="1" t="s">
        <v>2027</v>
      </c>
      <c r="AB109" s="1" t="s">
        <v>2027</v>
      </c>
      <c r="AC109" s="1" t="s">
        <v>2027</v>
      </c>
      <c r="AD109" s="1">
        <v>1</v>
      </c>
      <c r="AE109" s="1" t="s">
        <v>2027</v>
      </c>
      <c r="AF109" s="1" t="s">
        <v>2027</v>
      </c>
      <c r="AG109" s="1">
        <v>5</v>
      </c>
      <c r="AH109" s="1">
        <v>4</v>
      </c>
      <c r="AI109" s="1">
        <v>3</v>
      </c>
      <c r="AJ109" s="52" t="s">
        <v>2029</v>
      </c>
      <c r="AK109" s="9">
        <f>($L$3*(L109-$Q$1)/$Q$2+$M$3*(M109-$R$1)/$R$2+$N$3*(N109-$S$1)/$S$2+$O$3*(O109-$T$1)/$T$2+$P$3*(P109-$U$1)/$U$2)/(SUM($L$3:$P$3))</f>
        <v>-0.97915962089002462</v>
      </c>
      <c r="AL109" s="9">
        <f>($L$3*(Q109-$Q$1)/$Q$2+$M$3*(R109-$R$1)/$R$2+$N$3*(S109-$S$1)/$S$2+$O$3*(T109-$T$1)/$T$2+$P$3*(U109-$U$1)/$U$2)/(SUM($L$3:$P$3))</f>
        <v>0.13290982845974622</v>
      </c>
      <c r="AM109">
        <f>IF(AVERAGE(AG109:AH109)&gt;9,1,0)+IF(AVERAGE(AG109:AH109)&gt;7,1,0)+IF(AG109&gt;7,1,0)+IF(AH109&gt;7,1,0)+IF(AI109&gt;8,1,0)+IF(AI109&gt;6,1,0)</f>
        <v>0</v>
      </c>
      <c r="AN109" s="6">
        <f>MIN(2,IF(OR(Y109="-",X109&lt;5),0,1+IF(Y109&gt;7,1+IF(X109&gt;7,0.25,0),IF(Y109&gt;4,0.5+IF(X109&gt;7,0.25,0),0+IF(X109&gt;7,0.25))))+IF(Z109="-",0,IF(Z109&gt;9,0.5,IF(Z109&gt;7,0.25,0)))+IF(AA109="-",0,IF(AA109&gt;7,1.1,IF(AA109&gt;4,0.6,0)))+IF(OR(AB109="-",V109&lt;5),0,IF(AB109&gt;7,1+IF(V109&gt;7,0.25,0),IF(AB109&gt;4,0.5+IF(V109&gt;7,0.25,0),0)))+IF(AC109="-",0,IF(AC109&gt;7,1.5,IF(AC109&gt;4,1,0)))+IF(AD109="-",0,IF(AD109&gt;9,0.5,IF(AD109&gt;7,0.25,0)))+IF(AE109="-",0,IF(AE109&gt;7,1.25,IF(AE109&gt;4,0.75,0)))+IF(OR(AF109="-",W109&lt;4),0,IF(AF109&gt;7,1+IF(W109&gt;7,0.15,0),IF(AF109&gt;4,0.5+IF(W109&gt;7,0.15,0),0))))</f>
        <v>0</v>
      </c>
      <c r="AO109" s="9">
        <f>($AK$3*AK109+$AL$3*AL109+$AM$3*AM109+$AN$3*AN109)+$J$3*VLOOKUP(J109,COND!$A$2:$C$7,2,FALSE)+$K$3*VLOOKUP(K109,COND!$A$2:$C$7,3,FALSE)</f>
        <v>11.097001979427951</v>
      </c>
      <c r="AP109" s="37">
        <f>STANDARDIZE(AO109,AVERAGE($AO$5:$AO$1295),STDEVP($AO$5:$AO$1295))</f>
        <v>5.9805608929425554E-2</v>
      </c>
      <c r="AQ109" t="str">
        <f>IF(AND(Y109&lt;&gt;"-",X109&gt;1),"C",IF(AA109=MAX(AA109:AC109),"2B",IF(AC109=MAX(AA109:AC109),"SS",IF(OR(AB109=MAX(Z109:AC109),AND(AB109&lt;&gt;"-",AB109&gt;4,V109&gt;5)),"3B",IF(AE109=MAX(AD109:AF109),"CF",IF(AND(AF109=MAX(AD109,AF109),AND(W109&gt;5,AD109&lt;&gt;"-")),"RF",IF(AD109&lt;&gt;"-","LF",IF(Z109&lt;&gt;"-","1B","DH"))))))))</f>
        <v>LF</v>
      </c>
      <c r="AR109" t="s">
        <v>35</v>
      </c>
      <c r="AU109" t="str">
        <f>IF(AND($Q109&gt;=6,AVERAGE($S109:$T109)&gt;=6),"Likely",IF(OR($Q109&gt;6,AND($Q109=6,AVERAGE($S109:$T109)&gt;=3),AND($Q109&gt;=5,AVERAGE($S109:$T109)&gt;=5),AVERAGE($Q109,$S109:$T109)&gt;5),"Possible","Unlikely"))</f>
        <v>Unlikely</v>
      </c>
      <c r="AW109" t="str">
        <f>IF(VLOOKUP($B109,'Draft List'!$D$4:$AB$2598,AW$3,FALSE)&lt;&gt;0,VLOOKUP($B109,'Draft List'!$D$4:$AB$2598,AW$3,FALSE),"")</f>
        <v/>
      </c>
      <c r="AX109" t="str">
        <f>IF(VLOOKUP($B109,'Draft List'!$D$4:$AB$2598,AX$3,FALSE)&lt;&gt;0,VLOOKUP($B109,'Draft List'!$D$4:$AB$2598,AX$3,FALSE),"")</f>
        <v/>
      </c>
      <c r="AY109" t="str">
        <f>IF(VLOOKUP($B109,'Draft List'!$D$4:$AB$2598,AY$3,FALSE)&lt;&gt;0,VLOOKUP($B109,'Draft List'!$D$4:$AB$2598,AY$3,FALSE),"")</f>
        <v/>
      </c>
    </row>
    <row r="110" spans="1:51">
      <c r="A110" t="str">
        <f>IF(C110="C","C-",C110)&amp;D110&amp;E110</f>
        <v>1BMark Flannery18</v>
      </c>
      <c r="B110">
        <f>VLOOKUP($A110,draft_listing_batters_stats!$A$1:$B$1324,2,FALSE)</f>
        <v>13813</v>
      </c>
      <c r="C110" s="1" t="s">
        <v>2092</v>
      </c>
      <c r="D110" s="1" t="s">
        <v>1495</v>
      </c>
      <c r="E110" s="1">
        <v>18</v>
      </c>
      <c r="F110" s="1" t="s">
        <v>2022</v>
      </c>
      <c r="G110" s="1" t="s">
        <v>2022</v>
      </c>
      <c r="H110" s="1" t="s">
        <v>2033</v>
      </c>
      <c r="I110" s="1" t="s">
        <v>2033</v>
      </c>
      <c r="J110" s="1" t="s">
        <v>2026</v>
      </c>
      <c r="K110" s="1" t="s">
        <v>2040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5</v>
      </c>
      <c r="R110" s="1">
        <v>4</v>
      </c>
      <c r="S110" s="1">
        <v>4</v>
      </c>
      <c r="T110" s="1">
        <v>5</v>
      </c>
      <c r="U110" s="1">
        <v>4</v>
      </c>
      <c r="V110" s="1">
        <v>8</v>
      </c>
      <c r="W110" s="1">
        <v>3</v>
      </c>
      <c r="X110" s="1">
        <v>1</v>
      </c>
      <c r="Y110" s="1" t="s">
        <v>2027</v>
      </c>
      <c r="Z110" s="1">
        <v>3</v>
      </c>
      <c r="AA110" s="1" t="s">
        <v>2027</v>
      </c>
      <c r="AB110" s="1">
        <v>1</v>
      </c>
      <c r="AC110" s="1" t="s">
        <v>2027</v>
      </c>
      <c r="AD110" s="1" t="s">
        <v>2027</v>
      </c>
      <c r="AE110" s="1" t="s">
        <v>2027</v>
      </c>
      <c r="AF110" s="1" t="s">
        <v>2027</v>
      </c>
      <c r="AG110" s="1">
        <v>8</v>
      </c>
      <c r="AH110" s="1">
        <v>9</v>
      </c>
      <c r="AI110" s="1">
        <v>10</v>
      </c>
      <c r="AJ110" s="52">
        <v>1800000</v>
      </c>
      <c r="AK110" s="9">
        <f>($L$3*(L110-$Q$1)/$Q$2+$M$3*(M110-$R$1)/$R$2+$N$3*(N110-$S$1)/$S$2+$O$3*(O110-$T$1)/$T$2+$P$3*(P110-$U$1)/$U$2)/(SUM($L$3:$P$3))</f>
        <v>-2.0843433498275723</v>
      </c>
      <c r="AL110" s="9">
        <f>($L$3*(Q110-$Q$1)/$Q$2+$M$3*(R110-$R$1)/$R$2+$N$3*(S110-$S$1)/$S$2+$O$3*(T110-$T$1)/$T$2+$P$3*(U110-$U$1)/$U$2)/(SUM($L$3:$P$3))</f>
        <v>8.713133540051636E-2</v>
      </c>
      <c r="AM110">
        <f>IF(AVERAGE(AG110:AH110)&gt;9,1,0)+IF(AVERAGE(AG110:AH110)&gt;7,1,0)+IF(AG110&gt;7,1,0)+IF(AH110&gt;7,1,0)+IF(AI110&gt;8,1,0)+IF(AI110&gt;6,1,0)</f>
        <v>5</v>
      </c>
      <c r="AN110" s="6">
        <f>MIN(2,IF(OR(Y110="-",X110&lt;5),0,1+IF(Y110&gt;7,1+IF(X110&gt;7,0.25,0),IF(Y110&gt;4,0.5+IF(X110&gt;7,0.25,0),0+IF(X110&gt;7,0.25))))+IF(Z110="-",0,IF(Z110&gt;9,0.5,IF(Z110&gt;7,0.25,0)))+IF(AA110="-",0,IF(AA110&gt;7,1.1,IF(AA110&gt;4,0.6,0)))+IF(OR(AB110="-",V110&lt;5),0,IF(AB110&gt;7,1+IF(V110&gt;7,0.25,0),IF(AB110&gt;4,0.5+IF(V110&gt;7,0.25,0),0)))+IF(AC110="-",0,IF(AC110&gt;7,1.5,IF(AC110&gt;4,1,0)))+IF(AD110="-",0,IF(AD110&gt;9,0.5,IF(AD110&gt;7,0.25,0)))+IF(AE110="-",0,IF(AE110&gt;7,1.25,IF(AE110&gt;4,0.75,0)))+IF(OR(AF110="-",W110&lt;4),0,IF(AF110&gt;7,1+IF(W110&gt;7,0.15,0),IF(AF110&gt;4,0.5+IF(W110&gt;7,0.15,0),0))))</f>
        <v>0</v>
      </c>
      <c r="AO110" s="9">
        <f>($AK$3*AK110+$AL$3*AL110+$AM$3*AM110+$AN$3*AN110)+$J$3*VLOOKUP(J110,COND!$A$2:$C$7,2,FALSE)+$K$3*VLOOKUP(K110,COND!$A$2:$C$7,3,FALSE)</f>
        <v>11.070475023156773</v>
      </c>
      <c r="AP110" s="37">
        <f>STANDARDIZE(AO110,AVERAGE($AO$5:$AO$1295),STDEVP($AO$5:$AO$1295))</f>
        <v>5.6120387264227752E-2</v>
      </c>
      <c r="AQ110" t="str">
        <f>IF(AND(Y110&lt;&gt;"-",X110&gt;1),"C",IF(AA110=MAX(AA110:AC110),"2B",IF(AC110=MAX(AA110:AC110),"SS",IF(OR(AB110=MAX(Z110:AC110),AND(AB110&lt;&gt;"-",AB110&gt;4,V110&gt;5)),"3B",IF(AE110=MAX(AD110:AF110),"CF",IF(AND(AF110=MAX(AD110,AF110),AND(W110&gt;5,AD110&lt;&gt;"-")),"RF",IF(AD110&lt;&gt;"-","LF",IF(Z110&lt;&gt;"-","1B","DH"))))))))</f>
        <v>1B</v>
      </c>
      <c r="AR110" t="s">
        <v>35</v>
      </c>
      <c r="AT110" t="s">
        <v>155</v>
      </c>
      <c r="AU110" t="str">
        <f>IF(AND($Q110&gt;=6,AVERAGE($S110:$T110)&gt;=6),"Likely",IF(OR($Q110&gt;6,AND($Q110=6,AVERAGE($S110:$T110)&gt;=3),AND($Q110&gt;=5,AVERAGE($S110:$T110)&gt;=5),AVERAGE($Q110,$S110:$T110)&gt;5),"Possible","Unlikely"))</f>
        <v>Unlikely</v>
      </c>
      <c r="AW110" t="str">
        <f>IF(VLOOKUP($B110,'Draft List'!$D$4:$AB$2598,AW$3,FALSE)&lt;&gt;0,VLOOKUP($B110,'Draft List'!$D$4:$AB$2598,AW$3,FALSE),"")</f>
        <v/>
      </c>
      <c r="AX110" t="str">
        <f>IF(VLOOKUP($B110,'Draft List'!$D$4:$AB$2598,AX$3,FALSE)&lt;&gt;0,VLOOKUP($B110,'Draft List'!$D$4:$AB$2598,AX$3,FALSE),"")</f>
        <v/>
      </c>
      <c r="AY110" t="str">
        <f>IF(VLOOKUP($B110,'Draft List'!$D$4:$AB$2598,AY$3,FALSE)&lt;&gt;0,VLOOKUP($B110,'Draft List'!$D$4:$AB$2598,AY$3,FALSE),"")</f>
        <v/>
      </c>
    </row>
    <row r="111" spans="1:51">
      <c r="A111" t="str">
        <f>IF(C111="C","C-",C111)&amp;D111&amp;E111</f>
        <v>CFFernando Gonzáles21</v>
      </c>
      <c r="B111" t="e">
        <f>VLOOKUP($A111,draft_listing_batters_stats!$A$1:$B$1324,2,FALSE)</f>
        <v>#N/A</v>
      </c>
      <c r="C111" s="1" t="s">
        <v>2079</v>
      </c>
      <c r="D111" s="1" t="s">
        <v>1302</v>
      </c>
      <c r="E111" s="1">
        <v>21</v>
      </c>
      <c r="F111" s="1" t="s">
        <v>2038</v>
      </c>
      <c r="G111" s="1" t="s">
        <v>2038</v>
      </c>
      <c r="H111" s="1" t="s">
        <v>2033</v>
      </c>
      <c r="I111" s="1" t="s">
        <v>2033</v>
      </c>
      <c r="J111" s="1" t="s">
        <v>2040</v>
      </c>
      <c r="K111" s="1" t="s">
        <v>2030</v>
      </c>
      <c r="L111" s="1">
        <v>3</v>
      </c>
      <c r="M111" s="1">
        <v>3</v>
      </c>
      <c r="N111" s="1">
        <v>1</v>
      </c>
      <c r="O111" s="1">
        <v>3</v>
      </c>
      <c r="P111" s="1">
        <v>2</v>
      </c>
      <c r="Q111" s="1">
        <v>5</v>
      </c>
      <c r="R111" s="1">
        <v>5</v>
      </c>
      <c r="S111" s="1">
        <v>3</v>
      </c>
      <c r="T111" s="1">
        <v>4</v>
      </c>
      <c r="U111" s="1">
        <v>4</v>
      </c>
      <c r="V111" s="1">
        <v>1</v>
      </c>
      <c r="W111" s="1">
        <v>7</v>
      </c>
      <c r="X111" s="1">
        <v>1</v>
      </c>
      <c r="Y111" s="1" t="s">
        <v>2027</v>
      </c>
      <c r="Z111" s="1" t="s">
        <v>2027</v>
      </c>
      <c r="AA111" s="1" t="s">
        <v>2027</v>
      </c>
      <c r="AB111" s="1" t="s">
        <v>2027</v>
      </c>
      <c r="AC111" s="1" t="s">
        <v>2027</v>
      </c>
      <c r="AD111" s="1">
        <v>6</v>
      </c>
      <c r="AE111" s="1">
        <v>6</v>
      </c>
      <c r="AF111" s="1">
        <v>5</v>
      </c>
      <c r="AG111" s="1">
        <v>8</v>
      </c>
      <c r="AH111" s="1">
        <v>9</v>
      </c>
      <c r="AI111" s="1">
        <v>8</v>
      </c>
      <c r="AJ111" s="52" t="s">
        <v>2029</v>
      </c>
      <c r="AK111" s="9">
        <f>($L$3*(L111-$Q$1)/$Q$2+$M$3*(M111-$R$1)/$R$2+$N$3*(N111-$S$1)/$S$2+$O$3*(O111-$T$1)/$T$2+$P$3*(P111-$U$1)/$U$2)/(SUM($L$3:$P$3))</f>
        <v>-1.11767647834857</v>
      </c>
      <c r="AL111" s="9">
        <f>($L$3*(Q111-$Q$1)/$Q$2+$M$3*(R111-$R$1)/$R$2+$N$3*(S111-$S$1)/$S$2+$O$3*(T111-$T$1)/$T$2+$P$3*(U111-$U$1)/$U$2)/(SUM($L$3:$P$3))</f>
        <v>-3.4579829014262681E-2</v>
      </c>
      <c r="AM111">
        <f>IF(AVERAGE(AG111:AH111)&gt;9,1,0)+IF(AVERAGE(AG111:AH111)&gt;7,1,0)+IF(AG111&gt;7,1,0)+IF(AH111&gt;7,1,0)+IF(AI111&gt;8,1,0)+IF(AI111&gt;6,1,0)</f>
        <v>4</v>
      </c>
      <c r="AN111" s="6">
        <f>MIN(2,IF(OR(Y111="-",X111&lt;5),0,1+IF(Y111&gt;7,1+IF(X111&gt;7,0.25,0),IF(Y111&gt;4,0.5+IF(X111&gt;7,0.25,0),0+IF(X111&gt;7,0.25))))+IF(Z111="-",0,IF(Z111&gt;9,0.5,IF(Z111&gt;7,0.25,0)))+IF(AA111="-",0,IF(AA111&gt;7,1.1,IF(AA111&gt;4,0.6,0)))+IF(OR(AB111="-",V111&lt;5),0,IF(AB111&gt;7,1+IF(V111&gt;7,0.25,0),IF(AB111&gt;4,0.5+IF(V111&gt;7,0.25,0),0)))+IF(AC111="-",0,IF(AC111&gt;7,1.5,IF(AC111&gt;4,1,0)))+IF(AD111="-",0,IF(AD111&gt;9,0.5,IF(AD111&gt;7,0.25,0)))+IF(AE111="-",0,IF(AE111&gt;7,1.25,IF(AE111&gt;4,0.75,0)))+IF(OR(AF111="-",W111&lt;4),0,IF(AF111&gt;7,1+IF(W111&gt;7,0.15,0),IF(AF111&gt;4,0.5+IF(W111&gt;7,0.15,0),0))))</f>
        <v>1.25</v>
      </c>
      <c r="AO111" s="9">
        <f>($AK$3*AK111+$AL$3*AL111+$AM$3*AM111+$AN$3*AN111)+$J$3*VLOOKUP(J111,COND!$A$2:$C$7,2,FALSE)+$K$3*VLOOKUP(K111,COND!$A$2:$C$7,3,FALSE)</f>
        <v>10.989941070660656</v>
      </c>
      <c r="AP111" s="37">
        <f>STANDARDIZE(AO111,AVERAGE($AO$5:$AO$1295),STDEVP($AO$5:$AO$1295))</f>
        <v>4.4932316401941945E-2</v>
      </c>
      <c r="AQ111" t="str">
        <f>IF(AND(Y111&lt;&gt;"-",X111&gt;1),"C",IF(AA111=MAX(AA111:AC111),"2B",IF(AC111=MAX(AA111:AC111),"SS",IF(OR(AB111=MAX(Z111:AC111),AND(AB111&lt;&gt;"-",AB111&gt;4,V111&gt;5)),"3B",IF(AE111=MAX(AD111:AF111),"CF",IF(AND(AF111=MAX(AD111,AF111),AND(W111&gt;5,AD111&lt;&gt;"-")),"RF",IF(AD111&lt;&gt;"-","LF",IF(Z111&lt;&gt;"-","1B","DH"))))))))</f>
        <v>CF</v>
      </c>
      <c r="AR111" t="s">
        <v>35</v>
      </c>
      <c r="AU111" t="str">
        <f>IF(AND($Q111&gt;=6,AVERAGE($S111:$T111)&gt;=6),"Likely",IF(OR($Q111&gt;6,AND($Q111=6,AVERAGE($S111:$T111)&gt;=3),AND($Q111&gt;=5,AVERAGE($S111:$T111)&gt;=5),AVERAGE($Q111,$S111:$T111)&gt;5),"Possible","Unlikely"))</f>
        <v>Unlikely</v>
      </c>
      <c r="AW111" t="e">
        <f>IF(VLOOKUP($B111,'Draft List'!$D$4:$AB$2598,AW$3,FALSE)&lt;&gt;0,VLOOKUP($B111,'Draft List'!$D$4:$AB$2598,AW$3,FALSE),"")</f>
        <v>#N/A</v>
      </c>
      <c r="AX111" t="e">
        <f>IF(VLOOKUP($B111,'Draft List'!$D$4:$AB$2598,AX$3,FALSE)&lt;&gt;0,VLOOKUP($B111,'Draft List'!$D$4:$AB$2598,AX$3,FALSE),"")</f>
        <v>#N/A</v>
      </c>
      <c r="AY111" t="e">
        <f>IF(VLOOKUP($B111,'Draft List'!$D$4:$AB$2598,AY$3,FALSE)&lt;&gt;0,VLOOKUP($B111,'Draft List'!$D$4:$AB$2598,AY$3,FALSE),"")</f>
        <v>#N/A</v>
      </c>
    </row>
    <row r="112" spans="1:51">
      <c r="A112" t="str">
        <f>IF(C112="C","C-",C112)&amp;D112&amp;E112</f>
        <v>CFJeff Washington21</v>
      </c>
      <c r="B112">
        <f>VLOOKUP($A112,draft_listing_batters_stats!$A$1:$B$1324,2,FALSE)</f>
        <v>3860</v>
      </c>
      <c r="C112" s="1" t="s">
        <v>2079</v>
      </c>
      <c r="D112" s="1" t="s">
        <v>1250</v>
      </c>
      <c r="E112" s="1">
        <v>21</v>
      </c>
      <c r="F112" s="1" t="s">
        <v>2038</v>
      </c>
      <c r="G112" s="1" t="s">
        <v>2022</v>
      </c>
      <c r="H112" s="1" t="s">
        <v>2033</v>
      </c>
      <c r="I112" s="1" t="s">
        <v>2033</v>
      </c>
      <c r="J112" s="1" t="s">
        <v>2040</v>
      </c>
      <c r="K112" s="1" t="s">
        <v>2025</v>
      </c>
      <c r="L112" s="1">
        <v>4</v>
      </c>
      <c r="M112" s="1">
        <v>5</v>
      </c>
      <c r="N112" s="1">
        <v>4</v>
      </c>
      <c r="O112" s="1">
        <v>3</v>
      </c>
      <c r="P112" s="1">
        <v>2</v>
      </c>
      <c r="Q112" s="1">
        <v>5</v>
      </c>
      <c r="R112" s="1">
        <v>5</v>
      </c>
      <c r="S112" s="1">
        <v>4</v>
      </c>
      <c r="T112" s="1">
        <v>3</v>
      </c>
      <c r="U112" s="1">
        <v>4</v>
      </c>
      <c r="V112" s="1">
        <v>1</v>
      </c>
      <c r="W112" s="1">
        <v>7</v>
      </c>
      <c r="X112" s="1">
        <v>1</v>
      </c>
      <c r="Y112" s="1" t="s">
        <v>2027</v>
      </c>
      <c r="Z112" s="1" t="s">
        <v>2027</v>
      </c>
      <c r="AA112" s="1" t="s">
        <v>2027</v>
      </c>
      <c r="AB112" s="1" t="s">
        <v>2027</v>
      </c>
      <c r="AC112" s="1" t="s">
        <v>2027</v>
      </c>
      <c r="AD112" s="1">
        <v>5</v>
      </c>
      <c r="AE112" s="1">
        <v>5</v>
      </c>
      <c r="AF112" s="1">
        <v>6</v>
      </c>
      <c r="AG112" s="1">
        <v>8</v>
      </c>
      <c r="AH112" s="1">
        <v>10</v>
      </c>
      <c r="AI112" s="1">
        <v>8</v>
      </c>
      <c r="AJ112" s="52" t="s">
        <v>2029</v>
      </c>
      <c r="AK112" s="9">
        <f>($L$3*(L112-$Q$1)/$Q$2+$M$3*(M112-$R$1)/$R$2+$N$3*(N112-$S$1)/$S$2+$O$3*(O112-$T$1)/$T$2+$P$3*(P112-$U$1)/$U$2)/(SUM($L$3:$P$3))</f>
        <v>-0.44381640083678386</v>
      </c>
      <c r="AL112" s="9">
        <f>($L$3*(Q112-$Q$1)/$Q$2+$M$3*(R112-$R$1)/$R$2+$N$3*(S112-$S$1)/$S$2+$O$3*(T112-$T$1)/$T$2+$P$3*(U112-$U$1)/$U$2)/(SUM($L$3:$P$3))</f>
        <v>-4.1227884999942219E-2</v>
      </c>
      <c r="AM112">
        <f>IF(AVERAGE(AG112:AH112)&gt;9,1,0)+IF(AVERAGE(AG112:AH112)&gt;7,1,0)+IF(AG112&gt;7,1,0)+IF(AH112&gt;7,1,0)+IF(AI112&gt;8,1,0)+IF(AI112&gt;6,1,0)</f>
        <v>4</v>
      </c>
      <c r="AN112" s="6">
        <f>MIN(2,IF(OR(Y112="-",X112&lt;5),0,1+IF(Y112&gt;7,1+IF(X112&gt;7,0.25,0),IF(Y112&gt;4,0.5+IF(X112&gt;7,0.25,0),0+IF(X112&gt;7,0.25))))+IF(Z112="-",0,IF(Z112&gt;9,0.5,IF(Z112&gt;7,0.25,0)))+IF(AA112="-",0,IF(AA112&gt;7,1.1,IF(AA112&gt;4,0.6,0)))+IF(OR(AB112="-",V112&lt;5),0,IF(AB112&gt;7,1+IF(V112&gt;7,0.25,0),IF(AB112&gt;4,0.5+IF(V112&gt;7,0.25,0),0)))+IF(AC112="-",0,IF(AC112&gt;7,1.5,IF(AC112&gt;4,1,0)))+IF(AD112="-",0,IF(AD112&gt;9,0.5,IF(AD112&gt;7,0.25,0)))+IF(AE112="-",0,IF(AE112&gt;7,1.25,IF(AE112&gt;4,0.75,0)))+IF(OR(AF112="-",W112&lt;4),0,IF(AF112&gt;7,1+IF(W112&gt;7,0.15,0),IF(AF112&gt;4,0.5+IF(W112&gt;7,0.15,0),0))))</f>
        <v>1.25</v>
      </c>
      <c r="AO112" s="9">
        <f>($AK$3*AK112+$AL$3*AL112+$AM$3*AM112+$AN$3*AN112)+$J$3*VLOOKUP(J112,COND!$A$2:$C$7,2,FALSE)+$K$3*VLOOKUP(K112,COND!$A$2:$C$7,3,FALSE)</f>
        <v>10.877550406583682</v>
      </c>
      <c r="AP112" s="37">
        <f>STANDARDIZE(AO112,AVERAGE($AO$5:$AO$1295),STDEVP($AO$5:$AO$1295))</f>
        <v>2.9318594797837362E-2</v>
      </c>
      <c r="AQ112" t="str">
        <f>IF(AND(Y112&lt;&gt;"-",X112&gt;1),"C",IF(AA112=MAX(AA112:AC112),"2B",IF(AC112=MAX(AA112:AC112),"SS",IF(OR(AB112=MAX(Z112:AC112),AND(AB112&lt;&gt;"-",AB112&gt;4,V112&gt;5)),"3B",IF(AE112=MAX(AD112:AF112),"CF",IF(AND(AF112=MAX(AD112,AF112),AND(W112&gt;5,AD112&lt;&gt;"-")),"RF",IF(AD112&lt;&gt;"-","LF",IF(Z112&lt;&gt;"-","1B","DH"))))))))</f>
        <v>RF</v>
      </c>
      <c r="AR112" t="s">
        <v>35</v>
      </c>
      <c r="AU112" t="str">
        <f>IF(AND($Q112&gt;=6,AVERAGE($S112:$T112)&gt;=6),"Likely",IF(OR($Q112&gt;6,AND($Q112=6,AVERAGE($S112:$T112)&gt;=3),AND($Q112&gt;=5,AVERAGE($S112:$T112)&gt;=5),AVERAGE($Q112,$S112:$T112)&gt;5),"Possible","Unlikely"))</f>
        <v>Unlikely</v>
      </c>
      <c r="AW112" t="str">
        <f>IF(VLOOKUP($B112,'Draft List'!$D$4:$AB$2598,AW$3,FALSE)&lt;&gt;0,VLOOKUP($B112,'Draft List'!$D$4:$AB$2598,AW$3,FALSE),"")</f>
        <v/>
      </c>
      <c r="AX112" t="str">
        <f>IF(VLOOKUP($B112,'Draft List'!$D$4:$AB$2598,AX$3,FALSE)&lt;&gt;0,VLOOKUP($B112,'Draft List'!$D$4:$AB$2598,AX$3,FALSE),"")</f>
        <v/>
      </c>
      <c r="AY112" t="str">
        <f>IF(VLOOKUP($B112,'Draft List'!$D$4:$AB$2598,AY$3,FALSE)&lt;&gt;0,VLOOKUP($B112,'Draft List'!$D$4:$AB$2598,AY$3,FALSE),"")</f>
        <v/>
      </c>
    </row>
    <row r="113" spans="1:51">
      <c r="A113" t="str">
        <f>IF(C113="C","C-",C113)&amp;D113&amp;E113</f>
        <v>C-Ken Phillips21</v>
      </c>
      <c r="B113">
        <f>VLOOKUP($A113,draft_listing_batters_stats!$A$1:$B$1324,2,FALSE)</f>
        <v>6979</v>
      </c>
      <c r="C113" s="1" t="s">
        <v>2091</v>
      </c>
      <c r="D113" s="1" t="s">
        <v>1399</v>
      </c>
      <c r="E113" s="1">
        <v>21</v>
      </c>
      <c r="F113" s="1" t="s">
        <v>2022</v>
      </c>
      <c r="G113" s="1" t="s">
        <v>2022</v>
      </c>
      <c r="H113" s="1" t="s">
        <v>2033</v>
      </c>
      <c r="I113" s="1" t="s">
        <v>2033</v>
      </c>
      <c r="J113" s="1" t="s">
        <v>2036</v>
      </c>
      <c r="K113" s="1" t="s">
        <v>2036</v>
      </c>
      <c r="L113" s="1">
        <v>4</v>
      </c>
      <c r="M113" s="1">
        <v>2</v>
      </c>
      <c r="N113" s="1">
        <v>2</v>
      </c>
      <c r="O113" s="1">
        <v>3</v>
      </c>
      <c r="P113" s="1">
        <v>3</v>
      </c>
      <c r="Q113" s="1">
        <v>5</v>
      </c>
      <c r="R113" s="1">
        <v>3</v>
      </c>
      <c r="S113" s="1">
        <v>4</v>
      </c>
      <c r="T113" s="1">
        <v>4</v>
      </c>
      <c r="U113" s="1">
        <v>4</v>
      </c>
      <c r="V113" s="1">
        <v>5</v>
      </c>
      <c r="W113" s="1">
        <v>6</v>
      </c>
      <c r="X113" s="1">
        <v>5</v>
      </c>
      <c r="Y113" s="1">
        <v>4</v>
      </c>
      <c r="Z113" s="1" t="s">
        <v>2027</v>
      </c>
      <c r="AA113" s="1" t="s">
        <v>2027</v>
      </c>
      <c r="AB113" s="1" t="s">
        <v>2027</v>
      </c>
      <c r="AC113" s="1" t="s">
        <v>2027</v>
      </c>
      <c r="AD113" s="1" t="s">
        <v>2027</v>
      </c>
      <c r="AE113" s="1" t="s">
        <v>2027</v>
      </c>
      <c r="AF113" s="1" t="s">
        <v>2027</v>
      </c>
      <c r="AG113" s="1">
        <v>1</v>
      </c>
      <c r="AH113" s="1">
        <v>2</v>
      </c>
      <c r="AI113" s="1">
        <v>1</v>
      </c>
      <c r="AJ113" s="52" t="s">
        <v>2029</v>
      </c>
      <c r="AK113" s="9">
        <f>($L$3*(L113-$Q$1)/$Q$2+$M$3*(M113-$R$1)/$R$2+$N$3*(N113-$S$1)/$S$2+$O$3*(O113-$T$1)/$T$2+$P$3*(P113-$U$1)/$U$2)/(SUM($L$3:$P$3))</f>
        <v>-0.72310268792361398</v>
      </c>
      <c r="AL113" s="9">
        <f>($L$3*(Q113-$Q$1)/$Q$2+$M$3*(R113-$R$1)/$R$2+$N$3*(S113-$S$1)/$S$2+$O$3*(T113-$T$1)/$T$2+$P$3*(U113-$U$1)/$U$2)/(SUM($L$3:$P$3))</f>
        <v>-5.363809422776817E-2</v>
      </c>
      <c r="AM113">
        <f>IF(AVERAGE(AG113:AH113)&gt;9,1,0)+IF(AVERAGE(AG113:AH113)&gt;7,1,0)+IF(AG113&gt;7,1,0)+IF(AH113&gt;7,1,0)+IF(AI113&gt;8,1,0)+IF(AI113&gt;6,1,0)</f>
        <v>0</v>
      </c>
      <c r="AN113" s="6">
        <f>MIN(2,IF(OR(Y113="-",X113&lt;5),0,1+IF(Y113&gt;7,1+IF(X113&gt;7,0.25,0),IF(Y113&gt;4,0.5+IF(X113&gt;7,0.25,0),0+IF(X113&gt;7,0.25))))+IF(Z113="-",0,IF(Z113&gt;9,0.5,IF(Z113&gt;7,0.25,0)))+IF(AA113="-",0,IF(AA113&gt;7,1.1,IF(AA113&gt;4,0.6,0)))+IF(OR(AB113="-",V113&lt;5),0,IF(AB113&gt;7,1+IF(V113&gt;7,0.25,0),IF(AB113&gt;4,0.5+IF(V113&gt;7,0.25,0),0)))+IF(AC113="-",0,IF(AC113&gt;7,1.5,IF(AC113&gt;4,1,0)))+IF(AD113="-",0,IF(AD113&gt;9,0.5,IF(AD113&gt;7,0.25,0)))+IF(AE113="-",0,IF(AE113&gt;7,1.25,IF(AE113&gt;4,0.75,0)))+IF(OR(AF113="-",W113&lt;4),0,IF(AF113&gt;7,1+IF(W113&gt;7,0.15,0),IF(AF113&gt;4,0.5+IF(W113&gt;7,0.15,0),0))))</f>
        <v>1</v>
      </c>
      <c r="AO113" s="9">
        <f>($AK$3*AK113+$AL$3*AL113+$AM$3*AM113+$AN$3*AN113)+$J$3*VLOOKUP(J113,COND!$A$2:$C$7,2,FALSE)+$K$3*VLOOKUP(K113,COND!$A$2:$C$7,3,FALSE)</f>
        <v>10.78403260047442</v>
      </c>
      <c r="AP113" s="37">
        <f>STANDARDIZE(AO113,AVERAGE($AO$5:$AO$1295),STDEVP($AO$5:$AO$1295))</f>
        <v>1.632675956304774E-2</v>
      </c>
      <c r="AQ113" t="str">
        <f>IF(AND(Y113&lt;&gt;"-",X113&gt;1),"C",IF(AA113=MAX(AA113:AC113),"2B",IF(AC113=MAX(AA113:AC113),"SS",IF(OR(AB113=MAX(Z113:AC113),AND(AB113&lt;&gt;"-",AB113&gt;4,V113&gt;5)),"3B",IF(AE113=MAX(AD113:AF113),"CF",IF(AND(AF113=MAX(AD113,AF113),AND(W113&gt;5,AD113&lt;&gt;"-")),"RF",IF(AD113&lt;&gt;"-","LF",IF(Z113&lt;&gt;"-","1B","DH"))))))))</f>
        <v>C</v>
      </c>
      <c r="AR113" t="s">
        <v>35</v>
      </c>
      <c r="AU113" t="str">
        <f>IF(AND($Q113&gt;=6,AVERAGE($S113:$T113)&gt;=6),"Likely",IF(OR($Q113&gt;6,AND($Q113=6,AVERAGE($S113:$T113)&gt;=3),AND($Q113&gt;=5,AVERAGE($S113:$T113)&gt;=5),AVERAGE($Q113,$S113:$T113)&gt;5),"Possible","Unlikely"))</f>
        <v>Unlikely</v>
      </c>
      <c r="AW113" t="str">
        <f>IF(VLOOKUP($B113,'Draft List'!$D$4:$AB$2598,AW$3,FALSE)&lt;&gt;0,VLOOKUP($B113,'Draft List'!$D$4:$AB$2598,AW$3,FALSE),"")</f>
        <v/>
      </c>
      <c r="AX113" t="str">
        <f>IF(VLOOKUP($B113,'Draft List'!$D$4:$AB$2598,AX$3,FALSE)&lt;&gt;0,VLOOKUP($B113,'Draft List'!$D$4:$AB$2598,AX$3,FALSE),"")</f>
        <v/>
      </c>
      <c r="AY113" t="str">
        <f>IF(VLOOKUP($B113,'Draft List'!$D$4:$AB$2598,AY$3,FALSE)&lt;&gt;0,VLOOKUP($B113,'Draft List'!$D$4:$AB$2598,AY$3,FALSE),"")</f>
        <v/>
      </c>
    </row>
    <row r="114" spans="1:51">
      <c r="A114" t="str">
        <f>IF(C114="C","C-",C114)&amp;D114&amp;E114</f>
        <v>CFBill McIntyre21</v>
      </c>
      <c r="B114">
        <f>VLOOKUP($A114,draft_listing_batters_stats!$A$1:$B$1324,2,FALSE)</f>
        <v>3048</v>
      </c>
      <c r="C114" s="1" t="s">
        <v>2079</v>
      </c>
      <c r="D114" s="1" t="s">
        <v>1367</v>
      </c>
      <c r="E114" s="1">
        <v>21</v>
      </c>
      <c r="F114" s="1" t="s">
        <v>2022</v>
      </c>
      <c r="G114" s="1" t="s">
        <v>2022</v>
      </c>
      <c r="H114" s="1" t="s">
        <v>2033</v>
      </c>
      <c r="I114" s="1" t="s">
        <v>2033</v>
      </c>
      <c r="J114" s="1" t="s">
        <v>2040</v>
      </c>
      <c r="K114" s="1" t="s">
        <v>2036</v>
      </c>
      <c r="L114" s="1">
        <v>3</v>
      </c>
      <c r="M114" s="1">
        <v>3</v>
      </c>
      <c r="N114" s="1">
        <v>2</v>
      </c>
      <c r="O114" s="1">
        <v>2</v>
      </c>
      <c r="P114" s="1">
        <v>2</v>
      </c>
      <c r="Q114" s="1">
        <v>5</v>
      </c>
      <c r="R114" s="1">
        <v>4</v>
      </c>
      <c r="S114" s="1">
        <v>3</v>
      </c>
      <c r="T114" s="1">
        <v>3</v>
      </c>
      <c r="U114" s="1">
        <v>5</v>
      </c>
      <c r="V114" s="1">
        <v>1</v>
      </c>
      <c r="W114" s="1">
        <v>5</v>
      </c>
      <c r="X114" s="1">
        <v>1</v>
      </c>
      <c r="Y114" s="1" t="s">
        <v>2027</v>
      </c>
      <c r="Z114" s="1" t="s">
        <v>2027</v>
      </c>
      <c r="AA114" s="1" t="s">
        <v>2027</v>
      </c>
      <c r="AB114" s="1" t="s">
        <v>2027</v>
      </c>
      <c r="AC114" s="1" t="s">
        <v>2027</v>
      </c>
      <c r="AD114" s="1">
        <v>6</v>
      </c>
      <c r="AE114" s="1">
        <v>5</v>
      </c>
      <c r="AF114" s="1">
        <v>8</v>
      </c>
      <c r="AG114" s="1">
        <v>10</v>
      </c>
      <c r="AH114" s="1">
        <v>10</v>
      </c>
      <c r="AI114" s="1">
        <v>10</v>
      </c>
      <c r="AJ114" s="52" t="s">
        <v>2029</v>
      </c>
      <c r="AK114" s="9">
        <f>($L$3*(L114-$Q$1)/$Q$2+$M$3*(M114-$R$1)/$R$2+$N$3*(N114-$S$1)/$S$2+$O$3*(O114-$T$1)/$T$2+$P$3*(P114-$U$1)/$U$2)/(SUM($L$3:$P$3))</f>
        <v>-1.1243245343342496</v>
      </c>
      <c r="AL114" s="9">
        <f>($L$3*(Q114-$Q$1)/$Q$2+$M$3*(R114-$R$1)/$R$2+$N$3*(S114-$S$1)/$S$2+$O$3*(T114-$T$1)/$T$2+$P$3*(U114-$U$1)/$U$2)/(SUM($L$3:$P$3))</f>
        <v>-0.13533291882546378</v>
      </c>
      <c r="AM114">
        <f>IF(AVERAGE(AG114:AH114)&gt;9,1,0)+IF(AVERAGE(AG114:AH114)&gt;7,1,0)+IF(AG114&gt;7,1,0)+IF(AH114&gt;7,1,0)+IF(AI114&gt;8,1,0)+IF(AI114&gt;6,1,0)</f>
        <v>6</v>
      </c>
      <c r="AN114" s="6">
        <f>MIN(2,IF(OR(Y114="-",X114&lt;5),0,1+IF(Y114&gt;7,1+IF(X114&gt;7,0.25,0),IF(Y114&gt;4,0.5+IF(X114&gt;7,0.25,0),0+IF(X114&gt;7,0.25))))+IF(Z114="-",0,IF(Z114&gt;9,0.5,IF(Z114&gt;7,0.25,0)))+IF(AA114="-",0,IF(AA114&gt;7,1.1,IF(AA114&gt;4,0.6,0)))+IF(OR(AB114="-",V114&lt;5),0,IF(AB114&gt;7,1+IF(V114&gt;7,0.25,0),IF(AB114&gt;4,0.5+IF(V114&gt;7,0.25,0),0)))+IF(AC114="-",0,IF(AC114&gt;7,1.5,IF(AC114&gt;4,1,0)))+IF(AD114="-",0,IF(AD114&gt;9,0.5,IF(AD114&gt;7,0.25,0)))+IF(AE114="-",0,IF(AE114&gt;7,1.25,IF(AE114&gt;4,0.75,0)))+IF(OR(AF114="-",W114&lt;4),0,IF(AF114&gt;7,1+IF(W114&gt;7,0.15,0),IF(AF114&gt;4,0.5+IF(W114&gt;7,0.15,0),0))))</f>
        <v>1.75</v>
      </c>
      <c r="AO114" s="9">
        <f>($AK$3*AK114+$AL$3*AL114+$AM$3*AM114+$AN$3*AN114)+$J$3*VLOOKUP(J114,COND!$A$2:$C$7,2,FALSE)+$K$3*VLOOKUP(K114,COND!$A$2:$C$7,3,FALSE)</f>
        <v>10.763572520661009</v>
      </c>
      <c r="AP114" s="37">
        <f>STANDARDIZE(AO114,AVERAGE($AO$5:$AO$1295),STDEVP($AO$5:$AO$1295))</f>
        <v>1.3484370536984445E-2</v>
      </c>
      <c r="AQ114" t="str">
        <f>IF(AND(Y114&lt;&gt;"-",X114&gt;1),"C",IF(AA114=MAX(AA114:AC114),"2B",IF(AC114=MAX(AA114:AC114),"SS",IF(OR(AB114=MAX(Z114:AC114),AND(AB114&lt;&gt;"-",AB114&gt;4,V114&gt;5)),"3B",IF(AE114=MAX(AD114:AF114),"CF",IF(AND(AF114=MAX(AD114,AF114),AND(W114&gt;5,AD114&lt;&gt;"-")),"RF",IF(AD114&lt;&gt;"-","LF",IF(Z114&lt;&gt;"-","1B","DH"))))))))</f>
        <v>LF</v>
      </c>
      <c r="AR114" t="s">
        <v>35</v>
      </c>
      <c r="AT114" t="s">
        <v>154</v>
      </c>
      <c r="AU114" t="str">
        <f>IF(AND($Q114&gt;=6,AVERAGE($S114:$T114)&gt;=6),"Likely",IF(OR($Q114&gt;6,AND($Q114=6,AVERAGE($S114:$T114)&gt;=3),AND($Q114&gt;=5,AVERAGE($S114:$T114)&gt;=5),AVERAGE($Q114,$S114:$T114)&gt;5),"Possible","Unlikely"))</f>
        <v>Unlikely</v>
      </c>
      <c r="AW114" t="e">
        <f>IF(VLOOKUP($B114,'Draft List'!$D$4:$AB$2598,AW$3,FALSE)&lt;&gt;0,VLOOKUP($B114,'Draft List'!$D$4:$AB$2598,AW$3,FALSE),"")</f>
        <v>#N/A</v>
      </c>
      <c r="AX114" t="e">
        <f>IF(VLOOKUP($B114,'Draft List'!$D$4:$AB$2598,AX$3,FALSE)&lt;&gt;0,VLOOKUP($B114,'Draft List'!$D$4:$AB$2598,AX$3,FALSE),"")</f>
        <v>#N/A</v>
      </c>
      <c r="AY114" t="e">
        <f>IF(VLOOKUP($B114,'Draft List'!$D$4:$AB$2598,AY$3,FALSE)&lt;&gt;0,VLOOKUP($B114,'Draft List'!$D$4:$AB$2598,AY$3,FALSE),"")</f>
        <v>#N/A</v>
      </c>
    </row>
    <row r="115" spans="1:51">
      <c r="A115" t="str">
        <f>IF(C115="C","C-",C115)&amp;D115&amp;E115</f>
        <v>RFDavid McKenzie22</v>
      </c>
      <c r="B115">
        <f>VLOOKUP($A115,draft_listing_batters_stats!$A$1:$B$1324,2,FALSE)</f>
        <v>12088</v>
      </c>
      <c r="C115" s="1" t="s">
        <v>2057</v>
      </c>
      <c r="D115" s="1" t="s">
        <v>2102</v>
      </c>
      <c r="E115" s="1">
        <v>22</v>
      </c>
      <c r="F115" s="1" t="s">
        <v>2038</v>
      </c>
      <c r="G115" s="1" t="s">
        <v>2038</v>
      </c>
      <c r="H115" s="1" t="s">
        <v>2033</v>
      </c>
      <c r="I115" s="1" t="s">
        <v>2033</v>
      </c>
      <c r="J115" s="1" t="s">
        <v>2040</v>
      </c>
      <c r="K115" s="1" t="s">
        <v>2040</v>
      </c>
      <c r="L115" s="1">
        <v>4</v>
      </c>
      <c r="M115" s="1">
        <v>6</v>
      </c>
      <c r="N115" s="1">
        <v>2</v>
      </c>
      <c r="O115" s="1">
        <v>3</v>
      </c>
      <c r="P115" s="1">
        <v>2</v>
      </c>
      <c r="Q115" s="1">
        <v>5</v>
      </c>
      <c r="R115" s="1">
        <v>6</v>
      </c>
      <c r="S115" s="1">
        <v>3</v>
      </c>
      <c r="T115" s="1">
        <v>5</v>
      </c>
      <c r="U115" s="1">
        <v>4</v>
      </c>
      <c r="V115" s="1">
        <v>1</v>
      </c>
      <c r="W115" s="1">
        <v>9</v>
      </c>
      <c r="X115" s="1">
        <v>1</v>
      </c>
      <c r="Y115" s="1" t="s">
        <v>2027</v>
      </c>
      <c r="Z115" s="1" t="s">
        <v>2027</v>
      </c>
      <c r="AA115" s="1" t="s">
        <v>2027</v>
      </c>
      <c r="AB115" s="1" t="s">
        <v>2027</v>
      </c>
      <c r="AC115" s="1" t="s">
        <v>2027</v>
      </c>
      <c r="AD115" s="1">
        <v>1</v>
      </c>
      <c r="AE115" s="1" t="s">
        <v>2027</v>
      </c>
      <c r="AF115" s="1">
        <v>2</v>
      </c>
      <c r="AG115" s="1">
        <v>6</v>
      </c>
      <c r="AH115" s="1">
        <v>10</v>
      </c>
      <c r="AI115" s="1">
        <v>8</v>
      </c>
      <c r="AJ115" s="52">
        <v>2100000</v>
      </c>
      <c r="AK115" s="9">
        <f>($L$3*(L115-$Q$1)/$Q$2+$M$3*(M115-$R$1)/$R$2+$N$3*(N115-$S$1)/$S$2+$O$3*(O115-$T$1)/$T$2+$P$3*(P115-$U$1)/$U$2)/(SUM($L$3:$P$3))</f>
        <v>-0.55887950926588337</v>
      </c>
      <c r="AL115" s="9">
        <f>($L$3*(Q115-$Q$1)/$Q$2+$M$3*(R115-$R$1)/$R$2+$N$3*(S115-$S$1)/$S$2+$O$3*(T115-$T$1)/$T$2+$P$3*(U115-$U$1)/$U$2)/(SUM($L$3:$P$3))</f>
        <v>0.10618960061402187</v>
      </c>
      <c r="AM115">
        <f>IF(AVERAGE(AG115:AH115)&gt;9,1,0)+IF(AVERAGE(AG115:AH115)&gt;7,1,0)+IF(AG115&gt;7,1,0)+IF(AH115&gt;7,1,0)+IF(AI115&gt;8,1,0)+IF(AI115&gt;6,1,0)</f>
        <v>3</v>
      </c>
      <c r="AN115" s="6">
        <f>MIN(2,IF(OR(Y115="-",X115&lt;5),0,1+IF(Y115&gt;7,1+IF(X115&gt;7,0.25,0),IF(Y115&gt;4,0.5+IF(X115&gt;7,0.25,0),0+IF(X115&gt;7,0.25))))+IF(Z115="-",0,IF(Z115&gt;9,0.5,IF(Z115&gt;7,0.25,0)))+IF(AA115="-",0,IF(AA115&gt;7,1.1,IF(AA115&gt;4,0.6,0)))+IF(OR(AB115="-",V115&lt;5),0,IF(AB115&gt;7,1+IF(V115&gt;7,0.25,0),IF(AB115&gt;4,0.5+IF(V115&gt;7,0.25,0),0)))+IF(AC115="-",0,IF(AC115&gt;7,1.5,IF(AC115&gt;4,1,0)))+IF(AD115="-",0,IF(AD115&gt;9,0.5,IF(AD115&gt;7,0.25,0)))+IF(AE115="-",0,IF(AE115&gt;7,1.25,IF(AE115&gt;4,0.75,0)))+IF(OR(AF115="-",W115&lt;4),0,IF(AF115&gt;7,1+IF(W115&gt;7,0.15,0),IF(AF115&gt;4,0.5+IF(W115&gt;7,0.15,0),0))))</f>
        <v>0</v>
      </c>
      <c r="AO115" s="9">
        <f>($AK$3*AK115+$AL$3*AL115+$AM$3*AM115+$AN$3*AN115)+$J$3*VLOOKUP(J115,COND!$A$2:$C$7,2,FALSE)+$K$3*VLOOKUP(K115,COND!$A$2:$C$7,3,FALSE)</f>
        <v>10.718387256441673</v>
      </c>
      <c r="AP115" s="37">
        <f>STANDARDIZE(AO115,AVERAGE($AO$5:$AO$1295),STDEVP($AO$5:$AO$1295))</f>
        <v>7.2070685749154872E-3</v>
      </c>
      <c r="AQ115" t="str">
        <f>IF(AND(Y115&lt;&gt;"-",X115&gt;1),"C",IF(AA115=MAX(AA115:AC115),"2B",IF(AC115=MAX(AA115:AC115),"SS",IF(OR(AB115=MAX(Z115:AC115),AND(AB115&lt;&gt;"-",AB115&gt;4,V115&gt;5)),"3B",IF(AE115=MAX(AD115:AF115),"CF",IF(AND(AF115=MAX(AD115,AF115),AND(W115&gt;5,AD115&lt;&gt;"-")),"RF",IF(AD115&lt;&gt;"-","LF",IF(Z115&lt;&gt;"-","1B","DH"))))))))</f>
        <v>RF</v>
      </c>
      <c r="AR115" t="s">
        <v>35</v>
      </c>
      <c r="AT115" t="s">
        <v>155</v>
      </c>
      <c r="AU115" t="str">
        <f>IF(AND($Q115&gt;=6,AVERAGE($S115:$T115)&gt;=6),"Likely",IF(OR($Q115&gt;6,AND($Q115=6,AVERAGE($S115:$T115)&gt;=3),AND($Q115&gt;=5,AVERAGE($S115:$T115)&gt;=5),AVERAGE($Q115,$S115:$T115)&gt;5),"Possible","Unlikely"))</f>
        <v>Unlikely</v>
      </c>
      <c r="AW115" t="str">
        <f>IF(VLOOKUP($B115,'Draft List'!$D$4:$AB$2598,AW$3,FALSE)&lt;&gt;0,VLOOKUP($B115,'Draft List'!$D$4:$AB$2598,AW$3,FALSE),"")</f>
        <v/>
      </c>
      <c r="AX115" t="str">
        <f>IF(VLOOKUP($B115,'Draft List'!$D$4:$AB$2598,AX$3,FALSE)&lt;&gt;0,VLOOKUP($B115,'Draft List'!$D$4:$AB$2598,AX$3,FALSE),"")</f>
        <v/>
      </c>
      <c r="AY115" t="str">
        <f>IF(VLOOKUP($B115,'Draft List'!$D$4:$AB$2598,AY$3,FALSE)&lt;&gt;0,VLOOKUP($B115,'Draft List'!$D$4:$AB$2598,AY$3,FALSE),"")</f>
        <v/>
      </c>
    </row>
    <row r="116" spans="1:51">
      <c r="A116" t="str">
        <f>IF(C116="C","C-",C116)&amp;D116&amp;E116</f>
        <v>RFVíctor Maldonado23</v>
      </c>
      <c r="B116" t="e">
        <f>VLOOKUP($A116,draft_listing_batters_stats!$A$1:$B$1324,2,FALSE)</f>
        <v>#N/A</v>
      </c>
      <c r="C116" s="1" t="s">
        <v>2057</v>
      </c>
      <c r="D116" s="1" t="s">
        <v>2099</v>
      </c>
      <c r="E116" s="1">
        <v>23</v>
      </c>
      <c r="F116" s="1" t="s">
        <v>2022</v>
      </c>
      <c r="G116" s="1" t="s">
        <v>2022</v>
      </c>
      <c r="H116" s="1" t="s">
        <v>2033</v>
      </c>
      <c r="I116" s="1" t="s">
        <v>2033</v>
      </c>
      <c r="J116" s="1" t="s">
        <v>2026</v>
      </c>
      <c r="K116" s="1" t="s">
        <v>2036</v>
      </c>
      <c r="L116" s="1">
        <v>4</v>
      </c>
      <c r="M116" s="1">
        <v>5</v>
      </c>
      <c r="N116" s="1">
        <v>2</v>
      </c>
      <c r="O116" s="1">
        <v>3</v>
      </c>
      <c r="P116" s="1">
        <v>3</v>
      </c>
      <c r="Q116" s="1">
        <v>5</v>
      </c>
      <c r="R116" s="1">
        <v>5</v>
      </c>
      <c r="S116" s="1">
        <v>3</v>
      </c>
      <c r="T116" s="1">
        <v>4</v>
      </c>
      <c r="U116" s="1">
        <v>5</v>
      </c>
      <c r="V116" s="1">
        <v>1</v>
      </c>
      <c r="W116" s="1">
        <v>7</v>
      </c>
      <c r="X116" s="1">
        <v>1</v>
      </c>
      <c r="Y116" s="1" t="s">
        <v>2027</v>
      </c>
      <c r="Z116" s="1" t="s">
        <v>2027</v>
      </c>
      <c r="AA116" s="1" t="s">
        <v>2027</v>
      </c>
      <c r="AB116" s="1" t="s">
        <v>2027</v>
      </c>
      <c r="AC116" s="1" t="s">
        <v>2027</v>
      </c>
      <c r="AD116" s="1">
        <v>2</v>
      </c>
      <c r="AE116" s="1" t="s">
        <v>2027</v>
      </c>
      <c r="AF116" s="1">
        <v>4</v>
      </c>
      <c r="AG116" s="1">
        <v>7</v>
      </c>
      <c r="AH116" s="1">
        <v>8</v>
      </c>
      <c r="AI116" s="1">
        <v>8</v>
      </c>
      <c r="AJ116" s="52">
        <v>2400000</v>
      </c>
      <c r="AK116" s="9">
        <f>($L$3*(L116-$Q$1)/$Q$2+$M$3*(M116-$R$1)/$R$2+$N$3*(N116-$S$1)/$S$2+$O$3*(O116-$T$1)/$T$2+$P$3*(P116-$U$1)/$U$2)/(SUM($L$3:$P$3))</f>
        <v>-0.56992304906750335</v>
      </c>
      <c r="AL116" s="9">
        <f>($L$3*(Q116-$Q$1)/$Q$2+$M$3*(R116-$R$1)/$R$2+$N$3*(S116-$S$1)/$S$2+$O$3*(T116-$T$1)/$T$2+$P$3*(U116-$U$1)/$U$2)/(SUM($L$3:$P$3))</f>
        <v>5.4365108028207737E-3</v>
      </c>
      <c r="AM116">
        <f>IF(AVERAGE(AG116:AH116)&gt;9,1,0)+IF(AVERAGE(AG116:AH116)&gt;7,1,0)+IF(AG116&gt;7,1,0)+IF(AH116&gt;7,1,0)+IF(AI116&gt;8,1,0)+IF(AI116&gt;6,1,0)</f>
        <v>3</v>
      </c>
      <c r="AN116" s="6">
        <f>MIN(2,IF(OR(Y116="-",X116&lt;5),0,1+IF(Y116&gt;7,1+IF(X116&gt;7,0.25,0),IF(Y116&gt;4,0.5+IF(X116&gt;7,0.25,0),0+IF(X116&gt;7,0.25))))+IF(Z116="-",0,IF(Z116&gt;9,0.5,IF(Z116&gt;7,0.25,0)))+IF(AA116="-",0,IF(AA116&gt;7,1.1,IF(AA116&gt;4,0.6,0)))+IF(OR(AB116="-",V116&lt;5),0,IF(AB116&gt;7,1+IF(V116&gt;7,0.25,0),IF(AB116&gt;4,0.5+IF(V116&gt;7,0.25,0),0)))+IF(AC116="-",0,IF(AC116&gt;7,1.5,IF(AC116&gt;4,1,0)))+IF(AD116="-",0,IF(AD116&gt;9,0.5,IF(AD116&gt;7,0.25,0)))+IF(AE116="-",0,IF(AE116&gt;7,1.25,IF(AE116&gt;4,0.75,0)))+IF(OR(AF116="-",W116&lt;4),0,IF(AF116&gt;7,1+IF(W116&gt;7,0.15,0),IF(AF116&gt;4,0.5+IF(W116&gt;7,0.15,0),0))))</f>
        <v>0</v>
      </c>
      <c r="AO116" s="9">
        <f>($AK$3*AK116+$AL$3*AL116+$AM$3*AM116+$AN$3*AN116)+$J$3*VLOOKUP(J116,COND!$A$2:$C$7,2,FALSE)+$K$3*VLOOKUP(K116,COND!$A$2:$C$7,3,FALSE)</f>
        <v>10.6582458247271</v>
      </c>
      <c r="AP116" s="37">
        <f>STANDARDIZE(AO116,AVERAGE($AO$5:$AO$1295),STDEVP($AO$5:$AO$1295))</f>
        <v>-1.1479988087996478E-3</v>
      </c>
      <c r="AQ116" t="str">
        <f>IF(AND(Y116&lt;&gt;"-",X116&gt;1),"C",IF(AA116=MAX(AA116:AC116),"2B",IF(AC116=MAX(AA116:AC116),"SS",IF(OR(AB116=MAX(Z116:AC116),AND(AB116&lt;&gt;"-",AB116&gt;4,V116&gt;5)),"3B",IF(AE116=MAX(AD116:AF116),"CF",IF(AND(AF116=MAX(AD116,AF116),AND(W116&gt;5,AD116&lt;&gt;"-")),"RF",IF(AD116&lt;&gt;"-","LF",IF(Z116&lt;&gt;"-","1B","DH"))))))))</f>
        <v>RF</v>
      </c>
      <c r="AR116" t="s">
        <v>35</v>
      </c>
      <c r="AT116" t="s">
        <v>155</v>
      </c>
      <c r="AU116" t="str">
        <f>IF(AND($Q116&gt;=6,AVERAGE($S116:$T116)&gt;=6),"Likely",IF(OR($Q116&gt;6,AND($Q116=6,AVERAGE($S116:$T116)&gt;=3),AND($Q116&gt;=5,AVERAGE($S116:$T116)&gt;=5),AVERAGE($Q116,$S116:$T116)&gt;5),"Possible","Unlikely"))</f>
        <v>Unlikely</v>
      </c>
      <c r="AW116" t="e">
        <f>IF(VLOOKUP($B116,'Draft List'!$D$4:$AB$2598,AW$3,FALSE)&lt;&gt;0,VLOOKUP($B116,'Draft List'!$D$4:$AB$2598,AW$3,FALSE),"")</f>
        <v>#N/A</v>
      </c>
      <c r="AX116" t="e">
        <f>IF(VLOOKUP($B116,'Draft List'!$D$4:$AB$2598,AX$3,FALSE)&lt;&gt;0,VLOOKUP($B116,'Draft List'!$D$4:$AB$2598,AX$3,FALSE),"")</f>
        <v>#N/A</v>
      </c>
      <c r="AY116" t="e">
        <f>IF(VLOOKUP($B116,'Draft List'!$D$4:$AB$2598,AY$3,FALSE)&lt;&gt;0,VLOOKUP($B116,'Draft List'!$D$4:$AB$2598,AY$3,FALSE),"")</f>
        <v>#N/A</v>
      </c>
    </row>
    <row r="117" spans="1:51">
      <c r="A117" t="str">
        <f>IF(C117="C","C-",C117)&amp;D117&amp;E117</f>
        <v>SSStephen Cox21</v>
      </c>
      <c r="B117">
        <f>VLOOKUP($A117,draft_listing_batters_stats!$A$1:$B$1324,2,FALSE)</f>
        <v>3481</v>
      </c>
      <c r="C117" s="1" t="s">
        <v>2074</v>
      </c>
      <c r="D117" s="1" t="s">
        <v>1480</v>
      </c>
      <c r="E117" s="1">
        <v>21</v>
      </c>
      <c r="F117" s="1" t="s">
        <v>2022</v>
      </c>
      <c r="G117" s="1" t="s">
        <v>2022</v>
      </c>
      <c r="H117" s="1" t="s">
        <v>2033</v>
      </c>
      <c r="I117" s="1" t="s">
        <v>2033</v>
      </c>
      <c r="J117" s="1" t="s">
        <v>2026</v>
      </c>
      <c r="K117" s="1" t="s">
        <v>2030</v>
      </c>
      <c r="L117" s="1">
        <v>3</v>
      </c>
      <c r="M117" s="1">
        <v>4</v>
      </c>
      <c r="N117" s="1">
        <v>2</v>
      </c>
      <c r="O117" s="1">
        <v>2</v>
      </c>
      <c r="P117" s="1">
        <v>2</v>
      </c>
      <c r="Q117" s="1">
        <v>5</v>
      </c>
      <c r="R117" s="1">
        <v>5</v>
      </c>
      <c r="S117" s="1">
        <v>4</v>
      </c>
      <c r="T117" s="1">
        <v>3</v>
      </c>
      <c r="U117" s="1">
        <v>4</v>
      </c>
      <c r="V117" s="1">
        <v>9</v>
      </c>
      <c r="W117" s="1">
        <v>2</v>
      </c>
      <c r="X117" s="1">
        <v>1</v>
      </c>
      <c r="Y117" s="1" t="s">
        <v>2027</v>
      </c>
      <c r="Z117" s="1">
        <v>6</v>
      </c>
      <c r="AA117" s="1">
        <v>3</v>
      </c>
      <c r="AB117" s="1">
        <v>5</v>
      </c>
      <c r="AC117" s="1">
        <v>3</v>
      </c>
      <c r="AD117" s="1" t="s">
        <v>2027</v>
      </c>
      <c r="AE117" s="1" t="s">
        <v>2027</v>
      </c>
      <c r="AF117" s="1" t="s">
        <v>2027</v>
      </c>
      <c r="AG117" s="1">
        <v>5</v>
      </c>
      <c r="AH117" s="1">
        <v>8</v>
      </c>
      <c r="AI117" s="1">
        <v>10</v>
      </c>
      <c r="AJ117" s="52" t="s">
        <v>2029</v>
      </c>
      <c r="AK117" s="9">
        <f>($L$3*(L117-$Q$1)/$Q$2+$M$3*(M117-$R$1)/$R$2+$N$3*(N117-$S$1)/$S$2+$O$3*(O117-$T$1)/$T$2+$P$3*(P117-$U$1)/$U$2)/(SUM($L$3:$P$3))</f>
        <v>-1.073264654715546</v>
      </c>
      <c r="AL117" s="9">
        <f>($L$3*(Q117-$Q$1)/$Q$2+$M$3*(R117-$R$1)/$R$2+$N$3*(S117-$S$1)/$S$2+$O$3*(T117-$T$1)/$T$2+$P$3*(U117-$U$1)/$U$2)/(SUM($L$3:$P$3))</f>
        <v>-4.1227884999942219E-2</v>
      </c>
      <c r="AM117">
        <f>IF(AVERAGE(AG117:AH117)&gt;9,1,0)+IF(AVERAGE(AG117:AH117)&gt;7,1,0)+IF(AG117&gt;7,1,0)+IF(AH117&gt;7,1,0)+IF(AI117&gt;8,1,0)+IF(AI117&gt;6,1,0)</f>
        <v>3</v>
      </c>
      <c r="AN117" s="6">
        <f>MIN(2,IF(OR(Y117="-",X117&lt;5),0,1+IF(Y117&gt;7,1+IF(X117&gt;7,0.25,0),IF(Y117&gt;4,0.5+IF(X117&gt;7,0.25,0),0+IF(X117&gt;7,0.25))))+IF(Z117="-",0,IF(Z117&gt;9,0.5,IF(Z117&gt;7,0.25,0)))+IF(AA117="-",0,IF(AA117&gt;7,1.1,IF(AA117&gt;4,0.6,0)))+IF(OR(AB117="-",V117&lt;5),0,IF(AB117&gt;7,1+IF(V117&gt;7,0.25,0),IF(AB117&gt;4,0.5+IF(V117&gt;7,0.25,0),0)))+IF(AC117="-",0,IF(AC117&gt;7,1.5,IF(AC117&gt;4,1,0)))+IF(AD117="-",0,IF(AD117&gt;9,0.5,IF(AD117&gt;7,0.25,0)))+IF(AE117="-",0,IF(AE117&gt;7,1.25,IF(AE117&gt;4,0.75,0)))+IF(OR(AF117="-",W117&lt;4),0,IF(AF117&gt;7,1+IF(W117&gt;7,0.15,0),IF(AF117&gt;4,0.5+IF(W117&gt;7,0.15,0),0))))</f>
        <v>0.75</v>
      </c>
      <c r="AO117" s="9">
        <f>($AK$3*AK117+$AL$3*AL117+$AM$3*AM117+$AN$3*AN117)+$J$3*VLOOKUP(J117,COND!$A$2:$C$7,2,FALSE)+$K$3*VLOOKUP(K117,COND!$A$2:$C$7,3,FALSE)</f>
        <v>10.647938914529139</v>
      </c>
      <c r="AP117" s="37">
        <f>STANDARDIZE(AO117,AVERAGE($AO$5:$AO$1295),STDEVP($AO$5:$AO$1295))</f>
        <v>-2.5798724234911479E-3</v>
      </c>
      <c r="AQ117" t="str">
        <f>IF(AND(Y117&lt;&gt;"-",X117&gt;1),"C",IF(AA117=MAX(AA117:AC117),"2B",IF(AC117=MAX(AA117:AC117),"SS",IF(OR(AB117=MAX(Z117:AC117),AND(AB117&lt;&gt;"-",AB117&gt;4,V117&gt;5)),"3B",IF(AE117=MAX(AD117:AF117),"CF",IF(AND(AF117=MAX(AD117,AF117),AND(W117&gt;5,AD117&lt;&gt;"-")),"RF",IF(AD117&lt;&gt;"-","LF",IF(Z117&lt;&gt;"-","1B","DH"))))))))</f>
        <v>3B</v>
      </c>
      <c r="AR117" t="s">
        <v>35</v>
      </c>
      <c r="AU117" t="str">
        <f>IF(AND($Q117&gt;=6,AVERAGE($S117:$T117)&gt;=6),"Likely",IF(OR($Q117&gt;6,AND($Q117=6,AVERAGE($S117:$T117)&gt;=3),AND($Q117&gt;=5,AVERAGE($S117:$T117)&gt;=5),AVERAGE($Q117,$S117:$T117)&gt;5),"Possible","Unlikely"))</f>
        <v>Unlikely</v>
      </c>
      <c r="AW117" t="str">
        <f>IF(VLOOKUP($B117,'Draft List'!$D$4:$AB$2598,AW$3,FALSE)&lt;&gt;0,VLOOKUP($B117,'Draft List'!$D$4:$AB$2598,AW$3,FALSE),"")</f>
        <v/>
      </c>
      <c r="AX117" t="str">
        <f>IF(VLOOKUP($B117,'Draft List'!$D$4:$AB$2598,AX$3,FALSE)&lt;&gt;0,VLOOKUP($B117,'Draft List'!$D$4:$AB$2598,AX$3,FALSE),"")</f>
        <v/>
      </c>
      <c r="AY117" t="str">
        <f>IF(VLOOKUP($B117,'Draft List'!$D$4:$AB$2598,AY$3,FALSE)&lt;&gt;0,VLOOKUP($B117,'Draft List'!$D$4:$AB$2598,AY$3,FALSE),"")</f>
        <v/>
      </c>
    </row>
    <row r="118" spans="1:51">
      <c r="A118" t="str">
        <f>IF(C118="C","C-",C118)&amp;D118&amp;E118</f>
        <v>C-Rob Murphy21</v>
      </c>
      <c r="B118">
        <f>VLOOKUP($A118,draft_listing_batters_stats!$A$1:$B$1324,2,FALSE)</f>
        <v>3050</v>
      </c>
      <c r="C118" s="1" t="s">
        <v>2091</v>
      </c>
      <c r="D118" s="1" t="s">
        <v>1381</v>
      </c>
      <c r="E118" s="1">
        <v>21</v>
      </c>
      <c r="F118" s="1" t="s">
        <v>2022</v>
      </c>
      <c r="G118" s="1" t="s">
        <v>2022</v>
      </c>
      <c r="H118" s="1" t="s">
        <v>2033</v>
      </c>
      <c r="I118" s="1" t="s">
        <v>2033</v>
      </c>
      <c r="J118" s="1" t="s">
        <v>2030</v>
      </c>
      <c r="K118" s="1" t="s">
        <v>2026</v>
      </c>
      <c r="L118" s="1">
        <v>4</v>
      </c>
      <c r="M118" s="1">
        <v>4</v>
      </c>
      <c r="N118" s="1">
        <v>1</v>
      </c>
      <c r="O118" s="1">
        <v>3</v>
      </c>
      <c r="P118" s="1">
        <v>2</v>
      </c>
      <c r="Q118" s="1">
        <v>5</v>
      </c>
      <c r="R118" s="1">
        <v>6</v>
      </c>
      <c r="S118" s="1">
        <v>2</v>
      </c>
      <c r="T118" s="1">
        <v>4</v>
      </c>
      <c r="U118" s="1">
        <v>5</v>
      </c>
      <c r="V118" s="1">
        <v>3</v>
      </c>
      <c r="W118" s="1">
        <v>3</v>
      </c>
      <c r="X118" s="1">
        <v>5</v>
      </c>
      <c r="Y118" s="1">
        <v>3</v>
      </c>
      <c r="Z118" s="1">
        <v>3</v>
      </c>
      <c r="AA118" s="1" t="s">
        <v>2027</v>
      </c>
      <c r="AB118" s="1" t="s">
        <v>2027</v>
      </c>
      <c r="AC118" s="1" t="s">
        <v>2027</v>
      </c>
      <c r="AD118" s="1" t="s">
        <v>2027</v>
      </c>
      <c r="AE118" s="1" t="s">
        <v>2027</v>
      </c>
      <c r="AF118" s="1" t="s">
        <v>2027</v>
      </c>
      <c r="AG118" s="1">
        <v>3</v>
      </c>
      <c r="AH118" s="1">
        <v>3</v>
      </c>
      <c r="AI118" s="1">
        <v>1</v>
      </c>
      <c r="AJ118" s="52" t="s">
        <v>2029</v>
      </c>
      <c r="AK118" s="9">
        <f>($L$3*(L118-$Q$1)/$Q$2+$M$3*(M118-$R$1)/$R$2+$N$3*(N118-$S$1)/$S$2+$O$3*(O118-$T$1)/$T$2+$P$3*(P118-$U$1)/$U$2)/(SUM($L$3:$P$3))</f>
        <v>-0.74406076252719189</v>
      </c>
      <c r="AL118" s="9">
        <f>($L$3*(Q118-$Q$1)/$Q$2+$M$3*(R118-$R$1)/$R$2+$N$3*(S118-$S$1)/$S$2+$O$3*(T118-$T$1)/$T$2+$P$3*(U118-$U$1)/$U$2)/(SUM($L$3:$P$3))</f>
        <v>-2.6565103602377241E-2</v>
      </c>
      <c r="AM118">
        <f>IF(AVERAGE(AG118:AH118)&gt;9,1,0)+IF(AVERAGE(AG118:AH118)&gt;7,1,0)+IF(AG118&gt;7,1,0)+IF(AH118&gt;7,1,0)+IF(AI118&gt;8,1,0)+IF(AI118&gt;6,1,0)</f>
        <v>0</v>
      </c>
      <c r="AN118" s="6">
        <f>MIN(2,IF(OR(Y118="-",X118&lt;5),0,1+IF(Y118&gt;7,1+IF(X118&gt;7,0.25,0),IF(Y118&gt;4,0.5+IF(X118&gt;7,0.25,0),0+IF(X118&gt;7,0.25))))+IF(Z118="-",0,IF(Z118&gt;9,0.5,IF(Z118&gt;7,0.25,0)))+IF(AA118="-",0,IF(AA118&gt;7,1.1,IF(AA118&gt;4,0.6,0)))+IF(OR(AB118="-",V118&lt;5),0,IF(AB118&gt;7,1+IF(V118&gt;7,0.25,0),IF(AB118&gt;4,0.5+IF(V118&gt;7,0.25,0),0)))+IF(AC118="-",0,IF(AC118&gt;7,1.5,IF(AC118&gt;4,1,0)))+IF(AD118="-",0,IF(AD118&gt;9,0.5,IF(AD118&gt;7,0.25,0)))+IF(AE118="-",0,IF(AE118&gt;7,1.25,IF(AE118&gt;4,0.75,0)))+IF(OR(AF118="-",W118&lt;4),0,IF(AF118&gt;7,1+IF(W118&gt;7,0.15,0),IF(AF118&gt;4,0.5+IF(W118&gt;7,0.15,0),0))))</f>
        <v>1</v>
      </c>
      <c r="AO118" s="9">
        <f>($AK$3*AK118+$AL$3*AL118+$AM$3*AM118+$AN$3*AN118)+$J$3*VLOOKUP(J118,COND!$A$2:$C$7,2,FALSE)+$K$3*VLOOKUP(K118,COND!$A$2:$C$7,3,FALSE)</f>
        <v>10.606812680518754</v>
      </c>
      <c r="AP118" s="37">
        <f>STANDARDIZE(AO118,AVERAGE($AO$5:$AO$1295),STDEVP($AO$5:$AO$1295))</f>
        <v>-8.2932790817489693E-3</v>
      </c>
      <c r="AQ118" t="str">
        <f>IF(AND(Y118&lt;&gt;"-",X118&gt;1),"C",IF(AA118=MAX(AA118:AC118),"2B",IF(AC118=MAX(AA118:AC118),"SS",IF(OR(AB118=MAX(Z118:AC118),AND(AB118&lt;&gt;"-",AB118&gt;4,V118&gt;5)),"3B",IF(AE118=MAX(AD118:AF118),"CF",IF(AND(AF118=MAX(AD118,AF118),AND(W118&gt;5,AD118&lt;&gt;"-")),"RF",IF(AD118&lt;&gt;"-","LF",IF(Z118&lt;&gt;"-","1B","DH"))))))))</f>
        <v>C</v>
      </c>
      <c r="AR118" t="s">
        <v>35</v>
      </c>
      <c r="AT118" t="s">
        <v>157</v>
      </c>
      <c r="AU118" t="str">
        <f>IF(AND($Q118&gt;=6,AVERAGE($S118:$T118)&gt;=6),"Likely",IF(OR($Q118&gt;6,AND($Q118=6,AVERAGE($S118:$T118)&gt;=3),AND($Q118&gt;=5,AVERAGE($S118:$T118)&gt;=5),AVERAGE($Q118,$S118:$T118)&gt;5),"Possible","Unlikely"))</f>
        <v>Unlikely</v>
      </c>
      <c r="AW118" t="str">
        <f>IF(VLOOKUP($B118,'Draft List'!$D$4:$AB$2598,AW$3,FALSE)&lt;&gt;0,VLOOKUP($B118,'Draft List'!$D$4:$AB$2598,AW$3,FALSE),"")</f>
        <v/>
      </c>
      <c r="AX118" t="str">
        <f>IF(VLOOKUP($B118,'Draft List'!$D$4:$AB$2598,AX$3,FALSE)&lt;&gt;0,VLOOKUP($B118,'Draft List'!$D$4:$AB$2598,AX$3,FALSE),"")</f>
        <v/>
      </c>
      <c r="AY118" t="str">
        <f>IF(VLOOKUP($B118,'Draft List'!$D$4:$AB$2598,AY$3,FALSE)&lt;&gt;0,VLOOKUP($B118,'Draft List'!$D$4:$AB$2598,AY$3,FALSE),"")</f>
        <v/>
      </c>
    </row>
    <row r="119" spans="1:51">
      <c r="A119" t="str">
        <f>IF(C119="C","C-",C119)&amp;D119&amp;E119</f>
        <v>3BHenry Williams18</v>
      </c>
      <c r="B119">
        <f>VLOOKUP($A119,draft_listing_batters_stats!$A$1:$B$1324,2,FALSE)</f>
        <v>13815</v>
      </c>
      <c r="C119" s="1" t="s">
        <v>2061</v>
      </c>
      <c r="D119" s="1" t="s">
        <v>1256</v>
      </c>
      <c r="E119" s="1">
        <v>18</v>
      </c>
      <c r="F119" s="1" t="s">
        <v>2022</v>
      </c>
      <c r="G119" s="1" t="s">
        <v>2022</v>
      </c>
      <c r="H119" s="1" t="s">
        <v>2033</v>
      </c>
      <c r="I119" s="1" t="s">
        <v>2033</v>
      </c>
      <c r="J119" s="1" t="s">
        <v>2040</v>
      </c>
      <c r="K119" s="1" t="s">
        <v>2030</v>
      </c>
      <c r="L119" s="1">
        <v>1</v>
      </c>
      <c r="M119" s="1">
        <v>1</v>
      </c>
      <c r="N119" s="1">
        <v>1</v>
      </c>
      <c r="O119" s="1">
        <v>1</v>
      </c>
      <c r="P119" s="1">
        <v>1</v>
      </c>
      <c r="Q119" s="1">
        <v>5</v>
      </c>
      <c r="R119" s="1">
        <v>5</v>
      </c>
      <c r="S119" s="1">
        <v>3</v>
      </c>
      <c r="T119" s="1">
        <v>5</v>
      </c>
      <c r="U119" s="1">
        <v>5</v>
      </c>
      <c r="V119" s="1">
        <v>10</v>
      </c>
      <c r="W119" s="1">
        <v>1</v>
      </c>
      <c r="X119" s="1">
        <v>1</v>
      </c>
      <c r="Y119" s="1" t="s">
        <v>2027</v>
      </c>
      <c r="Z119" s="1" t="s">
        <v>2027</v>
      </c>
      <c r="AA119" s="1">
        <v>1</v>
      </c>
      <c r="AB119" s="1">
        <v>2</v>
      </c>
      <c r="AC119" s="1">
        <v>1</v>
      </c>
      <c r="AD119" s="1" t="s">
        <v>2027</v>
      </c>
      <c r="AE119" s="1" t="s">
        <v>2027</v>
      </c>
      <c r="AF119" s="1" t="s">
        <v>2027</v>
      </c>
      <c r="AG119" s="1">
        <v>6</v>
      </c>
      <c r="AH119" s="1">
        <v>4</v>
      </c>
      <c r="AI119" s="1">
        <v>4</v>
      </c>
      <c r="AJ119" s="52" t="s">
        <v>2029</v>
      </c>
      <c r="AK119" s="9">
        <f>($L$3*(L119-$Q$1)/$Q$2+$M$3*(M119-$R$1)/$R$2+$N$3*(N119-$S$1)/$S$2+$O$3*(O119-$T$1)/$T$2+$P$3*(P119-$U$1)/$U$2)/(SUM($L$3:$P$3))</f>
        <v>-2.0843433498275723</v>
      </c>
      <c r="AL119" s="9">
        <f>($L$3*(Q119-$Q$1)/$Q$2+$M$3*(R119-$R$1)/$R$2+$N$3*(S119-$S$1)/$S$2+$O$3*(T119-$T$1)/$T$2+$P$3*(U119-$U$1)/$U$2)/(SUM($L$3:$P$3))</f>
        <v>9.5146060812401817E-2</v>
      </c>
      <c r="AM119">
        <f>IF(AVERAGE(AG119:AH119)&gt;9,1,0)+IF(AVERAGE(AG119:AH119)&gt;7,1,0)+IF(AG119&gt;7,1,0)+IF(AH119&gt;7,1,0)+IF(AI119&gt;8,1,0)+IF(AI119&gt;6,1,0)</f>
        <v>0</v>
      </c>
      <c r="AN119" s="6">
        <f>MIN(2,IF(OR(Y119="-",X119&lt;5),0,1+IF(Y119&gt;7,1+IF(X119&gt;7,0.25,0),IF(Y119&gt;4,0.5+IF(X119&gt;7,0.25,0),0+IF(X119&gt;7,0.25))))+IF(Z119="-",0,IF(Z119&gt;9,0.5,IF(Z119&gt;7,0.25,0)))+IF(AA119="-",0,IF(AA119&gt;7,1.1,IF(AA119&gt;4,0.6,0)))+IF(OR(AB119="-",V119&lt;5),0,IF(AB119&gt;7,1+IF(V119&gt;7,0.25,0),IF(AB119&gt;4,0.5+IF(V119&gt;7,0.25,0),0)))+IF(AC119="-",0,IF(AC119&gt;7,1.5,IF(AC119&gt;4,1,0)))+IF(AD119="-",0,IF(AD119&gt;9,0.5,IF(AD119&gt;7,0.25,0)))+IF(AE119="-",0,IF(AE119&gt;7,1.25,IF(AE119&gt;4,0.75,0)))+IF(OR(AF119="-",W119&lt;4),0,IF(AF119&gt;7,1+IF(W119&gt;7,0.15,0),IF(AF119&gt;4,0.5+IF(W119&gt;7,0.15,0),0))))</f>
        <v>0</v>
      </c>
      <c r="AO119" s="9">
        <f>($AK$3*AK119+$AL$3*AL119+$AM$3*AM119+$AN$3*AN119)+$J$3*VLOOKUP(J119,COND!$A$2:$C$7,2,FALSE)+$K$3*VLOOKUP(K119,COND!$A$2:$C$7,3,FALSE)</f>
        <v>10.533318394766063</v>
      </c>
      <c r="AP119" s="37">
        <f>STANDARDIZE(AO119,AVERAGE($AO$5:$AO$1295),STDEVP($AO$5:$AO$1295))</f>
        <v>-1.8503373724922469E-2</v>
      </c>
      <c r="AQ119" t="str">
        <f>IF(AND(Y119&lt;&gt;"-",X119&gt;1),"C",IF(AA119=MAX(AA119:AC119),"2B",IF(AC119=MAX(AA119:AC119),"SS",IF(OR(AB119=MAX(Z119:AC119),AND(AB119&lt;&gt;"-",AB119&gt;4,V119&gt;5)),"3B",IF(AE119=MAX(AD119:AF119),"CF",IF(AND(AF119=MAX(AD119,AF119),AND(W119&gt;5,AD119&lt;&gt;"-")),"RF",IF(AD119&lt;&gt;"-","LF",IF(Z119&lt;&gt;"-","1B","DH"))))))))</f>
        <v>3B</v>
      </c>
      <c r="AR119" t="s">
        <v>35</v>
      </c>
      <c r="AU119" t="str">
        <f>IF(AND($Q119&gt;=6,AVERAGE($S119:$T119)&gt;=6),"Likely",IF(OR($Q119&gt;6,AND($Q119=6,AVERAGE($S119:$T119)&gt;=3),AND($Q119&gt;=5,AVERAGE($S119:$T119)&gt;=5),AVERAGE($Q119,$S119:$T119)&gt;5),"Possible","Unlikely"))</f>
        <v>Unlikely</v>
      </c>
      <c r="AW119" t="str">
        <f>IF(VLOOKUP($B119,'Draft List'!$D$4:$AB$2598,AW$3,FALSE)&lt;&gt;0,VLOOKUP($B119,'Draft List'!$D$4:$AB$2598,AW$3,FALSE),"")</f>
        <v/>
      </c>
      <c r="AX119" t="str">
        <f>IF(VLOOKUP($B119,'Draft List'!$D$4:$AB$2598,AX$3,FALSE)&lt;&gt;0,VLOOKUP($B119,'Draft List'!$D$4:$AB$2598,AX$3,FALSE),"")</f>
        <v/>
      </c>
      <c r="AY119" t="str">
        <f>IF(VLOOKUP($B119,'Draft List'!$D$4:$AB$2598,AY$3,FALSE)&lt;&gt;0,VLOOKUP($B119,'Draft List'!$D$4:$AB$2598,AY$3,FALSE),"")</f>
        <v/>
      </c>
    </row>
    <row r="120" spans="1:51">
      <c r="A120" t="str">
        <f>IF(C120="C","C-",C120)&amp;D120&amp;E120</f>
        <v>1BTony García21</v>
      </c>
      <c r="B120" t="e">
        <f>VLOOKUP($A120,draft_listing_batters_stats!$A$1:$B$1324,2,FALSE)</f>
        <v>#N/A</v>
      </c>
      <c r="C120" s="1" t="s">
        <v>2092</v>
      </c>
      <c r="D120" s="1" t="s">
        <v>1502</v>
      </c>
      <c r="E120" s="1">
        <v>21</v>
      </c>
      <c r="F120" s="1" t="s">
        <v>2038</v>
      </c>
      <c r="G120" s="1" t="s">
        <v>2038</v>
      </c>
      <c r="H120" s="1" t="s">
        <v>2033</v>
      </c>
      <c r="I120" s="1" t="s">
        <v>2033</v>
      </c>
      <c r="J120" s="1" t="s">
        <v>2025</v>
      </c>
      <c r="K120" s="1" t="s">
        <v>2025</v>
      </c>
      <c r="L120" s="1">
        <v>4</v>
      </c>
      <c r="M120" s="1">
        <v>5</v>
      </c>
      <c r="N120" s="1">
        <v>3</v>
      </c>
      <c r="O120" s="1">
        <v>3</v>
      </c>
      <c r="P120" s="1">
        <v>2</v>
      </c>
      <c r="Q120" s="1">
        <v>5</v>
      </c>
      <c r="R120" s="1">
        <v>5</v>
      </c>
      <c r="S120" s="1">
        <v>4</v>
      </c>
      <c r="T120" s="1">
        <v>4</v>
      </c>
      <c r="U120" s="1">
        <v>4</v>
      </c>
      <c r="V120" s="1">
        <v>5</v>
      </c>
      <c r="W120" s="1">
        <v>4</v>
      </c>
      <c r="X120" s="1">
        <v>1</v>
      </c>
      <c r="Y120" s="1" t="s">
        <v>2027</v>
      </c>
      <c r="Z120" s="1">
        <v>6</v>
      </c>
      <c r="AA120" s="1" t="s">
        <v>2027</v>
      </c>
      <c r="AB120" s="1" t="s">
        <v>2027</v>
      </c>
      <c r="AC120" s="1" t="s">
        <v>2027</v>
      </c>
      <c r="AD120" s="1" t="s">
        <v>2027</v>
      </c>
      <c r="AE120" s="1" t="s">
        <v>2027</v>
      </c>
      <c r="AF120" s="1" t="s">
        <v>2027</v>
      </c>
      <c r="AG120" s="1">
        <v>2</v>
      </c>
      <c r="AH120" s="1">
        <v>5</v>
      </c>
      <c r="AI120" s="1">
        <v>3</v>
      </c>
      <c r="AJ120" s="52" t="s">
        <v>2029</v>
      </c>
      <c r="AK120" s="9">
        <f>($L$3*(L120-$Q$1)/$Q$2+$M$3*(M120-$R$1)/$R$2+$N$3*(N120-$S$1)/$S$2+$O$3*(O120-$T$1)/$T$2+$P$3*(P120-$U$1)/$U$2)/(SUM($L$3:$P$3))</f>
        <v>-0.52687789486068537</v>
      </c>
      <c r="AL120" s="9">
        <f>($L$3*(Q120-$Q$1)/$Q$2+$M$3*(R120-$R$1)/$R$2+$N$3*(S120-$S$1)/$S$2+$O$3*(T120-$T$1)/$T$2+$P$3*(U120-$U$1)/$U$2)/(SUM($L$3:$P$3))</f>
        <v>4.8481665009638825E-2</v>
      </c>
      <c r="AM120">
        <f>IF(AVERAGE(AG120:AH120)&gt;9,1,0)+IF(AVERAGE(AG120:AH120)&gt;7,1,0)+IF(AG120&gt;7,1,0)+IF(AH120&gt;7,1,0)+IF(AI120&gt;8,1,0)+IF(AI120&gt;6,1,0)</f>
        <v>0</v>
      </c>
      <c r="AN120" s="6">
        <f>MIN(2,IF(OR(Y120="-",X120&lt;5),0,1+IF(Y120&gt;7,1+IF(X120&gt;7,0.25,0),IF(Y120&gt;4,0.5+IF(X120&gt;7,0.25,0),0+IF(X120&gt;7,0.25))))+IF(Z120="-",0,IF(Z120&gt;9,0.5,IF(Z120&gt;7,0.25,0)))+IF(AA120="-",0,IF(AA120&gt;7,1.1,IF(AA120&gt;4,0.6,0)))+IF(OR(AB120="-",V120&lt;5),0,IF(AB120&gt;7,1+IF(V120&gt;7,0.25,0),IF(AB120&gt;4,0.5+IF(V120&gt;7,0.25,0),0)))+IF(AC120="-",0,IF(AC120&gt;7,1.5,IF(AC120&gt;4,1,0)))+IF(AD120="-",0,IF(AD120&gt;9,0.5,IF(AD120&gt;7,0.25,0)))+IF(AE120="-",0,IF(AE120&gt;7,1.25,IF(AE120&gt;4,0.75,0)))+IF(OR(AF120="-",W120&lt;4),0,IF(AF120&gt;7,1+IF(W120&gt;7,0.15,0),IF(AF120&gt;4,0.5+IF(W120&gt;7,0.15,0),0))))</f>
        <v>0</v>
      </c>
      <c r="AO120" s="9">
        <f>($AK$3*AK120+$AL$3*AL120+$AM$3*AM120+$AN$3*AN120)+$J$3*VLOOKUP(J120,COND!$A$2:$C$7,2,FALSE)+$K$3*VLOOKUP(K120,COND!$A$2:$C$7,3,FALSE)</f>
        <v>10.529092190629598</v>
      </c>
      <c r="AP120" s="37">
        <f>STANDARDIZE(AO120,AVERAGE($AO$5:$AO$1295),STDEVP($AO$5:$AO$1295))</f>
        <v>-1.9090493441411453E-2</v>
      </c>
      <c r="AQ120" t="str">
        <f>IF(AND(Y120&lt;&gt;"-",X120&gt;1),"C",IF(AA120=MAX(AA120:AC120),"2B",IF(AC120=MAX(AA120:AC120),"SS",IF(OR(AB120=MAX(Z120:AC120),AND(AB120&lt;&gt;"-",AB120&gt;4,V120&gt;5)),"3B",IF(AE120=MAX(AD120:AF120),"CF",IF(AND(AF120=MAX(AD120,AF120),AND(W120&gt;5,AD120&lt;&gt;"-")),"RF",IF(AD120&lt;&gt;"-","LF",IF(Z120&lt;&gt;"-","1B","DH"))))))))</f>
        <v>1B</v>
      </c>
      <c r="AR120" t="s">
        <v>35</v>
      </c>
      <c r="AU120" t="str">
        <f>IF(AND($Q120&gt;=6,AVERAGE($S120:$T120)&gt;=6),"Likely",IF(OR($Q120&gt;6,AND($Q120=6,AVERAGE($S120:$T120)&gt;=3),AND($Q120&gt;=5,AVERAGE($S120:$T120)&gt;=5),AVERAGE($Q120,$S120:$T120)&gt;5),"Possible","Unlikely"))</f>
        <v>Unlikely</v>
      </c>
      <c r="AW120" t="e">
        <f>IF(VLOOKUP($B120,'Draft List'!$D$4:$AB$2598,AW$3,FALSE)&lt;&gt;0,VLOOKUP($B120,'Draft List'!$D$4:$AB$2598,AW$3,FALSE),"")</f>
        <v>#N/A</v>
      </c>
      <c r="AX120" t="e">
        <f>IF(VLOOKUP($B120,'Draft List'!$D$4:$AB$2598,AX$3,FALSE)&lt;&gt;0,VLOOKUP($B120,'Draft List'!$D$4:$AB$2598,AX$3,FALSE),"")</f>
        <v>#N/A</v>
      </c>
      <c r="AY120" t="e">
        <f>IF(VLOOKUP($B120,'Draft List'!$D$4:$AB$2598,AY$3,FALSE)&lt;&gt;0,VLOOKUP($B120,'Draft List'!$D$4:$AB$2598,AY$3,FALSE),"")</f>
        <v>#N/A</v>
      </c>
    </row>
    <row r="121" spans="1:51">
      <c r="A121" t="str">
        <f>IF(C121="C","C-",C121)&amp;D121&amp;E121</f>
        <v>2BRoy McClendon21</v>
      </c>
      <c r="B121">
        <f>VLOOKUP($A121,draft_listing_batters_stats!$A$1:$B$1324,2,FALSE)</f>
        <v>2767</v>
      </c>
      <c r="C121" s="1" t="s">
        <v>2069</v>
      </c>
      <c r="D121" s="1" t="s">
        <v>1363</v>
      </c>
      <c r="E121" s="1">
        <v>21</v>
      </c>
      <c r="F121" s="1" t="s">
        <v>2022</v>
      </c>
      <c r="G121" s="1" t="s">
        <v>2022</v>
      </c>
      <c r="H121" s="1" t="s">
        <v>2033</v>
      </c>
      <c r="I121" s="1" t="s">
        <v>2033</v>
      </c>
      <c r="J121" s="1" t="s">
        <v>2025</v>
      </c>
      <c r="K121" s="1" t="s">
        <v>2025</v>
      </c>
      <c r="L121" s="1">
        <v>4</v>
      </c>
      <c r="M121" s="1">
        <v>4</v>
      </c>
      <c r="N121" s="1">
        <v>1</v>
      </c>
      <c r="O121" s="1">
        <v>2</v>
      </c>
      <c r="P121" s="1">
        <v>2</v>
      </c>
      <c r="Q121" s="1">
        <v>5</v>
      </c>
      <c r="R121" s="1">
        <v>6</v>
      </c>
      <c r="S121" s="1">
        <v>2</v>
      </c>
      <c r="T121" s="1">
        <v>4</v>
      </c>
      <c r="U121" s="1">
        <v>4</v>
      </c>
      <c r="V121" s="1">
        <v>6</v>
      </c>
      <c r="W121" s="1">
        <v>1</v>
      </c>
      <c r="X121" s="1">
        <v>1</v>
      </c>
      <c r="Y121" s="1" t="s">
        <v>2027</v>
      </c>
      <c r="Z121" s="1" t="s">
        <v>2027</v>
      </c>
      <c r="AA121" s="1">
        <v>8</v>
      </c>
      <c r="AB121" s="1" t="s">
        <v>2027</v>
      </c>
      <c r="AC121" s="1" t="s">
        <v>2027</v>
      </c>
      <c r="AD121" s="1" t="s">
        <v>2027</v>
      </c>
      <c r="AE121" s="1" t="s">
        <v>2027</v>
      </c>
      <c r="AF121" s="1" t="s">
        <v>2027</v>
      </c>
      <c r="AG121" s="1">
        <v>8</v>
      </c>
      <c r="AH121" s="1">
        <v>5</v>
      </c>
      <c r="AI121" s="1">
        <v>4</v>
      </c>
      <c r="AJ121" s="52" t="s">
        <v>2029</v>
      </c>
      <c r="AK121" s="9">
        <f>($L$3*(L121-$Q$1)/$Q$2+$M$3*(M121-$R$1)/$R$2+$N$3*(N121-$S$1)/$S$2+$O$3*(O121-$T$1)/$T$2+$P$3*(P121-$U$1)/$U$2)/(SUM($L$3:$P$3))</f>
        <v>-0.83377031253677281</v>
      </c>
      <c r="AL121" s="9">
        <f>($L$3*(Q121-$Q$1)/$Q$2+$M$3*(R121-$R$1)/$R$2+$N$3*(S121-$S$1)/$S$2+$O$3*(T121-$T$1)/$T$2+$P$3*(U121-$U$1)/$U$2)/(SUM($L$3:$P$3))</f>
        <v>-6.6581443419460692E-2</v>
      </c>
      <c r="AM121">
        <f>IF(AVERAGE(AG121:AH121)&gt;9,1,0)+IF(AVERAGE(AG121:AH121)&gt;7,1,0)+IF(AG121&gt;7,1,0)+IF(AH121&gt;7,1,0)+IF(AI121&gt;8,1,0)+IF(AI121&gt;6,1,0)</f>
        <v>1</v>
      </c>
      <c r="AN121" s="6">
        <f>MIN(2,IF(OR(Y121="-",X121&lt;5),0,1+IF(Y121&gt;7,1+IF(X121&gt;7,0.25,0),IF(Y121&gt;4,0.5+IF(X121&gt;7,0.25,0),0+IF(X121&gt;7,0.25))))+IF(Z121="-",0,IF(Z121&gt;9,0.5,IF(Z121&gt;7,0.25,0)))+IF(AA121="-",0,IF(AA121&gt;7,1.1,IF(AA121&gt;4,0.6,0)))+IF(OR(AB121="-",V121&lt;5),0,IF(AB121&gt;7,1+IF(V121&gt;7,0.25,0),IF(AB121&gt;4,0.5+IF(V121&gt;7,0.25,0),0)))+IF(AC121="-",0,IF(AC121&gt;7,1.5,IF(AC121&gt;4,1,0)))+IF(AD121="-",0,IF(AD121&gt;9,0.5,IF(AD121&gt;7,0.25,0)))+IF(AE121="-",0,IF(AE121&gt;7,1.25,IF(AE121&gt;4,0.75,0)))+IF(OR(AF121="-",W121&lt;4),0,IF(AF121&gt;7,1+IF(W121&gt;7,0.15,0),IF(AF121&gt;4,0.5+IF(W121&gt;7,0.15,0),0))))</f>
        <v>1.1000000000000001</v>
      </c>
      <c r="AO121" s="9">
        <f>($AK$3*AK121+$AL$3*AL121+$AM$3*AM121+$AN$3*AN121)+$J$3*VLOOKUP(J121,COND!$A$2:$C$7,2,FALSE)+$K$3*VLOOKUP(K121,COND!$A$2:$C$7,3,FALSE)</f>
        <v>10.384312314379461</v>
      </c>
      <c r="AP121" s="37">
        <f>STANDARDIZE(AO121,AVERAGE($AO$5:$AO$1295),STDEVP($AO$5:$AO$1295))</f>
        <v>-3.9203842714782978E-2</v>
      </c>
      <c r="AQ121" t="str">
        <f>IF(AND(Y121&lt;&gt;"-",X121&gt;1),"C",IF(AA121=MAX(AA121:AC121),"2B",IF(AC121=MAX(AA121:AC121),"SS",IF(OR(AB121=MAX(Z121:AC121),AND(AB121&lt;&gt;"-",AB121&gt;4,V121&gt;5)),"3B",IF(AE121=MAX(AD121:AF121),"CF",IF(AND(AF121=MAX(AD121,AF121),AND(W121&gt;5,AD121&lt;&gt;"-")),"RF",IF(AD121&lt;&gt;"-","LF",IF(Z121&lt;&gt;"-","1B","DH"))))))))</f>
        <v>2B</v>
      </c>
      <c r="AR121" t="s">
        <v>35</v>
      </c>
      <c r="AT121" t="s">
        <v>71</v>
      </c>
      <c r="AU121" t="str">
        <f>IF(AND($Q121&gt;=6,AVERAGE($S121:$T121)&gt;=6),"Likely",IF(OR($Q121&gt;6,AND($Q121=6,AVERAGE($S121:$T121)&gt;=3),AND($Q121&gt;=5,AVERAGE($S121:$T121)&gt;=5),AVERAGE($Q121,$S121:$T121)&gt;5),"Possible","Unlikely"))</f>
        <v>Unlikely</v>
      </c>
      <c r="AW121" t="str">
        <f>IF(VLOOKUP($B121,'Draft List'!$D$4:$AB$2598,AW$3,FALSE)&lt;&gt;0,VLOOKUP($B121,'Draft List'!$D$4:$AB$2598,AW$3,FALSE),"")</f>
        <v/>
      </c>
      <c r="AX121" t="str">
        <f>IF(VLOOKUP($B121,'Draft List'!$D$4:$AB$2598,AX$3,FALSE)&lt;&gt;0,VLOOKUP($B121,'Draft List'!$D$4:$AB$2598,AX$3,FALSE),"")</f>
        <v/>
      </c>
      <c r="AY121" t="str">
        <f>IF(VLOOKUP($B121,'Draft List'!$D$4:$AB$2598,AY$3,FALSE)&lt;&gt;0,VLOOKUP($B121,'Draft List'!$D$4:$AB$2598,AY$3,FALSE),"")</f>
        <v/>
      </c>
    </row>
    <row r="122" spans="1:51">
      <c r="A122" t="str">
        <f>IF(C122="C","C-",C122)&amp;D122&amp;E122</f>
        <v>3BStan Cherry18</v>
      </c>
      <c r="B122">
        <f>VLOOKUP($A122,draft_listing_batters_stats!$A$1:$B$1324,2,FALSE)</f>
        <v>13803</v>
      </c>
      <c r="C122" s="1" t="s">
        <v>2061</v>
      </c>
      <c r="D122" s="1" t="s">
        <v>1472</v>
      </c>
      <c r="E122" s="1">
        <v>18</v>
      </c>
      <c r="F122" s="1" t="s">
        <v>2022</v>
      </c>
      <c r="G122" s="1" t="s">
        <v>2022</v>
      </c>
      <c r="H122" s="1" t="s">
        <v>2033</v>
      </c>
      <c r="I122" s="1" t="s">
        <v>2033</v>
      </c>
      <c r="J122" s="1" t="s">
        <v>2025</v>
      </c>
      <c r="K122" s="1" t="s">
        <v>2036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5</v>
      </c>
      <c r="R122" s="1">
        <v>7</v>
      </c>
      <c r="S122" s="1">
        <v>1</v>
      </c>
      <c r="T122" s="1">
        <v>4</v>
      </c>
      <c r="U122" s="1">
        <v>6</v>
      </c>
      <c r="V122" s="1">
        <v>8</v>
      </c>
      <c r="W122" s="1">
        <v>2</v>
      </c>
      <c r="X122" s="1">
        <v>1</v>
      </c>
      <c r="Y122" s="1" t="s">
        <v>2027</v>
      </c>
      <c r="Z122" s="1" t="s">
        <v>2027</v>
      </c>
      <c r="AA122" s="1">
        <v>1</v>
      </c>
      <c r="AB122" s="1">
        <v>3</v>
      </c>
      <c r="AC122" s="1">
        <v>3</v>
      </c>
      <c r="AD122" s="1" t="s">
        <v>2027</v>
      </c>
      <c r="AE122" s="1" t="s">
        <v>2027</v>
      </c>
      <c r="AF122" s="1" t="s">
        <v>2027</v>
      </c>
      <c r="AG122" s="1">
        <v>6</v>
      </c>
      <c r="AH122" s="1">
        <v>9</v>
      </c>
      <c r="AI122" s="1">
        <v>8</v>
      </c>
      <c r="AJ122" s="52" t="s">
        <v>2029</v>
      </c>
      <c r="AK122" s="9">
        <f>($L$3*(L122-$Q$1)/$Q$2+$M$3*(M122-$R$1)/$R$2+$N$3*(N122-$S$1)/$S$2+$O$3*(O122-$T$1)/$T$2+$P$3*(P122-$U$1)/$U$2)/(SUM($L$3:$P$3))</f>
        <v>-2.0843433498275723</v>
      </c>
      <c r="AL122" s="9">
        <f>($L$3*(Q122-$Q$1)/$Q$2+$M$3*(R122-$R$1)/$R$2+$N$3*(S122-$S$1)/$S$2+$O$3*(T122-$T$1)/$T$2+$P$3*(U122-$U$1)/$U$2)/(SUM($L$3:$P$3))</f>
        <v>-1.8550378190491795E-2</v>
      </c>
      <c r="AM122">
        <f>IF(AVERAGE(AG122:AH122)&gt;9,1,0)+IF(AVERAGE(AG122:AH122)&gt;7,1,0)+IF(AG122&gt;7,1,0)+IF(AH122&gt;7,1,0)+IF(AI122&gt;8,1,0)+IF(AI122&gt;6,1,0)</f>
        <v>3</v>
      </c>
      <c r="AN122" s="6">
        <f>MIN(2,IF(OR(Y122="-",X122&lt;5),0,1+IF(Y122&gt;7,1+IF(X122&gt;7,0.25,0),IF(Y122&gt;4,0.5+IF(X122&gt;7,0.25,0),0+IF(X122&gt;7,0.25))))+IF(Z122="-",0,IF(Z122&gt;9,0.5,IF(Z122&gt;7,0.25,0)))+IF(AA122="-",0,IF(AA122&gt;7,1.1,IF(AA122&gt;4,0.6,0)))+IF(OR(AB122="-",V122&lt;5),0,IF(AB122&gt;7,1+IF(V122&gt;7,0.25,0),IF(AB122&gt;4,0.5+IF(V122&gt;7,0.25,0),0)))+IF(AC122="-",0,IF(AC122&gt;7,1.5,IF(AC122&gt;4,1,0)))+IF(AD122="-",0,IF(AD122&gt;9,0.5,IF(AD122&gt;7,0.25,0)))+IF(AE122="-",0,IF(AE122&gt;7,1.25,IF(AE122&gt;4,0.75,0)))+IF(OR(AF122="-",W122&lt;4),0,IF(AF122&gt;7,1+IF(W122&gt;7,0.15,0),IF(AF122&gt;4,0.5+IF(W122&gt;7,0.15,0),0))))</f>
        <v>0</v>
      </c>
      <c r="AO122" s="9">
        <f>($AK$3*AK122+$AL$3*AL122+$AM$3*AM122+$AN$3*AN122)+$J$3*VLOOKUP(J122,COND!$A$2:$C$7,2,FALSE)+$K$3*VLOOKUP(K122,COND!$A$2:$C$7,3,FALSE)</f>
        <v>10.318961126731342</v>
      </c>
      <c r="AP122" s="37">
        <f>STANDARDIZE(AO122,AVERAGE($AO$5:$AO$1295),STDEVP($AO$5:$AO$1295))</f>
        <v>-4.8282668423442303E-2</v>
      </c>
      <c r="AQ122" t="str">
        <f>IF(AND(Y122&lt;&gt;"-",X122&gt;1),"C",IF(AA122=MAX(AA122:AC122),"2B",IF(AC122=MAX(AA122:AC122),"SS",IF(OR(AB122=MAX(Z122:AC122),AND(AB122&lt;&gt;"-",AB122&gt;4,V122&gt;5)),"3B",IF(AE122=MAX(AD122:AF122),"CF",IF(AND(AF122=MAX(AD122,AF122),AND(W122&gt;5,AD122&lt;&gt;"-")),"RF",IF(AD122&lt;&gt;"-","LF",IF(Z122&lt;&gt;"-","1B","DH"))))))))</f>
        <v>SS</v>
      </c>
      <c r="AR122" t="s">
        <v>35</v>
      </c>
      <c r="AU122" t="str">
        <f>IF(AND($Q122&gt;=6,AVERAGE($S122:$T122)&gt;=6),"Likely",IF(OR($Q122&gt;6,AND($Q122=6,AVERAGE($S122:$T122)&gt;=3),AND($Q122&gt;=5,AVERAGE($S122:$T122)&gt;=5),AVERAGE($Q122,$S122:$T122)&gt;5),"Possible","Unlikely"))</f>
        <v>Unlikely</v>
      </c>
      <c r="AW122" t="str">
        <f>IF(VLOOKUP($B122,'Draft List'!$D$4:$AB$2598,AW$3,FALSE)&lt;&gt;0,VLOOKUP($B122,'Draft List'!$D$4:$AB$2598,AW$3,FALSE),"")</f>
        <v/>
      </c>
      <c r="AX122" t="str">
        <f>IF(VLOOKUP($B122,'Draft List'!$D$4:$AB$2598,AX$3,FALSE)&lt;&gt;0,VLOOKUP($B122,'Draft List'!$D$4:$AB$2598,AX$3,FALSE),"")</f>
        <v/>
      </c>
      <c r="AY122" t="str">
        <f>IF(VLOOKUP($B122,'Draft List'!$D$4:$AB$2598,AY$3,FALSE)&lt;&gt;0,VLOOKUP($B122,'Draft List'!$D$4:$AB$2598,AY$3,FALSE),"")</f>
        <v/>
      </c>
    </row>
    <row r="123" spans="1:51">
      <c r="A123" t="str">
        <f>IF(C123="C","C-",C123)&amp;D123&amp;E123</f>
        <v>2BJeff Mack21</v>
      </c>
      <c r="B123">
        <f>VLOOKUP($A123,draft_listing_batters_stats!$A$1:$B$1324,2,FALSE)</f>
        <v>7278</v>
      </c>
      <c r="C123" s="1" t="s">
        <v>2069</v>
      </c>
      <c r="D123" s="1" t="s">
        <v>1353</v>
      </c>
      <c r="E123" s="1">
        <v>21</v>
      </c>
      <c r="F123" s="1" t="s">
        <v>2022</v>
      </c>
      <c r="G123" s="1" t="s">
        <v>2022</v>
      </c>
      <c r="H123" s="1" t="s">
        <v>2033</v>
      </c>
      <c r="I123" s="1" t="s">
        <v>2033</v>
      </c>
      <c r="J123" s="1" t="s">
        <v>2036</v>
      </c>
      <c r="K123" s="1" t="s">
        <v>2026</v>
      </c>
      <c r="L123" s="1">
        <v>3</v>
      </c>
      <c r="M123" s="1">
        <v>3</v>
      </c>
      <c r="N123" s="1">
        <v>1</v>
      </c>
      <c r="O123" s="1">
        <v>3</v>
      </c>
      <c r="P123" s="1">
        <v>3</v>
      </c>
      <c r="Q123" s="1">
        <v>5</v>
      </c>
      <c r="R123" s="1">
        <v>4</v>
      </c>
      <c r="S123" s="1">
        <v>2</v>
      </c>
      <c r="T123" s="1">
        <v>4</v>
      </c>
      <c r="U123" s="1">
        <v>4</v>
      </c>
      <c r="V123" s="1">
        <v>7</v>
      </c>
      <c r="W123" s="1">
        <v>1</v>
      </c>
      <c r="X123" s="1">
        <v>1</v>
      </c>
      <c r="Y123" s="1" t="s">
        <v>2027</v>
      </c>
      <c r="Z123" s="1" t="s">
        <v>2027</v>
      </c>
      <c r="AA123" s="1">
        <v>5</v>
      </c>
      <c r="AB123" s="1">
        <v>3</v>
      </c>
      <c r="AC123" s="1">
        <v>6</v>
      </c>
      <c r="AD123" s="1" t="s">
        <v>2027</v>
      </c>
      <c r="AE123" s="1" t="s">
        <v>2027</v>
      </c>
      <c r="AF123" s="1" t="s">
        <v>2027</v>
      </c>
      <c r="AG123" s="1">
        <v>7</v>
      </c>
      <c r="AH123" s="1">
        <v>10</v>
      </c>
      <c r="AI123" s="1">
        <v>10</v>
      </c>
      <c r="AJ123" s="52" t="s">
        <v>2029</v>
      </c>
      <c r="AK123" s="9">
        <f>($L$3*(L123-$Q$1)/$Q$2+$M$3*(M123-$R$1)/$R$2+$N$3*(N123-$S$1)/$S$2+$O$3*(O123-$T$1)/$T$2+$P$3*(P123-$U$1)/$U$2)/(SUM($L$3:$P$3))</f>
        <v>-1.0776601385314866</v>
      </c>
      <c r="AL123" s="9">
        <f>($L$3*(Q123-$Q$1)/$Q$2+$M$3*(R123-$R$1)/$R$2+$N$3*(S123-$S$1)/$S$2+$O$3*(T123-$T$1)/$T$2+$P$3*(U123-$U$1)/$U$2)/(SUM($L$3:$P$3))</f>
        <v>-0.16870120265686769</v>
      </c>
      <c r="AM123">
        <f>IF(AVERAGE(AG123:AH123)&gt;9,1,0)+IF(AVERAGE(AG123:AH123)&gt;7,1,0)+IF(AG123&gt;7,1,0)+IF(AH123&gt;7,1,0)+IF(AI123&gt;8,1,0)+IF(AI123&gt;6,1,0)</f>
        <v>4</v>
      </c>
      <c r="AN123" s="6">
        <f>MIN(2,IF(OR(Y123="-",X123&lt;5),0,1+IF(Y123&gt;7,1+IF(X123&gt;7,0.25,0),IF(Y123&gt;4,0.5+IF(X123&gt;7,0.25,0),0+IF(X123&gt;7,0.25))))+IF(Z123="-",0,IF(Z123&gt;9,0.5,IF(Z123&gt;7,0.25,0)))+IF(AA123="-",0,IF(AA123&gt;7,1.1,IF(AA123&gt;4,0.6,0)))+IF(OR(AB123="-",V123&lt;5),0,IF(AB123&gt;7,1+IF(V123&gt;7,0.25,0),IF(AB123&gt;4,0.5+IF(V123&gt;7,0.25,0),0)))+IF(AC123="-",0,IF(AC123&gt;7,1.5,IF(AC123&gt;4,1,0)))+IF(AD123="-",0,IF(AD123&gt;9,0.5,IF(AD123&gt;7,0.25,0)))+IF(AE123="-",0,IF(AE123&gt;7,1.25,IF(AE123&gt;4,0.75,0)))+IF(OR(AF123="-",W123&lt;4),0,IF(AF123&gt;7,1+IF(W123&gt;7,0.15,0),IF(AF123&gt;4,0.5+IF(W123&gt;7,0.15,0),0))))</f>
        <v>1.6</v>
      </c>
      <c r="AO123" s="9">
        <f>($AK$3*AK123+$AL$3*AL123+$AM$3*AM123+$AN$3*AN123)+$J$3*VLOOKUP(J123,COND!$A$2:$C$7,2,FALSE)+$K$3*VLOOKUP(K123,COND!$A$2:$C$7,3,FALSE)</f>
        <v>10.284486220931106</v>
      </c>
      <c r="AP123" s="37">
        <f>STANDARDIZE(AO123,AVERAGE($AO$5:$AO$1295),STDEVP($AO$5:$AO$1295))</f>
        <v>-5.3072048270187903E-2</v>
      </c>
      <c r="AQ123" t="str">
        <f>IF(AND(Y123&lt;&gt;"-",X123&gt;1),"C",IF(AA123=MAX(AA123:AC123),"2B",IF(AC123=MAX(AA123:AC123),"SS",IF(OR(AB123=MAX(Z123:AC123),AND(AB123&lt;&gt;"-",AB123&gt;4,V123&gt;5)),"3B",IF(AE123=MAX(AD123:AF123),"CF",IF(AND(AF123=MAX(AD123,AF123),AND(W123&gt;5,AD123&lt;&gt;"-")),"RF",IF(AD123&lt;&gt;"-","LF",IF(Z123&lt;&gt;"-","1B","DH"))))))))</f>
        <v>SS</v>
      </c>
      <c r="AR123" t="s">
        <v>35</v>
      </c>
      <c r="AT123" t="s">
        <v>155</v>
      </c>
      <c r="AU123" t="str">
        <f>IF(AND($Q123&gt;=6,AVERAGE($S123:$T123)&gt;=6),"Likely",IF(OR($Q123&gt;6,AND($Q123=6,AVERAGE($S123:$T123)&gt;=3),AND($Q123&gt;=5,AVERAGE($S123:$T123)&gt;=5),AVERAGE($Q123,$S123:$T123)&gt;5),"Possible","Unlikely"))</f>
        <v>Unlikely</v>
      </c>
      <c r="AW123" t="str">
        <f>IF(VLOOKUP($B123,'Draft List'!$D$4:$AB$2598,AW$3,FALSE)&lt;&gt;0,VLOOKUP($B123,'Draft List'!$D$4:$AB$2598,AW$3,FALSE),"")</f>
        <v/>
      </c>
      <c r="AX123" t="str">
        <f>IF(VLOOKUP($B123,'Draft List'!$D$4:$AB$2598,AX$3,FALSE)&lt;&gt;0,VLOOKUP($B123,'Draft List'!$D$4:$AB$2598,AX$3,FALSE),"")</f>
        <v/>
      </c>
      <c r="AY123" t="str">
        <f>IF(VLOOKUP($B123,'Draft List'!$D$4:$AB$2598,AY$3,FALSE)&lt;&gt;0,VLOOKUP($B123,'Draft List'!$D$4:$AB$2598,AY$3,FALSE),"")</f>
        <v/>
      </c>
    </row>
    <row r="124" spans="1:51">
      <c r="A124" t="str">
        <f>IF(C124="C","C-",C124)&amp;D124&amp;E124</f>
        <v>SSMatt Tyler21</v>
      </c>
      <c r="B124">
        <f>VLOOKUP($A124,draft_listing_batters_stats!$A$1:$B$1324,2,FALSE)</f>
        <v>9262</v>
      </c>
      <c r="C124" s="1" t="s">
        <v>2074</v>
      </c>
      <c r="D124" s="1" t="s">
        <v>1235</v>
      </c>
      <c r="E124" s="1">
        <v>21</v>
      </c>
      <c r="F124" s="1" t="s">
        <v>2022</v>
      </c>
      <c r="G124" s="1" t="s">
        <v>2022</v>
      </c>
      <c r="H124" s="1" t="s">
        <v>2033</v>
      </c>
      <c r="I124" s="1" t="s">
        <v>2033</v>
      </c>
      <c r="J124" s="1" t="s">
        <v>2026</v>
      </c>
      <c r="K124" s="1" t="s">
        <v>2036</v>
      </c>
      <c r="L124" s="1">
        <v>3</v>
      </c>
      <c r="M124" s="1">
        <v>3</v>
      </c>
      <c r="N124" s="1">
        <v>1</v>
      </c>
      <c r="O124" s="1">
        <v>2</v>
      </c>
      <c r="P124" s="1">
        <v>2</v>
      </c>
      <c r="Q124" s="1">
        <v>5</v>
      </c>
      <c r="R124" s="1">
        <v>5</v>
      </c>
      <c r="S124" s="1">
        <v>2</v>
      </c>
      <c r="T124" s="1">
        <v>4</v>
      </c>
      <c r="U124" s="1">
        <v>5</v>
      </c>
      <c r="V124" s="1">
        <v>7</v>
      </c>
      <c r="W124" s="1">
        <v>4</v>
      </c>
      <c r="X124" s="1">
        <v>1</v>
      </c>
      <c r="Y124" s="1" t="s">
        <v>2027</v>
      </c>
      <c r="Z124" s="1" t="s">
        <v>2027</v>
      </c>
      <c r="AA124" s="1" t="s">
        <v>2027</v>
      </c>
      <c r="AB124" s="1" t="s">
        <v>2027</v>
      </c>
      <c r="AC124" s="1">
        <v>5</v>
      </c>
      <c r="AD124" s="1" t="s">
        <v>2027</v>
      </c>
      <c r="AE124" s="1" t="s">
        <v>2027</v>
      </c>
      <c r="AF124" s="1" t="s">
        <v>2027</v>
      </c>
      <c r="AG124" s="1">
        <v>7</v>
      </c>
      <c r="AH124" s="1">
        <v>7</v>
      </c>
      <c r="AI124" s="1">
        <v>8</v>
      </c>
      <c r="AJ124" s="52" t="s">
        <v>2029</v>
      </c>
      <c r="AK124" s="9">
        <f>($L$3*(L124-$Q$1)/$Q$2+$M$3*(M124-$R$1)/$R$2+$N$3*(N124-$S$1)/$S$2+$O$3*(O124-$T$1)/$T$2+$P$3*(P124-$U$1)/$U$2)/(SUM($L$3:$P$3))</f>
        <v>-1.207386028358151</v>
      </c>
      <c r="AL124" s="9">
        <f>($L$3*(Q124-$Q$1)/$Q$2+$M$3*(R124-$R$1)/$R$2+$N$3*(S124-$S$1)/$S$2+$O$3*(T124-$T$1)/$T$2+$P$3*(U124-$U$1)/$U$2)/(SUM($L$3:$P$3))</f>
        <v>-7.7624983221080746E-2</v>
      </c>
      <c r="AM124">
        <f>IF(AVERAGE(AG124:AH124)&gt;9,1,0)+IF(AVERAGE(AG124:AH124)&gt;7,1,0)+IF(AG124&gt;7,1,0)+IF(AH124&gt;7,1,0)+IF(AI124&gt;8,1,0)+IF(AI124&gt;6,1,0)</f>
        <v>1</v>
      </c>
      <c r="AN124" s="6">
        <f>MIN(2,IF(OR(Y124="-",X124&lt;5),0,1+IF(Y124&gt;7,1+IF(X124&gt;7,0.25,0),IF(Y124&gt;4,0.5+IF(X124&gt;7,0.25,0),0+IF(X124&gt;7,0.25))))+IF(Z124="-",0,IF(Z124&gt;9,0.5,IF(Z124&gt;7,0.25,0)))+IF(AA124="-",0,IF(AA124&gt;7,1.1,IF(AA124&gt;4,0.6,0)))+IF(OR(AB124="-",V124&lt;5),0,IF(AB124&gt;7,1+IF(V124&gt;7,0.25,0),IF(AB124&gt;4,0.5+IF(V124&gt;7,0.25,0),0)))+IF(AC124="-",0,IF(AC124&gt;7,1.5,IF(AC124&gt;4,1,0)))+IF(AD124="-",0,IF(AD124&gt;9,0.5,IF(AD124&gt;7,0.25,0)))+IF(AE124="-",0,IF(AE124&gt;7,1.25,IF(AE124&gt;4,0.75,0)))+IF(OR(AF124="-",W124&lt;4),0,IF(AF124&gt;7,1+IF(W124&gt;7,0.15,0),IF(AF124&gt;4,0.5+IF(W124&gt;7,0.15,0),0))))</f>
        <v>1</v>
      </c>
      <c r="AO124" s="9">
        <f>($AK$3*AK124+$AL$3*AL124+$AM$3*AM124+$AN$3*AN124)+$J$3*VLOOKUP(J124,COND!$A$2:$C$7,2,FALSE)+$K$3*VLOOKUP(K124,COND!$A$2:$C$7,3,FALSE)</f>
        <v>10.264428265177884</v>
      </c>
      <c r="AP124" s="37">
        <f>STANDARDIZE(AO124,AVERAGE($AO$5:$AO$1295),STDEVP($AO$5:$AO$1295))</f>
        <v>-5.5858572752895505E-2</v>
      </c>
      <c r="AQ124" t="str">
        <f>IF(AND(Y124&lt;&gt;"-",X124&gt;1),"C",IF(AA124=MAX(AA124:AC124),"2B",IF(AC124=MAX(AA124:AC124),"SS",IF(OR(AB124=MAX(Z124:AC124),AND(AB124&lt;&gt;"-",AB124&gt;4,V124&gt;5)),"3B",IF(AE124=MAX(AD124:AF124),"CF",IF(AND(AF124=MAX(AD124,AF124),AND(W124&gt;5,AD124&lt;&gt;"-")),"RF",IF(AD124&lt;&gt;"-","LF",IF(Z124&lt;&gt;"-","1B","DH"))))))))</f>
        <v>SS</v>
      </c>
      <c r="AR124" t="s">
        <v>35</v>
      </c>
      <c r="AT124" t="s">
        <v>156</v>
      </c>
      <c r="AU124" t="str">
        <f>IF(AND($Q124&gt;=6,AVERAGE($S124:$T124)&gt;=6),"Likely",IF(OR($Q124&gt;6,AND($Q124=6,AVERAGE($S124:$T124)&gt;=3),AND($Q124&gt;=5,AVERAGE($S124:$T124)&gt;=5),AVERAGE($Q124,$S124:$T124)&gt;5),"Possible","Unlikely"))</f>
        <v>Unlikely</v>
      </c>
      <c r="AW124" t="str">
        <f>IF(VLOOKUP($B124,'Draft List'!$D$4:$AB$2598,AW$3,FALSE)&lt;&gt;0,VLOOKUP($B124,'Draft List'!$D$4:$AB$2598,AW$3,FALSE),"")</f>
        <v/>
      </c>
      <c r="AX124" t="str">
        <f>IF(VLOOKUP($B124,'Draft List'!$D$4:$AB$2598,AX$3,FALSE)&lt;&gt;0,VLOOKUP($B124,'Draft List'!$D$4:$AB$2598,AX$3,FALSE),"")</f>
        <v/>
      </c>
      <c r="AY124" t="str">
        <f>IF(VLOOKUP($B124,'Draft List'!$D$4:$AB$2598,AY$3,FALSE)&lt;&gt;0,VLOOKUP($B124,'Draft List'!$D$4:$AB$2598,AY$3,FALSE),"")</f>
        <v/>
      </c>
    </row>
    <row r="125" spans="1:51">
      <c r="A125" t="str">
        <f>IF(C125="C","C-",C125)&amp;D125&amp;E125</f>
        <v>3BGabe Kelly21</v>
      </c>
      <c r="B125">
        <f>VLOOKUP($A125,draft_listing_batters_stats!$A$1:$B$1324,2,FALSE)</f>
        <v>4212</v>
      </c>
      <c r="C125" s="1" t="s">
        <v>2061</v>
      </c>
      <c r="D125" s="1" t="s">
        <v>1332</v>
      </c>
      <c r="E125" s="1">
        <v>21</v>
      </c>
      <c r="F125" s="1" t="s">
        <v>2022</v>
      </c>
      <c r="G125" s="1" t="s">
        <v>2022</v>
      </c>
      <c r="H125" s="1" t="s">
        <v>2033</v>
      </c>
      <c r="I125" s="1" t="s">
        <v>2033</v>
      </c>
      <c r="J125" s="1" t="s">
        <v>2030</v>
      </c>
      <c r="K125" s="1" t="s">
        <v>2025</v>
      </c>
      <c r="L125" s="1">
        <v>3</v>
      </c>
      <c r="M125" s="1">
        <v>4</v>
      </c>
      <c r="N125" s="1">
        <v>1</v>
      </c>
      <c r="O125" s="1">
        <v>3</v>
      </c>
      <c r="P125" s="1">
        <v>1</v>
      </c>
      <c r="Q125" s="1">
        <v>5</v>
      </c>
      <c r="R125" s="1">
        <v>5</v>
      </c>
      <c r="S125" s="1">
        <v>2</v>
      </c>
      <c r="T125" s="1">
        <v>4</v>
      </c>
      <c r="U125" s="1">
        <v>4</v>
      </c>
      <c r="V125" s="1">
        <v>6</v>
      </c>
      <c r="W125" s="1">
        <v>1</v>
      </c>
      <c r="X125" s="1">
        <v>1</v>
      </c>
      <c r="Y125" s="1" t="s">
        <v>2027</v>
      </c>
      <c r="Z125" s="1" t="s">
        <v>2027</v>
      </c>
      <c r="AA125" s="1">
        <v>2</v>
      </c>
      <c r="AB125" s="1">
        <v>4</v>
      </c>
      <c r="AC125" s="1">
        <v>5</v>
      </c>
      <c r="AD125" s="1" t="s">
        <v>2027</v>
      </c>
      <c r="AE125" s="1" t="s">
        <v>2027</v>
      </c>
      <c r="AF125" s="1" t="s">
        <v>2027</v>
      </c>
      <c r="AG125" s="1">
        <v>6</v>
      </c>
      <c r="AH125" s="1">
        <v>9</v>
      </c>
      <c r="AI125" s="1">
        <v>9</v>
      </c>
      <c r="AJ125" s="52" t="s">
        <v>2029</v>
      </c>
      <c r="AK125" s="9">
        <f>($L$3*(L125-$Q$1)/$Q$2+$M$3*(M125-$R$1)/$R$2+$N$3*(N125-$S$1)/$S$2+$O$3*(O125-$T$1)/$T$2+$P$3*(P125-$U$1)/$U$2)/(SUM($L$3:$P$3))</f>
        <v>-1.10663293854695</v>
      </c>
      <c r="AL125" s="9">
        <f>($L$3*(Q125-$Q$1)/$Q$2+$M$3*(R125-$R$1)/$R$2+$N$3*(S125-$S$1)/$S$2+$O$3*(T125-$T$1)/$T$2+$P$3*(U125-$U$1)/$U$2)/(SUM($L$3:$P$3))</f>
        <v>-0.11764132303816419</v>
      </c>
      <c r="AM125">
        <f>IF(AVERAGE(AG125:AH125)&gt;9,1,0)+IF(AVERAGE(AG125:AH125)&gt;7,1,0)+IF(AG125&gt;7,1,0)+IF(AH125&gt;7,1,0)+IF(AI125&gt;8,1,0)+IF(AI125&gt;6,1,0)</f>
        <v>4</v>
      </c>
      <c r="AN125" s="6">
        <f>MIN(2,IF(OR(Y125="-",X125&lt;5),0,1+IF(Y125&gt;7,1+IF(X125&gt;7,0.25,0),IF(Y125&gt;4,0.5+IF(X125&gt;7,0.25,0),0+IF(X125&gt;7,0.25))))+IF(Z125="-",0,IF(Z125&gt;9,0.5,IF(Z125&gt;7,0.25,0)))+IF(AA125="-",0,IF(AA125&gt;7,1.1,IF(AA125&gt;4,0.6,0)))+IF(OR(AB125="-",V125&lt;5),0,IF(AB125&gt;7,1+IF(V125&gt;7,0.25,0),IF(AB125&gt;4,0.5+IF(V125&gt;7,0.25,0),0)))+IF(AC125="-",0,IF(AC125&gt;7,1.5,IF(AC125&gt;4,1,0)))+IF(AD125="-",0,IF(AD125&gt;9,0.5,IF(AD125&gt;7,0.25,0)))+IF(AE125="-",0,IF(AE125&gt;7,1.25,IF(AE125&gt;4,0.75,0)))+IF(OR(AF125="-",W125&lt;4),0,IF(AF125&gt;7,1+IF(W125&gt;7,0.15,0),IF(AF125&gt;4,0.5+IF(W125&gt;7,0.15,0),0))))</f>
        <v>1</v>
      </c>
      <c r="AO125" s="9">
        <f>($AK$3*AK125+$AL$3*AL125+$AM$3*AM125+$AN$3*AN125)+$J$3*VLOOKUP(J125,COND!$A$2:$C$7,2,FALSE)+$K$3*VLOOKUP(K125,COND!$A$2:$C$7,3,FALSE)</f>
        <v>10.244307496354001</v>
      </c>
      <c r="AP125" s="37">
        <f>STANDARDIZE(AO125,AVERAGE($AO$5:$AO$1295),STDEVP($AO$5:$AO$1295))</f>
        <v>-5.8653823456828492E-2</v>
      </c>
      <c r="AQ125" t="str">
        <f>IF(AND(Y125&lt;&gt;"-",X125&gt;1),"C",IF(AA125=MAX(AA125:AC125),"2B",IF(AC125=MAX(AA125:AC125),"SS",IF(OR(AB125=MAX(Z125:AC125),AND(AB125&lt;&gt;"-",AB125&gt;4,V125&gt;5)),"3B",IF(AE125=MAX(AD125:AF125),"CF",IF(AND(AF125=MAX(AD125,AF125),AND(W125&gt;5,AD125&lt;&gt;"-")),"RF",IF(AD125&lt;&gt;"-","LF",IF(Z125&lt;&gt;"-","1B","DH"))))))))</f>
        <v>SS</v>
      </c>
      <c r="AR125" t="s">
        <v>35</v>
      </c>
      <c r="AT125" t="s">
        <v>156</v>
      </c>
      <c r="AU125" t="str">
        <f>IF(AND($Q125&gt;=6,AVERAGE($S125:$T125)&gt;=6),"Likely",IF(OR($Q125&gt;6,AND($Q125=6,AVERAGE($S125:$T125)&gt;=3),AND($Q125&gt;=5,AVERAGE($S125:$T125)&gt;=5),AVERAGE($Q125,$S125:$T125)&gt;5),"Possible","Unlikely"))</f>
        <v>Unlikely</v>
      </c>
      <c r="AW125" t="str">
        <f>IF(VLOOKUP($B125,'Draft List'!$D$4:$AB$2598,AW$3,FALSE)&lt;&gt;0,VLOOKUP($B125,'Draft List'!$D$4:$AB$2598,AW$3,FALSE),"")</f>
        <v/>
      </c>
      <c r="AX125" t="str">
        <f>IF(VLOOKUP($B125,'Draft List'!$D$4:$AB$2598,AX$3,FALSE)&lt;&gt;0,VLOOKUP($B125,'Draft List'!$D$4:$AB$2598,AX$3,FALSE),"")</f>
        <v/>
      </c>
      <c r="AY125" t="str">
        <f>IF(VLOOKUP($B125,'Draft List'!$D$4:$AB$2598,AY$3,FALSE)&lt;&gt;0,VLOOKUP($B125,'Draft List'!$D$4:$AB$2598,AY$3,FALSE),"")</f>
        <v/>
      </c>
    </row>
    <row r="126" spans="1:51">
      <c r="A126" t="str">
        <f>IF(C126="C","C-",C126)&amp;D126&amp;E126</f>
        <v>CFEd Lee18</v>
      </c>
      <c r="B126">
        <f>VLOOKUP($A126,draft_listing_batters_stats!$A$1:$B$1324,2,FALSE)</f>
        <v>1282</v>
      </c>
      <c r="C126" s="1" t="s">
        <v>2079</v>
      </c>
      <c r="D126" s="1" t="s">
        <v>1343</v>
      </c>
      <c r="E126" s="1">
        <v>18</v>
      </c>
      <c r="F126" s="1" t="s">
        <v>2038</v>
      </c>
      <c r="G126" s="1" t="s">
        <v>2022</v>
      </c>
      <c r="H126" s="1" t="s">
        <v>2033</v>
      </c>
      <c r="I126" s="1" t="s">
        <v>2033</v>
      </c>
      <c r="J126" s="1" t="s">
        <v>2026</v>
      </c>
      <c r="K126" s="1" t="s">
        <v>2040</v>
      </c>
      <c r="L126" s="1">
        <v>1</v>
      </c>
      <c r="M126" s="1">
        <v>1</v>
      </c>
      <c r="N126" s="1">
        <v>1</v>
      </c>
      <c r="O126" s="1">
        <v>1</v>
      </c>
      <c r="P126" s="1">
        <v>1</v>
      </c>
      <c r="Q126" s="1">
        <v>5</v>
      </c>
      <c r="R126" s="1">
        <v>5</v>
      </c>
      <c r="S126" s="1">
        <v>4</v>
      </c>
      <c r="T126" s="1">
        <v>3</v>
      </c>
      <c r="U126" s="1">
        <v>5</v>
      </c>
      <c r="V126" s="1">
        <v>1</v>
      </c>
      <c r="W126" s="1">
        <v>6</v>
      </c>
      <c r="X126" s="1">
        <v>1</v>
      </c>
      <c r="Y126" s="1" t="s">
        <v>2027</v>
      </c>
      <c r="Z126" s="1" t="s">
        <v>2027</v>
      </c>
      <c r="AA126" s="1" t="s">
        <v>2027</v>
      </c>
      <c r="AB126" s="1" t="s">
        <v>2027</v>
      </c>
      <c r="AC126" s="1" t="s">
        <v>2027</v>
      </c>
      <c r="AD126" s="1">
        <v>1</v>
      </c>
      <c r="AE126" s="1">
        <v>1</v>
      </c>
      <c r="AF126" s="1">
        <v>1</v>
      </c>
      <c r="AG126" s="1">
        <v>10</v>
      </c>
      <c r="AH126" s="1">
        <v>10</v>
      </c>
      <c r="AI126" s="1">
        <v>10</v>
      </c>
      <c r="AJ126" s="52" t="s">
        <v>2029</v>
      </c>
      <c r="AK126" s="9">
        <f>($L$3*(L126-$Q$1)/$Q$2+$M$3*(M126-$R$1)/$R$2+$N$3*(N126-$S$1)/$S$2+$O$3*(O126-$T$1)/$T$2+$P$3*(P126-$U$1)/$U$2)/(SUM($L$3:$P$3))</f>
        <v>-2.0843433498275723</v>
      </c>
      <c r="AL126" s="9">
        <f>($L$3*(Q126-$Q$1)/$Q$2+$M$3*(R126-$R$1)/$R$2+$N$3*(S126-$S$1)/$S$2+$O$3*(T126-$T$1)/$T$2+$P$3*(U126-$U$1)/$U$2)/(SUM($L$3:$P$3))</f>
        <v>-1.2115451828587696E-3</v>
      </c>
      <c r="AM126">
        <f>IF(AVERAGE(AG126:AH126)&gt;9,1,0)+IF(AVERAGE(AG126:AH126)&gt;7,1,0)+IF(AG126&gt;7,1,0)+IF(AH126&gt;7,1,0)+IF(AI126&gt;8,1,0)+IF(AI126&gt;6,1,0)</f>
        <v>6</v>
      </c>
      <c r="AN126" s="6">
        <f>MIN(2,IF(OR(Y126="-",X126&lt;5),0,1+IF(Y126&gt;7,1+IF(X126&gt;7,0.25,0),IF(Y126&gt;4,0.5+IF(X126&gt;7,0.25,0),0+IF(X126&gt;7,0.25))))+IF(Z126="-",0,IF(Z126&gt;9,0.5,IF(Z126&gt;7,0.25,0)))+IF(AA126="-",0,IF(AA126&gt;7,1.1,IF(AA126&gt;4,0.6,0)))+IF(OR(AB126="-",V126&lt;5),0,IF(AB126&gt;7,1+IF(V126&gt;7,0.25,0),IF(AB126&gt;4,0.5+IF(V126&gt;7,0.25,0),0)))+IF(AC126="-",0,IF(AC126&gt;7,1.5,IF(AC126&gt;4,1,0)))+IF(AD126="-",0,IF(AD126&gt;9,0.5,IF(AD126&gt;7,0.25,0)))+IF(AE126="-",0,IF(AE126&gt;7,1.25,IF(AE126&gt;4,0.75,0)))+IF(OR(AF126="-",W126&lt;4),0,IF(AF126&gt;7,1+IF(W126&gt;7,0.15,0),IF(AF126&gt;4,0.5+IF(W126&gt;7,0.15,0),0))))</f>
        <v>0</v>
      </c>
      <c r="AO126" s="9">
        <f>($AK$3*AK126+$AL$3*AL126+$AM$3*AM126+$AN$3*AN126)+$J$3*VLOOKUP(J126,COND!$A$2:$C$7,2,FALSE)+$K$3*VLOOKUP(K126,COND!$A$2:$C$7,3,FALSE)</f>
        <v>10.177027122822938</v>
      </c>
      <c r="AP126" s="37">
        <f>STANDARDIZE(AO126,AVERAGE($AO$5:$AO$1295),STDEVP($AO$5:$AO$1295))</f>
        <v>-6.8000658715446666E-2</v>
      </c>
      <c r="AQ126" t="str">
        <f>IF(AND(Y126&lt;&gt;"-",X126&gt;1),"C",IF(AA126=MAX(AA126:AC126),"2B",IF(AC126=MAX(AA126:AC126),"SS",IF(OR(AB126=MAX(Z126:AC126),AND(AB126&lt;&gt;"-",AB126&gt;4,V126&gt;5)),"3B",IF(AE126=MAX(AD126:AF126),"CF",IF(AND(AF126=MAX(AD126,AF126),AND(W126&gt;5,AD126&lt;&gt;"-")),"RF",IF(AD126&lt;&gt;"-","LF",IF(Z126&lt;&gt;"-","1B","DH"))))))))</f>
        <v>CF</v>
      </c>
      <c r="AR126" t="s">
        <v>35</v>
      </c>
      <c r="AU126" t="str">
        <f>IF(AND($Q126&gt;=6,AVERAGE($S126:$T126)&gt;=6),"Likely",IF(OR($Q126&gt;6,AND($Q126=6,AVERAGE($S126:$T126)&gt;=3),AND($Q126&gt;=5,AVERAGE($S126:$T126)&gt;=5),AVERAGE($Q126,$S126:$T126)&gt;5),"Possible","Unlikely"))</f>
        <v>Unlikely</v>
      </c>
      <c r="AW126" t="e">
        <f>IF(VLOOKUP($B126,'Draft List'!$D$4:$AB$2598,AW$3,FALSE)&lt;&gt;0,VLOOKUP($B126,'Draft List'!$D$4:$AB$2598,AW$3,FALSE),"")</f>
        <v>#N/A</v>
      </c>
      <c r="AX126" t="e">
        <f>IF(VLOOKUP($B126,'Draft List'!$D$4:$AB$2598,AX$3,FALSE)&lt;&gt;0,VLOOKUP($B126,'Draft List'!$D$4:$AB$2598,AX$3,FALSE),"")</f>
        <v>#N/A</v>
      </c>
      <c r="AY126" t="e">
        <f>IF(VLOOKUP($B126,'Draft List'!$D$4:$AB$2598,AY$3,FALSE)&lt;&gt;0,VLOOKUP($B126,'Draft List'!$D$4:$AB$2598,AY$3,FALSE),"")</f>
        <v>#N/A</v>
      </c>
    </row>
    <row r="127" spans="1:51">
      <c r="A127" t="str">
        <f>IF(C127="C","C-",C127)&amp;D127&amp;E127</f>
        <v>2BPepe Solís18</v>
      </c>
      <c r="B127" t="e">
        <f>VLOOKUP($A127,draft_listing_batters_stats!$A$1:$B$1324,2,FALSE)</f>
        <v>#N/A</v>
      </c>
      <c r="C127" s="1" t="s">
        <v>2069</v>
      </c>
      <c r="D127" s="1" t="s">
        <v>1220</v>
      </c>
      <c r="E127" s="1">
        <v>18</v>
      </c>
      <c r="F127" s="1" t="s">
        <v>2049</v>
      </c>
      <c r="G127" s="1" t="s">
        <v>2022</v>
      </c>
      <c r="H127" s="1" t="s">
        <v>2033</v>
      </c>
      <c r="I127" s="1" t="s">
        <v>2033</v>
      </c>
      <c r="J127" s="1" t="s">
        <v>2025</v>
      </c>
      <c r="K127" s="1" t="s">
        <v>2030</v>
      </c>
      <c r="L127" s="1">
        <v>1</v>
      </c>
      <c r="M127" s="1">
        <v>2</v>
      </c>
      <c r="N127" s="1">
        <v>1</v>
      </c>
      <c r="O127" s="1">
        <v>1</v>
      </c>
      <c r="P127" s="1">
        <v>1</v>
      </c>
      <c r="Q127" s="1">
        <v>3</v>
      </c>
      <c r="R127" s="1">
        <v>3</v>
      </c>
      <c r="S127" s="1">
        <v>1</v>
      </c>
      <c r="T127" s="1">
        <v>2</v>
      </c>
      <c r="U127" s="1">
        <v>4</v>
      </c>
      <c r="V127" s="1">
        <v>6</v>
      </c>
      <c r="W127" s="1">
        <v>2</v>
      </c>
      <c r="X127" s="1">
        <v>1</v>
      </c>
      <c r="Y127" s="1" t="s">
        <v>2027</v>
      </c>
      <c r="Z127" s="1">
        <v>5</v>
      </c>
      <c r="AA127" s="1">
        <v>3</v>
      </c>
      <c r="AB127" s="1">
        <v>1</v>
      </c>
      <c r="AC127" s="1">
        <v>2</v>
      </c>
      <c r="AD127" s="1" t="s">
        <v>2027</v>
      </c>
      <c r="AE127" s="1" t="s">
        <v>2027</v>
      </c>
      <c r="AF127" s="1" t="s">
        <v>2027</v>
      </c>
      <c r="AG127" s="1">
        <v>8</v>
      </c>
      <c r="AH127" s="1">
        <v>7</v>
      </c>
      <c r="AI127" s="1">
        <v>5</v>
      </c>
      <c r="AJ127" s="1" t="s">
        <v>2029</v>
      </c>
      <c r="AK127" s="9"/>
      <c r="AL127" s="9"/>
      <c r="AO127" s="9">
        <f>($AK$3*AK127+$AL$3*AL127+$AM$3*AM127+$AN$3*AN127)+$J$3*VLOOKUP(J127,COND!$A$2:$C$7,2,FALSE)+$K$3*VLOOKUP(K127,COND!$A$2:$C$7,3,FALSE)</f>
        <v>10.1</v>
      </c>
      <c r="AP127" s="37">
        <f>STANDARDIZE(AO127,AVERAGE($AO$5:$AO$1295),STDEVP($AO$5:$AO$1295))</f>
        <v>-7.870154798947783E-2</v>
      </c>
      <c r="AQ127" t="str">
        <f>IF(AND(Y127&lt;&gt;"-",X127&gt;1),"C",IF(AA127=MAX(AA127:AC127),"2B",IF(AC127=MAX(AA127:AC127),"SS",IF(OR(AB127=MAX(Z127:AC127),AND(AB127&lt;&gt;"-",AB127&gt;4,V127&gt;5)),"3B",IF(AE127=MAX(AD127:AF127),"CF",IF(AND(AF127=MAX(AD127,AF127),AND(W127&gt;5,AD127&lt;&gt;"-")),"RF",IF(AD127&lt;&gt;"-","LF",IF(Z127&lt;&gt;"-","1B","DH"))))))))</f>
        <v>2B</v>
      </c>
      <c r="AR127" t="s">
        <v>35</v>
      </c>
      <c r="AU127" t="str">
        <f>IF(AND($Q127&gt;=6,AVERAGE($S127:$T127)&gt;=6),"Likely",IF(OR($Q127&gt;6,AND($Q127=6,AVERAGE($S127:$T127)&gt;=3),AND($Q127&gt;=5,AVERAGE($S127:$T127)&gt;=5),AVERAGE($Q127,$S127:$T127)&gt;5),"Possible","Unlikely"))</f>
        <v>Unlikely</v>
      </c>
      <c r="AW127" t="e">
        <f>IF(VLOOKUP($B127,'Draft List'!$D$4:$AB$2598,AW$3,FALSE)&lt;&gt;0,VLOOKUP($B127,'Draft List'!$D$4:$AB$2598,AW$3,FALSE),"")</f>
        <v>#N/A</v>
      </c>
      <c r="AX127" t="e">
        <f>IF(VLOOKUP($B127,'Draft List'!$D$4:$AB$2598,AX$3,FALSE)&lt;&gt;0,VLOOKUP($B127,'Draft List'!$D$4:$AB$2598,AX$3,FALSE),"")</f>
        <v>#N/A</v>
      </c>
      <c r="AY127" t="e">
        <f>IF(VLOOKUP($B127,'Draft List'!$D$4:$AB$2598,AY$3,FALSE)&lt;&gt;0,VLOOKUP($B127,'Draft List'!$D$4:$AB$2598,AY$3,FALSE),"")</f>
        <v>#N/A</v>
      </c>
    </row>
    <row r="128" spans="1:51">
      <c r="A128" t="str">
        <f>IF(C128="C","C-",C128)&amp;D128&amp;E128</f>
        <v>1BConnor Becker21</v>
      </c>
      <c r="B128">
        <f>VLOOKUP($A128,draft_listing_batters_stats!$A$1:$B$1324,2,FALSE)</f>
        <v>2559</v>
      </c>
      <c r="C128" s="1" t="s">
        <v>2092</v>
      </c>
      <c r="D128" s="1" t="s">
        <v>1456</v>
      </c>
      <c r="E128" s="1">
        <v>21</v>
      </c>
      <c r="F128" s="1" t="s">
        <v>2022</v>
      </c>
      <c r="G128" s="1" t="s">
        <v>2022</v>
      </c>
      <c r="H128" s="1" t="s">
        <v>2033</v>
      </c>
      <c r="I128" s="1" t="s">
        <v>2033</v>
      </c>
      <c r="J128" s="1" t="s">
        <v>2040</v>
      </c>
      <c r="K128" s="1" t="s">
        <v>2030</v>
      </c>
      <c r="L128" s="1">
        <v>3</v>
      </c>
      <c r="M128" s="1">
        <v>4</v>
      </c>
      <c r="N128" s="1">
        <v>1</v>
      </c>
      <c r="O128" s="1">
        <v>3</v>
      </c>
      <c r="P128" s="1">
        <v>2</v>
      </c>
      <c r="Q128" s="1">
        <v>5</v>
      </c>
      <c r="R128" s="1">
        <v>5</v>
      </c>
      <c r="S128" s="1">
        <v>4</v>
      </c>
      <c r="T128" s="1">
        <v>4</v>
      </c>
      <c r="U128" s="1">
        <v>4</v>
      </c>
      <c r="V128" s="1">
        <v>4</v>
      </c>
      <c r="W128" s="1">
        <v>2</v>
      </c>
      <c r="X128" s="1">
        <v>2</v>
      </c>
      <c r="Y128" s="1" t="s">
        <v>2027</v>
      </c>
      <c r="Z128" s="1">
        <v>4</v>
      </c>
      <c r="AA128" s="1" t="s">
        <v>2027</v>
      </c>
      <c r="AB128" s="1" t="s">
        <v>2027</v>
      </c>
      <c r="AC128" s="1" t="s">
        <v>2027</v>
      </c>
      <c r="AD128" s="1" t="s">
        <v>2027</v>
      </c>
      <c r="AE128" s="1" t="s">
        <v>2027</v>
      </c>
      <c r="AF128" s="1" t="s">
        <v>2027</v>
      </c>
      <c r="AG128" s="1">
        <v>3</v>
      </c>
      <c r="AH128" s="1">
        <v>3</v>
      </c>
      <c r="AI128" s="1">
        <v>4</v>
      </c>
      <c r="AJ128" s="52" t="s">
        <v>2029</v>
      </c>
      <c r="AK128" s="9">
        <f>($L$3*(L128-$Q$1)/$Q$2+$M$3*(M128-$R$1)/$R$2+$N$3*(N128-$S$1)/$S$2+$O$3*(O128-$T$1)/$T$2+$P$3*(P128-$U$1)/$U$2)/(SUM($L$3:$P$3))</f>
        <v>-1.0666165987298666</v>
      </c>
      <c r="AL128" s="9">
        <f>($L$3*(Q128-$Q$1)/$Q$2+$M$3*(R128-$R$1)/$R$2+$N$3*(S128-$S$1)/$S$2+$O$3*(T128-$T$1)/$T$2+$P$3*(U128-$U$1)/$U$2)/(SUM($L$3:$P$3))</f>
        <v>4.8481665009638825E-2</v>
      </c>
      <c r="AM128">
        <f>IF(AVERAGE(AG128:AH128)&gt;9,1,0)+IF(AVERAGE(AG128:AH128)&gt;7,1,0)+IF(AG128&gt;7,1,0)+IF(AH128&gt;7,1,0)+IF(AI128&gt;8,1,0)+IF(AI128&gt;6,1,0)</f>
        <v>0</v>
      </c>
      <c r="AN128" s="6">
        <f>MIN(2,IF(OR(Y128="-",X128&lt;5),0,1+IF(Y128&gt;7,1+IF(X128&gt;7,0.25,0),IF(Y128&gt;4,0.5+IF(X128&gt;7,0.25,0),0+IF(X128&gt;7,0.25))))+IF(Z128="-",0,IF(Z128&gt;9,0.5,IF(Z128&gt;7,0.25,0)))+IF(AA128="-",0,IF(AA128&gt;7,1.1,IF(AA128&gt;4,0.6,0)))+IF(OR(AB128="-",V128&lt;5),0,IF(AB128&gt;7,1+IF(V128&gt;7,0.25,0),IF(AB128&gt;4,0.5+IF(V128&gt;7,0.25,0),0)))+IF(AC128="-",0,IF(AC128&gt;7,1.5,IF(AC128&gt;4,1,0)))+IF(AD128="-",0,IF(AD128&gt;9,0.5,IF(AD128&gt;7,0.25,0)))+IF(AE128="-",0,IF(AE128&gt;7,1.25,IF(AE128&gt;4,0.75,0)))+IF(OR(AF128="-",W128&lt;4),0,IF(AF128&gt;7,1+IF(W128&gt;7,0.15,0),IF(AF128&gt;4,0.5+IF(W128&gt;7,0.15,0),0))))</f>
        <v>0</v>
      </c>
      <c r="AO128" s="9">
        <f>($AK$3*AK128+$AL$3*AL128+$AM$3*AM128+$AN$3*AN128)+$J$3*VLOOKUP(J128,COND!$A$2:$C$7,2,FALSE)+$K$3*VLOOKUP(K128,COND!$A$2:$C$7,3,FALSE)</f>
        <v>10.07511832024268</v>
      </c>
      <c r="AP128" s="37">
        <f>STANDARDIZE(AO128,AVERAGE($AO$5:$AO$1295),STDEVP($AO$5:$AO$1295))</f>
        <v>-8.215820183135919E-2</v>
      </c>
      <c r="AQ128" t="str">
        <f>IF(AND(Y128&lt;&gt;"-",X128&gt;1),"C",IF(AA128=MAX(AA128:AC128),"2B",IF(AC128=MAX(AA128:AC128),"SS",IF(OR(AB128=MAX(Z128:AC128),AND(AB128&lt;&gt;"-",AB128&gt;4,V128&gt;5)),"3B",IF(AE128=MAX(AD128:AF128),"CF",IF(AND(AF128=MAX(AD128,AF128),AND(W128&gt;5,AD128&lt;&gt;"-")),"RF",IF(AD128&lt;&gt;"-","LF",IF(Z128&lt;&gt;"-","1B","DH"))))))))</f>
        <v>1B</v>
      </c>
      <c r="AR128" t="s">
        <v>35</v>
      </c>
      <c r="AU128" t="str">
        <f>IF(AND($Q128&gt;=6,AVERAGE($S128:$T128)&gt;=6),"Likely",IF(OR($Q128&gt;6,AND($Q128=6,AVERAGE($S128:$T128)&gt;=3),AND($Q128&gt;=5,AVERAGE($S128:$T128)&gt;=5),AVERAGE($Q128,$S128:$T128)&gt;5),"Possible","Unlikely"))</f>
        <v>Unlikely</v>
      </c>
      <c r="AW128" t="str">
        <f>IF(VLOOKUP($B128,'Draft List'!$D$4:$AB$2598,AW$3,FALSE)&lt;&gt;0,VLOOKUP($B128,'Draft List'!$D$4:$AB$2598,AW$3,FALSE),"")</f>
        <v/>
      </c>
      <c r="AX128" t="str">
        <f>IF(VLOOKUP($B128,'Draft List'!$D$4:$AB$2598,AX$3,FALSE)&lt;&gt;0,VLOOKUP($B128,'Draft List'!$D$4:$AB$2598,AX$3,FALSE),"")</f>
        <v/>
      </c>
      <c r="AY128" t="str">
        <f>IF(VLOOKUP($B128,'Draft List'!$D$4:$AB$2598,AY$3,FALSE)&lt;&gt;0,VLOOKUP($B128,'Draft List'!$D$4:$AB$2598,AY$3,FALSE),"")</f>
        <v/>
      </c>
    </row>
    <row r="129" spans="1:51">
      <c r="A129" t="str">
        <f>IF(C129="C","C-",C129)&amp;D129&amp;E129</f>
        <v>C-Gavin Schroeder21</v>
      </c>
      <c r="B129">
        <f>VLOOKUP($A129,draft_listing_batters_stats!$A$1:$B$1324,2,FALSE)</f>
        <v>7110</v>
      </c>
      <c r="C129" s="1" t="s">
        <v>2091</v>
      </c>
      <c r="D129" s="1" t="s">
        <v>1211</v>
      </c>
      <c r="E129" s="1">
        <v>21</v>
      </c>
      <c r="F129" s="1" t="s">
        <v>2022</v>
      </c>
      <c r="G129" s="1" t="s">
        <v>2022</v>
      </c>
      <c r="H129" s="1" t="s">
        <v>2033</v>
      </c>
      <c r="I129" s="1" t="s">
        <v>2033</v>
      </c>
      <c r="J129" s="1" t="s">
        <v>2036</v>
      </c>
      <c r="K129" s="1" t="s">
        <v>2036</v>
      </c>
      <c r="L129" s="1">
        <v>4</v>
      </c>
      <c r="M129" s="1">
        <v>4</v>
      </c>
      <c r="N129" s="1">
        <v>1</v>
      </c>
      <c r="O129" s="1">
        <v>3</v>
      </c>
      <c r="P129" s="1">
        <v>2</v>
      </c>
      <c r="Q129" s="1">
        <v>5</v>
      </c>
      <c r="R129" s="1">
        <v>5</v>
      </c>
      <c r="S129" s="1">
        <v>2</v>
      </c>
      <c r="T129" s="1">
        <v>4</v>
      </c>
      <c r="U129" s="1">
        <v>4</v>
      </c>
      <c r="V129" s="1">
        <v>7</v>
      </c>
      <c r="W129" s="1">
        <v>8</v>
      </c>
      <c r="X129" s="1">
        <v>5</v>
      </c>
      <c r="Y129" s="1">
        <v>4</v>
      </c>
      <c r="Z129" s="1">
        <v>2</v>
      </c>
      <c r="AA129" s="1" t="s">
        <v>2027</v>
      </c>
      <c r="AB129" s="1" t="s">
        <v>2027</v>
      </c>
      <c r="AC129" s="1" t="s">
        <v>2027</v>
      </c>
      <c r="AD129" s="1" t="s">
        <v>2027</v>
      </c>
      <c r="AE129" s="1" t="s">
        <v>2027</v>
      </c>
      <c r="AF129" s="1" t="s">
        <v>2027</v>
      </c>
      <c r="AG129" s="1">
        <v>3</v>
      </c>
      <c r="AH129" s="1">
        <v>3</v>
      </c>
      <c r="AI129" s="1">
        <v>1</v>
      </c>
      <c r="AJ129" s="52" t="s">
        <v>2029</v>
      </c>
      <c r="AK129" s="9">
        <f>($L$3*(L129-$Q$1)/$Q$2+$M$3*(M129-$R$1)/$R$2+$N$3*(N129-$S$1)/$S$2+$O$3*(O129-$T$1)/$T$2+$P$3*(P129-$U$1)/$U$2)/(SUM($L$3:$P$3))</f>
        <v>-0.74406076252719189</v>
      </c>
      <c r="AL129" s="9">
        <f>($L$3*(Q129-$Q$1)/$Q$2+$M$3*(R129-$R$1)/$R$2+$N$3*(S129-$S$1)/$S$2+$O$3*(T129-$T$1)/$T$2+$P$3*(U129-$U$1)/$U$2)/(SUM($L$3:$P$3))</f>
        <v>-0.11764132303816419</v>
      </c>
      <c r="AM129">
        <f>IF(AVERAGE(AG129:AH129)&gt;9,1,0)+IF(AVERAGE(AG129:AH129)&gt;7,1,0)+IF(AG129&gt;7,1,0)+IF(AH129&gt;7,1,0)+IF(AI129&gt;8,1,0)+IF(AI129&gt;6,1,0)</f>
        <v>0</v>
      </c>
      <c r="AN129" s="6">
        <f>MIN(2,IF(OR(Y129="-",X129&lt;5),0,1+IF(Y129&gt;7,1+IF(X129&gt;7,0.25,0),IF(Y129&gt;4,0.5+IF(X129&gt;7,0.25,0),0+IF(X129&gt;7,0.25))))+IF(Z129="-",0,IF(Z129&gt;9,0.5,IF(Z129&gt;7,0.25,0)))+IF(AA129="-",0,IF(AA129&gt;7,1.1,IF(AA129&gt;4,0.6,0)))+IF(OR(AB129="-",V129&lt;5),0,IF(AB129&gt;7,1+IF(V129&gt;7,0.25,0),IF(AB129&gt;4,0.5+IF(V129&gt;7,0.25,0),0)))+IF(AC129="-",0,IF(AC129&gt;7,1.5,IF(AC129&gt;4,1,0)))+IF(AD129="-",0,IF(AD129&gt;9,0.5,IF(AD129&gt;7,0.25,0)))+IF(AE129="-",0,IF(AE129&gt;7,1.25,IF(AE129&gt;4,0.75,0)))+IF(OR(AF129="-",W129&lt;4),0,IF(AF129&gt;7,1+IF(W129&gt;7,0.15,0),IF(AF129&gt;4,0.5+IF(W129&gt;7,0.15,0),0))))</f>
        <v>1</v>
      </c>
      <c r="AO129" s="9">
        <f>($AK$3*AK129+$AL$3*AL129+$AM$3*AM129+$AN$3*AN129)+$J$3*VLOOKUP(J129,COND!$A$2:$C$7,2,FALSE)+$K$3*VLOOKUP(K129,COND!$A$2:$C$7,3,FALSE)</f>
        <v>10.01389804728931</v>
      </c>
      <c r="AP129" s="37">
        <f>STANDARDIZE(AO129,AVERAGE($AO$5:$AO$1295),STDEVP($AO$5:$AO$1295))</f>
        <v>-9.0663145780854507E-2</v>
      </c>
      <c r="AQ129" t="str">
        <f>IF(AND(Y129&lt;&gt;"-",X129&gt;1),"C",IF(AA129=MAX(AA129:AC129),"2B",IF(AC129=MAX(AA129:AC129),"SS",IF(OR(AB129=MAX(Z129:AC129),AND(AB129&lt;&gt;"-",AB129&gt;4,V129&gt;5)),"3B",IF(AE129=MAX(AD129:AF129),"CF",IF(AND(AF129=MAX(AD129,AF129),AND(W129&gt;5,AD129&lt;&gt;"-")),"RF",IF(AD129&lt;&gt;"-","LF",IF(Z129&lt;&gt;"-","1B","DH"))))))))</f>
        <v>C</v>
      </c>
      <c r="AR129" t="s">
        <v>35</v>
      </c>
      <c r="AT129" t="s">
        <v>60</v>
      </c>
      <c r="AU129" t="str">
        <f>IF(AND($Q129&gt;=6,AVERAGE($S129:$T129)&gt;=6),"Likely",IF(OR($Q129&gt;6,AND($Q129=6,AVERAGE($S129:$T129)&gt;=3),AND($Q129&gt;=5,AVERAGE($S129:$T129)&gt;=5),AVERAGE($Q129,$S129:$T129)&gt;5),"Possible","Unlikely"))</f>
        <v>Unlikely</v>
      </c>
      <c r="AW129" t="str">
        <f>IF(VLOOKUP($B129,'Draft List'!$D$4:$AB$2598,AW$3,FALSE)&lt;&gt;0,VLOOKUP($B129,'Draft List'!$D$4:$AB$2598,AW$3,FALSE),"")</f>
        <v/>
      </c>
      <c r="AX129" t="str">
        <f>IF(VLOOKUP($B129,'Draft List'!$D$4:$AB$2598,AX$3,FALSE)&lt;&gt;0,VLOOKUP($B129,'Draft List'!$D$4:$AB$2598,AX$3,FALSE),"")</f>
        <v/>
      </c>
      <c r="AY129" t="str">
        <f>IF(VLOOKUP($B129,'Draft List'!$D$4:$AB$2598,AY$3,FALSE)&lt;&gt;0,VLOOKUP($B129,'Draft List'!$D$4:$AB$2598,AY$3,FALSE),"")</f>
        <v/>
      </c>
    </row>
    <row r="130" spans="1:51">
      <c r="A130" t="str">
        <f>IF(C130="C","C-",C130)&amp;D130&amp;E130</f>
        <v>1BJim Justice21</v>
      </c>
      <c r="B130">
        <f>VLOOKUP($A130,draft_listing_batters_stats!$A$1:$B$1324,2,FALSE)</f>
        <v>6283</v>
      </c>
      <c r="C130" s="1" t="s">
        <v>2092</v>
      </c>
      <c r="D130" s="1" t="s">
        <v>1330</v>
      </c>
      <c r="E130" s="1">
        <v>21</v>
      </c>
      <c r="F130" s="1" t="s">
        <v>2022</v>
      </c>
      <c r="G130" s="1" t="s">
        <v>2022</v>
      </c>
      <c r="H130" s="1" t="s">
        <v>2033</v>
      </c>
      <c r="I130" s="1" t="s">
        <v>2033</v>
      </c>
      <c r="J130" s="1" t="s">
        <v>2026</v>
      </c>
      <c r="K130" s="1" t="s">
        <v>2025</v>
      </c>
      <c r="L130" s="1">
        <v>3</v>
      </c>
      <c r="M130" s="1">
        <v>5</v>
      </c>
      <c r="N130" s="1">
        <v>2</v>
      </c>
      <c r="O130" s="1">
        <v>3</v>
      </c>
      <c r="P130" s="1">
        <v>2</v>
      </c>
      <c r="Q130" s="1">
        <v>5</v>
      </c>
      <c r="R130" s="1">
        <v>6</v>
      </c>
      <c r="S130" s="1">
        <v>3</v>
      </c>
      <c r="T130" s="1">
        <v>4</v>
      </c>
      <c r="U130" s="1">
        <v>4</v>
      </c>
      <c r="V130" s="1">
        <v>3</v>
      </c>
      <c r="W130" s="1">
        <v>1</v>
      </c>
      <c r="X130" s="1">
        <v>1</v>
      </c>
      <c r="Y130" s="1" t="s">
        <v>2027</v>
      </c>
      <c r="Z130" s="1">
        <v>3</v>
      </c>
      <c r="AA130" s="1" t="s">
        <v>2027</v>
      </c>
      <c r="AB130" s="1" t="s">
        <v>2027</v>
      </c>
      <c r="AC130" s="1" t="s">
        <v>2027</v>
      </c>
      <c r="AD130" s="1" t="s">
        <v>2027</v>
      </c>
      <c r="AE130" s="1" t="s">
        <v>2027</v>
      </c>
      <c r="AF130" s="1" t="s">
        <v>2027</v>
      </c>
      <c r="AG130" s="1">
        <v>1</v>
      </c>
      <c r="AH130" s="1">
        <v>1</v>
      </c>
      <c r="AI130" s="1">
        <v>1</v>
      </c>
      <c r="AJ130" s="52" t="s">
        <v>2029</v>
      </c>
      <c r="AK130" s="9">
        <f>($L$3*(L130-$Q$1)/$Q$2+$M$3*(M130-$R$1)/$R$2+$N$3*(N130-$S$1)/$S$2+$O$3*(O130-$T$1)/$T$2+$P$3*(P130-$U$1)/$U$2)/(SUM($L$3:$P$3))</f>
        <v>-0.93249522508726168</v>
      </c>
      <c r="AL130" s="9">
        <f>($L$3*(Q130-$Q$1)/$Q$2+$M$3*(R130-$R$1)/$R$2+$N$3*(S130-$S$1)/$S$2+$O$3*(T130-$T$1)/$T$2+$P$3*(U130-$U$1)/$U$2)/(SUM($L$3:$P$3))</f>
        <v>1.648005060444082E-2</v>
      </c>
      <c r="AM130">
        <f>IF(AVERAGE(AG130:AH130)&gt;9,1,0)+IF(AVERAGE(AG130:AH130)&gt;7,1,0)+IF(AG130&gt;7,1,0)+IF(AH130&gt;7,1,0)+IF(AI130&gt;8,1,0)+IF(AI130&gt;6,1,0)</f>
        <v>0</v>
      </c>
      <c r="AN130" s="6">
        <f>MIN(2,IF(OR(Y130="-",X130&lt;5),0,1+IF(Y130&gt;7,1+IF(X130&gt;7,0.25,0),IF(Y130&gt;4,0.5+IF(X130&gt;7,0.25,0),0+IF(X130&gt;7,0.25))))+IF(Z130="-",0,IF(Z130&gt;9,0.5,IF(Z130&gt;7,0.25,0)))+IF(AA130="-",0,IF(AA130&gt;7,1.1,IF(AA130&gt;4,0.6,0)))+IF(OR(AB130="-",V130&lt;5),0,IF(AB130&gt;7,1+IF(V130&gt;7,0.25,0),IF(AB130&gt;4,0.5+IF(V130&gt;7,0.25,0),0)))+IF(AC130="-",0,IF(AC130&gt;7,1.5,IF(AC130&gt;4,1,0)))+IF(AD130="-",0,IF(AD130&gt;9,0.5,IF(AD130&gt;7,0.25,0)))+IF(AE130="-",0,IF(AE130&gt;7,1.25,IF(AE130&gt;4,0.75,0)))+IF(OR(AF130="-",W130&lt;4),0,IF(AF130&gt;7,1+IF(W130&gt;7,0.15,0),IF(AF130&gt;4,0.5+IF(W130&gt;7,0.15,0),0))))</f>
        <v>0</v>
      </c>
      <c r="AO130" s="9">
        <f>($AK$3*AK130+$AL$3*AL130+$AM$3*AM130+$AN$3*AN130)+$J$3*VLOOKUP(J130,COND!$A$2:$C$7,2,FALSE)+$K$3*VLOOKUP(K130,COND!$A$2:$C$7,3,FALSE)</f>
        <v>10.004511084744564</v>
      </c>
      <c r="AP130" s="37">
        <f>STANDARDIZE(AO130,AVERAGE($AO$5:$AO$1295),STDEVP($AO$5:$AO$1295))</f>
        <v>-9.1967216907095306E-2</v>
      </c>
      <c r="AQ130" t="str">
        <f>IF(AND(Y130&lt;&gt;"-",X130&gt;1),"C",IF(AA130=MAX(AA130:AC130),"2B",IF(AC130=MAX(AA130:AC130),"SS",IF(OR(AB130=MAX(Z130:AC130),AND(AB130&lt;&gt;"-",AB130&gt;4,V130&gt;5)),"3B",IF(AE130=MAX(AD130:AF130),"CF",IF(AND(AF130=MAX(AD130,AF130),AND(W130&gt;5,AD130&lt;&gt;"-")),"RF",IF(AD130&lt;&gt;"-","LF",IF(Z130&lt;&gt;"-","1B","DH"))))))))</f>
        <v>1B</v>
      </c>
      <c r="AR130" t="s">
        <v>35</v>
      </c>
      <c r="AU130" t="str">
        <f>IF(AND($Q130&gt;=6,AVERAGE($S130:$T130)&gt;=6),"Likely",IF(OR($Q130&gt;6,AND($Q130=6,AVERAGE($S130:$T130)&gt;=3),AND($Q130&gt;=5,AVERAGE($S130:$T130)&gt;=5),AVERAGE($Q130,$S130:$T130)&gt;5),"Possible","Unlikely"))</f>
        <v>Unlikely</v>
      </c>
      <c r="AW130" t="str">
        <f>IF(VLOOKUP($B130,'Draft List'!$D$4:$AB$2598,AW$3,FALSE)&lt;&gt;0,VLOOKUP($B130,'Draft List'!$D$4:$AB$2598,AW$3,FALSE),"")</f>
        <v/>
      </c>
      <c r="AX130" t="str">
        <f>IF(VLOOKUP($B130,'Draft List'!$D$4:$AB$2598,AX$3,FALSE)&lt;&gt;0,VLOOKUP($B130,'Draft List'!$D$4:$AB$2598,AX$3,FALSE),"")</f>
        <v/>
      </c>
      <c r="AY130" t="str">
        <f>IF(VLOOKUP($B130,'Draft List'!$D$4:$AB$2598,AY$3,FALSE)&lt;&gt;0,VLOOKUP($B130,'Draft List'!$D$4:$AB$2598,AY$3,FALSE),"")</f>
        <v/>
      </c>
    </row>
    <row r="131" spans="1:51">
      <c r="A131" t="str">
        <f>IF(C131="C","C-",C131)&amp;D131&amp;E131</f>
        <v>RFKelvin Lynas18</v>
      </c>
      <c r="B131">
        <f>VLOOKUP($A131,draft_listing_batters_stats!$A$1:$B$1324,2,FALSE)</f>
        <v>13785</v>
      </c>
      <c r="C131" s="1" t="s">
        <v>2057</v>
      </c>
      <c r="D131" s="1" t="s">
        <v>1350</v>
      </c>
      <c r="E131" s="1">
        <v>18</v>
      </c>
      <c r="F131" s="1" t="s">
        <v>2038</v>
      </c>
      <c r="G131" s="1" t="s">
        <v>2038</v>
      </c>
      <c r="H131" s="1" t="s">
        <v>2033</v>
      </c>
      <c r="I131" s="1" t="s">
        <v>2033</v>
      </c>
      <c r="J131" s="1" t="s">
        <v>2025</v>
      </c>
      <c r="K131" s="1" t="s">
        <v>2025</v>
      </c>
      <c r="L131" s="1">
        <v>1</v>
      </c>
      <c r="M131" s="1">
        <v>2</v>
      </c>
      <c r="N131" s="1">
        <v>1</v>
      </c>
      <c r="O131" s="1">
        <v>1</v>
      </c>
      <c r="P131" s="1">
        <v>1</v>
      </c>
      <c r="Q131" s="1">
        <v>2</v>
      </c>
      <c r="R131" s="1">
        <v>3</v>
      </c>
      <c r="S131" s="1">
        <v>2</v>
      </c>
      <c r="T131" s="1">
        <v>2</v>
      </c>
      <c r="U131" s="1">
        <v>4</v>
      </c>
      <c r="V131" s="1">
        <v>1</v>
      </c>
      <c r="W131" s="1">
        <v>6</v>
      </c>
      <c r="X131" s="1">
        <v>1</v>
      </c>
      <c r="Y131" s="1" t="s">
        <v>2027</v>
      </c>
      <c r="Z131" s="1" t="s">
        <v>2027</v>
      </c>
      <c r="AA131" s="1" t="s">
        <v>2027</v>
      </c>
      <c r="AB131" s="1" t="s">
        <v>2027</v>
      </c>
      <c r="AC131" s="1" t="s">
        <v>2027</v>
      </c>
      <c r="AD131" s="1">
        <v>1</v>
      </c>
      <c r="AE131" s="1">
        <v>1</v>
      </c>
      <c r="AF131" s="1">
        <v>3</v>
      </c>
      <c r="AG131" s="1">
        <v>8</v>
      </c>
      <c r="AH131" s="1">
        <v>10</v>
      </c>
      <c r="AI131" s="1">
        <v>9</v>
      </c>
      <c r="AJ131" s="54" t="s">
        <v>2029</v>
      </c>
      <c r="AK131" s="9"/>
      <c r="AL131" s="9"/>
      <c r="AO131" s="9">
        <f>($AK$3*AK131+$AL$3*AL131+$AM$3*AM131+$AN$3*AN131)+$J$3*VLOOKUP(J131,COND!$A$2:$C$7,2,FALSE)+$K$3*VLOOKUP(K131,COND!$A$2:$C$7,3,FALSE)</f>
        <v>10</v>
      </c>
      <c r="AP131" s="37">
        <f>STANDARDIZE(AO131,AVERAGE($AO$5:$AO$1295),STDEVP($AO$5:$AO$1295))</f>
        <v>-9.2593913278298426E-2</v>
      </c>
      <c r="AQ131" t="str">
        <f>IF(AND(Y131&lt;&gt;"-",X131&gt;1),"C",IF(AA131=MAX(AA131:AC131),"2B",IF(AC131=MAX(AA131:AC131),"SS",IF(OR(AB131=MAX(Z131:AC131),AND(AB131&lt;&gt;"-",AB131&gt;4,V131&gt;5)),"3B",IF(AE131=MAX(AD131:AF131),"CF",IF(AND(AF131=MAX(AD131,AF131),AND(W131&gt;5,AD131&lt;&gt;"-")),"RF",IF(AD131&lt;&gt;"-","LF",IF(Z131&lt;&gt;"-","1B","DH"))))))))</f>
        <v>RF</v>
      </c>
      <c r="AR131" t="s">
        <v>35</v>
      </c>
      <c r="AU131" t="str">
        <f>IF(AND($Q131&gt;=6,AVERAGE($S131:$T131)&gt;=6),"Likely",IF(OR($Q131&gt;6,AND($Q131=6,AVERAGE($S131:$T131)&gt;=3),AND($Q131&gt;=5,AVERAGE($S131:$T131)&gt;=5),AVERAGE($Q131,$S131:$T131)&gt;5),"Possible","Unlikely"))</f>
        <v>Unlikely</v>
      </c>
      <c r="AW131" t="str">
        <f>IF(VLOOKUP($B131,'Draft List'!$D$4:$AB$2598,AW$3,FALSE)&lt;&gt;0,VLOOKUP($B131,'Draft List'!$D$4:$AB$2598,AW$3,FALSE),"")</f>
        <v/>
      </c>
      <c r="AX131" t="str">
        <f>IF(VLOOKUP($B131,'Draft List'!$D$4:$AB$2598,AX$3,FALSE)&lt;&gt;0,VLOOKUP($B131,'Draft List'!$D$4:$AB$2598,AX$3,FALSE),"")</f>
        <v/>
      </c>
      <c r="AY131" t="str">
        <f>IF(VLOOKUP($B131,'Draft List'!$D$4:$AB$2598,AY$3,FALSE)&lt;&gt;0,VLOOKUP($B131,'Draft List'!$D$4:$AB$2598,AY$3,FALSE),"")</f>
        <v/>
      </c>
    </row>
    <row r="132" spans="1:51">
      <c r="A132" t="str">
        <f>IF(C132="C","C-",C132)&amp;D132&amp;E132</f>
        <v>2BBob Cowan21</v>
      </c>
      <c r="B132">
        <f>VLOOKUP($A132,draft_listing_batters_stats!$A$1:$B$1324,2,FALSE)</f>
        <v>6103</v>
      </c>
      <c r="C132" s="1" t="s">
        <v>2069</v>
      </c>
      <c r="D132" s="1" t="s">
        <v>1479</v>
      </c>
      <c r="E132" s="1">
        <v>21</v>
      </c>
      <c r="F132" s="1" t="s">
        <v>2022</v>
      </c>
      <c r="G132" s="1" t="s">
        <v>2022</v>
      </c>
      <c r="H132" s="1" t="s">
        <v>2033</v>
      </c>
      <c r="I132" s="1" t="s">
        <v>2033</v>
      </c>
      <c r="J132" s="1" t="s">
        <v>2036</v>
      </c>
      <c r="K132" s="1" t="s">
        <v>2025</v>
      </c>
      <c r="L132" s="1">
        <v>4</v>
      </c>
      <c r="M132" s="1">
        <v>4</v>
      </c>
      <c r="N132" s="1">
        <v>1</v>
      </c>
      <c r="O132" s="1">
        <v>3</v>
      </c>
      <c r="P132" s="1">
        <v>2</v>
      </c>
      <c r="Q132" s="1">
        <v>5</v>
      </c>
      <c r="R132" s="1">
        <v>5</v>
      </c>
      <c r="S132" s="1">
        <v>3</v>
      </c>
      <c r="T132" s="1">
        <v>3</v>
      </c>
      <c r="U132" s="1">
        <v>4</v>
      </c>
      <c r="V132" s="1">
        <v>4</v>
      </c>
      <c r="W132" s="1">
        <v>2</v>
      </c>
      <c r="X132" s="1">
        <v>1</v>
      </c>
      <c r="Y132" s="1" t="s">
        <v>2027</v>
      </c>
      <c r="Z132" s="1">
        <v>6</v>
      </c>
      <c r="AA132" s="1">
        <v>8</v>
      </c>
      <c r="AB132" s="1">
        <v>4</v>
      </c>
      <c r="AC132" s="1">
        <v>4</v>
      </c>
      <c r="AD132" s="1" t="s">
        <v>2027</v>
      </c>
      <c r="AE132" s="1" t="s">
        <v>2027</v>
      </c>
      <c r="AF132" s="1" t="s">
        <v>2027</v>
      </c>
      <c r="AG132" s="1">
        <v>6</v>
      </c>
      <c r="AH132" s="1">
        <v>6</v>
      </c>
      <c r="AI132" s="1">
        <v>7</v>
      </c>
      <c r="AJ132" s="52" t="s">
        <v>2029</v>
      </c>
      <c r="AK132" s="9">
        <f>($L$3*(L132-$Q$1)/$Q$2+$M$3*(M132-$R$1)/$R$2+$N$3*(N132-$S$1)/$S$2+$O$3*(O132-$T$1)/$T$2+$P$3*(P132-$U$1)/$U$2)/(SUM($L$3:$P$3))</f>
        <v>-0.74406076252719189</v>
      </c>
      <c r="AL132" s="9">
        <f>($L$3*(Q132-$Q$1)/$Q$2+$M$3*(R132-$R$1)/$R$2+$N$3*(S132-$S$1)/$S$2+$O$3*(T132-$T$1)/$T$2+$P$3*(U132-$U$1)/$U$2)/(SUM($L$3:$P$3))</f>
        <v>-0.12428937902384372</v>
      </c>
      <c r="AM132">
        <f>IF(AVERAGE(AG132:AH132)&gt;9,1,0)+IF(AVERAGE(AG132:AH132)&gt;7,1,0)+IF(AG132&gt;7,1,0)+IF(AH132&gt;7,1,0)+IF(AI132&gt;8,1,0)+IF(AI132&gt;6,1,0)</f>
        <v>1</v>
      </c>
      <c r="AN132" s="6">
        <f>MIN(2,IF(OR(Y132="-",X132&lt;5),0,1+IF(Y132&gt;7,1+IF(X132&gt;7,0.25,0),IF(Y132&gt;4,0.5+IF(X132&gt;7,0.25,0),0+IF(X132&gt;7,0.25))))+IF(Z132="-",0,IF(Z132&gt;9,0.5,IF(Z132&gt;7,0.25,0)))+IF(AA132="-",0,IF(AA132&gt;7,1.1,IF(AA132&gt;4,0.6,0)))+IF(OR(AB132="-",V132&lt;5),0,IF(AB132&gt;7,1+IF(V132&gt;7,0.25,0),IF(AB132&gt;4,0.5+IF(V132&gt;7,0.25,0),0)))+IF(AC132="-",0,IF(AC132&gt;7,1.5,IF(AC132&gt;4,1,0)))+IF(AD132="-",0,IF(AD132&gt;9,0.5,IF(AD132&gt;7,0.25,0)))+IF(AE132="-",0,IF(AE132&gt;7,1.25,IF(AE132&gt;4,0.75,0)))+IF(OR(AF132="-",W132&lt;4),0,IF(AF132&gt;7,1+IF(W132&gt;7,0.15,0),IF(AF132&gt;4,0.5+IF(W132&gt;7,0.15,0),0))))</f>
        <v>1.1000000000000001</v>
      </c>
      <c r="AO132" s="9">
        <f>($AK$3*AK132+$AL$3*AL132+$AM$3*AM132+$AN$3*AN132)+$J$3*VLOOKUP(J132,COND!$A$2:$C$7,2,FALSE)+$K$3*VLOOKUP(K132,COND!$A$2:$C$7,3,FALSE)</f>
        <v>9.9507880421278223</v>
      </c>
      <c r="AP132" s="37">
        <f>STANDARDIZE(AO132,AVERAGE($AO$5:$AO$1295),STDEVP($AO$5:$AO$1295))</f>
        <v>-9.943061823168188E-2</v>
      </c>
      <c r="AQ132" t="str">
        <f>IF(AND(Y132&lt;&gt;"-",X132&gt;1),"C",IF(AA132=MAX(AA132:AC132),"2B",IF(AC132=MAX(AA132:AC132),"SS",IF(OR(AB132=MAX(Z132:AC132),AND(AB132&lt;&gt;"-",AB132&gt;4,V132&gt;5)),"3B",IF(AE132=MAX(AD132:AF132),"CF",IF(AND(AF132=MAX(AD132,AF132),AND(W132&gt;5,AD132&lt;&gt;"-")),"RF",IF(AD132&lt;&gt;"-","LF",IF(Z132&lt;&gt;"-","1B","DH"))))))))</f>
        <v>2B</v>
      </c>
      <c r="AR132" t="s">
        <v>35</v>
      </c>
      <c r="AU132" t="str">
        <f>IF(AND($Q132&gt;=6,AVERAGE($S132:$T132)&gt;=6),"Likely",IF(OR($Q132&gt;6,AND($Q132=6,AVERAGE($S132:$T132)&gt;=3),AND($Q132&gt;=5,AVERAGE($S132:$T132)&gt;=5),AVERAGE($Q132,$S132:$T132)&gt;5),"Possible","Unlikely"))</f>
        <v>Unlikely</v>
      </c>
      <c r="AW132" t="str">
        <f>IF(VLOOKUP($B132,'Draft List'!$D$4:$AB$2598,AW$3,FALSE)&lt;&gt;0,VLOOKUP($B132,'Draft List'!$D$4:$AB$2598,AW$3,FALSE),"")</f>
        <v/>
      </c>
      <c r="AX132" t="str">
        <f>IF(VLOOKUP($B132,'Draft List'!$D$4:$AB$2598,AX$3,FALSE)&lt;&gt;0,VLOOKUP($B132,'Draft List'!$D$4:$AB$2598,AX$3,FALSE),"")</f>
        <v/>
      </c>
      <c r="AY132" t="str">
        <f>IF(VLOOKUP($B132,'Draft List'!$D$4:$AB$2598,AY$3,FALSE)&lt;&gt;0,VLOOKUP($B132,'Draft List'!$D$4:$AB$2598,AY$3,FALSE),"")</f>
        <v/>
      </c>
    </row>
    <row r="133" spans="1:51">
      <c r="A133" t="str">
        <f>IF(C133="C","C-",C133)&amp;D133&amp;E133</f>
        <v>RFChris Strong18</v>
      </c>
      <c r="B133">
        <f>VLOOKUP($A133,draft_listing_batters_stats!$A$1:$B$1324,2,FALSE)</f>
        <v>13740</v>
      </c>
      <c r="C133" s="1" t="s">
        <v>2057</v>
      </c>
      <c r="D133" s="1" t="s">
        <v>1225</v>
      </c>
      <c r="E133" s="1">
        <v>18</v>
      </c>
      <c r="F133" s="1" t="s">
        <v>2022</v>
      </c>
      <c r="G133" s="1" t="s">
        <v>2022</v>
      </c>
      <c r="H133" s="1" t="s">
        <v>2033</v>
      </c>
      <c r="I133" s="1" t="s">
        <v>2033</v>
      </c>
      <c r="J133" s="1" t="s">
        <v>2040</v>
      </c>
      <c r="K133" s="1" t="s">
        <v>2030</v>
      </c>
      <c r="L133" s="1">
        <v>1</v>
      </c>
      <c r="M133" s="1">
        <v>2</v>
      </c>
      <c r="N133" s="1">
        <v>1</v>
      </c>
      <c r="O133" s="1">
        <v>1</v>
      </c>
      <c r="P133" s="1">
        <v>1</v>
      </c>
      <c r="Q133" s="1">
        <v>5</v>
      </c>
      <c r="R133" s="1">
        <v>4</v>
      </c>
      <c r="S133" s="1">
        <v>5</v>
      </c>
      <c r="T133" s="1">
        <v>3</v>
      </c>
      <c r="U133" s="1">
        <v>5</v>
      </c>
      <c r="V133" s="1">
        <v>1</v>
      </c>
      <c r="W133" s="1">
        <v>6</v>
      </c>
      <c r="X133" s="1">
        <v>1</v>
      </c>
      <c r="Y133" s="1" t="s">
        <v>2027</v>
      </c>
      <c r="Z133" s="1" t="s">
        <v>2027</v>
      </c>
      <c r="AA133" s="1" t="s">
        <v>2027</v>
      </c>
      <c r="AB133" s="1" t="s">
        <v>2027</v>
      </c>
      <c r="AC133" s="1" t="s">
        <v>2027</v>
      </c>
      <c r="AD133" s="1">
        <v>1</v>
      </c>
      <c r="AE133" s="1" t="s">
        <v>2027</v>
      </c>
      <c r="AF133" s="1">
        <v>2</v>
      </c>
      <c r="AG133" s="1">
        <v>6</v>
      </c>
      <c r="AH133" s="1">
        <v>6</v>
      </c>
      <c r="AI133" s="1">
        <v>8</v>
      </c>
      <c r="AJ133" s="52">
        <v>2400000</v>
      </c>
      <c r="AK133" s="9">
        <f>($L$3*(L133-$Q$1)/$Q$2+$M$3*(M133-$R$1)/$R$2+$N$3*(N133-$S$1)/$S$2+$O$3*(O133-$T$1)/$T$2+$P$3*(P133-$U$1)/$U$2)/(SUM($L$3:$P$3))</f>
        <v>-2.0332834702088682</v>
      </c>
      <c r="AL133" s="9">
        <f>($L$3*(Q133-$Q$1)/$Q$2+$M$3*(R133-$R$1)/$R$2+$N$3*(S133-$S$1)/$S$2+$O$3*(T133-$T$1)/$T$2+$P$3*(U133-$U$1)/$U$2)/(SUM($L$3:$P$3))</f>
        <v>3.079006922233922E-2</v>
      </c>
      <c r="AM133">
        <f>IF(AVERAGE(AG133:AH133)&gt;9,1,0)+IF(AVERAGE(AG133:AH133)&gt;7,1,0)+IF(AG133&gt;7,1,0)+IF(AH133&gt;7,1,0)+IF(AI133&gt;8,1,0)+IF(AI133&gt;6,1,0)</f>
        <v>1</v>
      </c>
      <c r="AN133" s="6">
        <f>MIN(2,IF(OR(Y133="-",X133&lt;5),0,1+IF(Y133&gt;7,1+IF(X133&gt;7,0.25,0),IF(Y133&gt;4,0.5+IF(X133&gt;7,0.25,0),0+IF(X133&gt;7,0.25))))+IF(Z133="-",0,IF(Z133&gt;9,0.5,IF(Z133&gt;7,0.25,0)))+IF(AA133="-",0,IF(AA133&gt;7,1.1,IF(AA133&gt;4,0.6,0)))+IF(OR(AB133="-",V133&lt;5),0,IF(AB133&gt;7,1+IF(V133&gt;7,0.25,0),IF(AB133&gt;4,0.5+IF(V133&gt;7,0.25,0),0)))+IF(AC133="-",0,IF(AC133&gt;7,1.5,IF(AC133&gt;4,1,0)))+IF(AD133="-",0,IF(AD133&gt;9,0.5,IF(AD133&gt;7,0.25,0)))+IF(AE133="-",0,IF(AE133&gt;7,1.25,IF(AE133&gt;4,0.75,0)))+IF(OR(AF133="-",W133&lt;4),0,IF(AF133&gt;7,1+IF(W133&gt;7,0.15,0),IF(AF133&gt;4,0.5+IF(W133&gt;7,0.15,0),0))))</f>
        <v>0</v>
      </c>
      <c r="AO133" s="9">
        <f>($AK$3*AK133+$AL$3*AL133+$AM$3*AM133+$AN$3*AN133)+$J$3*VLOOKUP(J133,COND!$A$2:$C$7,2,FALSE)+$K$3*VLOOKUP(K133,COND!$A$2:$C$7,3,FALSE)</f>
        <v>9.9328191503138505</v>
      </c>
      <c r="AP133" s="37">
        <f>STANDARDIZE(AO133,AVERAGE($AO$5:$AO$1295),STDEVP($AO$5:$AO$1295))</f>
        <v>-0.10192692232083182</v>
      </c>
      <c r="AQ133" t="str">
        <f>IF(AND(Y133&lt;&gt;"-",X133&gt;1),"C",IF(AA133=MAX(AA133:AC133),"2B",IF(AC133=MAX(AA133:AC133),"SS",IF(OR(AB133=MAX(Z133:AC133),AND(AB133&lt;&gt;"-",AB133&gt;4,V133&gt;5)),"3B",IF(AE133=MAX(AD133:AF133),"CF",IF(AND(AF133=MAX(AD133,AF133),AND(W133&gt;5,AD133&lt;&gt;"-")),"RF",IF(AD133&lt;&gt;"-","LF",IF(Z133&lt;&gt;"-","1B","DH"))))))))</f>
        <v>RF</v>
      </c>
      <c r="AR133" t="s">
        <v>35</v>
      </c>
      <c r="AT133" t="s">
        <v>155</v>
      </c>
      <c r="AU133" t="str">
        <f>IF(AND($Q133&gt;=6,AVERAGE($S133:$T133)&gt;=6),"Likely",IF(OR($Q133&gt;6,AND($Q133=6,AVERAGE($S133:$T133)&gt;=3),AND($Q133&gt;=5,AVERAGE($S133:$T133)&gt;=5),AVERAGE($Q133,$S133:$T133)&gt;5),"Possible","Unlikely"))</f>
        <v>Unlikely</v>
      </c>
      <c r="AW133" t="str">
        <f>IF(VLOOKUP($B133,'Draft List'!$D$4:$AB$2598,AW$3,FALSE)&lt;&gt;0,VLOOKUP($B133,'Draft List'!$D$4:$AB$2598,AW$3,FALSE),"")</f>
        <v/>
      </c>
      <c r="AX133" t="str">
        <f>IF(VLOOKUP($B133,'Draft List'!$D$4:$AB$2598,AX$3,FALSE)&lt;&gt;0,VLOOKUP($B133,'Draft List'!$D$4:$AB$2598,AX$3,FALSE),"")</f>
        <v/>
      </c>
      <c r="AY133" t="str">
        <f>IF(VLOOKUP($B133,'Draft List'!$D$4:$AB$2598,AY$3,FALSE)&lt;&gt;0,VLOOKUP($B133,'Draft List'!$D$4:$AB$2598,AY$3,FALSE),"")</f>
        <v/>
      </c>
    </row>
    <row r="134" spans="1:51">
      <c r="A134" t="str">
        <f>IF(C134="C","C-",C134)&amp;D134&amp;E134</f>
        <v>RFMiguel Baraja21</v>
      </c>
      <c r="B134">
        <f>VLOOKUP($A134,draft_listing_batters_stats!$A$1:$B$1324,2,FALSE)</f>
        <v>5602</v>
      </c>
      <c r="C134" s="1" t="s">
        <v>2057</v>
      </c>
      <c r="D134" s="1" t="s">
        <v>1454</v>
      </c>
      <c r="E134" s="1">
        <v>21</v>
      </c>
      <c r="F134" s="1" t="s">
        <v>2022</v>
      </c>
      <c r="G134" s="1" t="s">
        <v>2022</v>
      </c>
      <c r="H134" s="1" t="s">
        <v>2033</v>
      </c>
      <c r="I134" s="1" t="s">
        <v>2033</v>
      </c>
      <c r="J134" s="1" t="s">
        <v>2040</v>
      </c>
      <c r="K134" s="1" t="s">
        <v>2026</v>
      </c>
      <c r="L134" s="1">
        <v>4</v>
      </c>
      <c r="M134" s="1">
        <v>4</v>
      </c>
      <c r="N134" s="1">
        <v>2</v>
      </c>
      <c r="O134" s="1">
        <v>2</v>
      </c>
      <c r="P134" s="1">
        <v>2</v>
      </c>
      <c r="Q134" s="1">
        <v>5</v>
      </c>
      <c r="R134" s="1">
        <v>6</v>
      </c>
      <c r="S134" s="1">
        <v>3</v>
      </c>
      <c r="T134" s="1">
        <v>3</v>
      </c>
      <c r="U134" s="1">
        <v>4</v>
      </c>
      <c r="V134" s="1">
        <v>1</v>
      </c>
      <c r="W134" s="1">
        <v>8</v>
      </c>
      <c r="X134" s="1">
        <v>1</v>
      </c>
      <c r="Y134" s="1" t="s">
        <v>2027</v>
      </c>
      <c r="Z134" s="1" t="s">
        <v>2027</v>
      </c>
      <c r="AA134" s="1" t="s">
        <v>2027</v>
      </c>
      <c r="AB134" s="1" t="s">
        <v>2027</v>
      </c>
      <c r="AC134" s="1" t="s">
        <v>2027</v>
      </c>
      <c r="AD134" s="1">
        <v>4</v>
      </c>
      <c r="AE134" s="1">
        <v>2</v>
      </c>
      <c r="AF134" s="1">
        <v>6</v>
      </c>
      <c r="AG134" s="1">
        <v>8</v>
      </c>
      <c r="AH134" s="1">
        <v>10</v>
      </c>
      <c r="AI134" s="1">
        <v>9</v>
      </c>
      <c r="AJ134" s="52" t="s">
        <v>2029</v>
      </c>
      <c r="AK134" s="9">
        <f>($L$3*(L134-$Q$1)/$Q$2+$M$3*(M134-$R$1)/$R$2+$N$3*(N134-$S$1)/$S$2+$O$3*(O134-$T$1)/$T$2+$P$3*(P134-$U$1)/$U$2)/(SUM($L$3:$P$3))</f>
        <v>-0.75070881851287141</v>
      </c>
      <c r="AL134" s="9">
        <f>($L$3*(Q134-$Q$1)/$Q$2+$M$3*(R134-$R$1)/$R$2+$N$3*(S134-$S$1)/$S$2+$O$3*(T134-$T$1)/$T$2+$P$3*(U134-$U$1)/$U$2)/(SUM($L$3:$P$3))</f>
        <v>-7.322949940514023E-2</v>
      </c>
      <c r="AM134">
        <f>IF(AVERAGE(AG134:AH134)&gt;9,1,0)+IF(AVERAGE(AG134:AH134)&gt;7,1,0)+IF(AG134&gt;7,1,0)+IF(AH134&gt;7,1,0)+IF(AI134&gt;8,1,0)+IF(AI134&gt;6,1,0)</f>
        <v>5</v>
      </c>
      <c r="AN134" s="6">
        <f>MIN(2,IF(OR(Y134="-",X134&lt;5),0,1+IF(Y134&gt;7,1+IF(X134&gt;7,0.25,0),IF(Y134&gt;4,0.5+IF(X134&gt;7,0.25,0),0+IF(X134&gt;7,0.25))))+IF(Z134="-",0,IF(Z134&gt;9,0.5,IF(Z134&gt;7,0.25,0)))+IF(AA134="-",0,IF(AA134&gt;7,1.1,IF(AA134&gt;4,0.6,0)))+IF(OR(AB134="-",V134&lt;5),0,IF(AB134&gt;7,1+IF(V134&gt;7,0.25,0),IF(AB134&gt;4,0.5+IF(V134&gt;7,0.25,0),0)))+IF(AC134="-",0,IF(AC134&gt;7,1.5,IF(AC134&gt;4,1,0)))+IF(AD134="-",0,IF(AD134&gt;9,0.5,IF(AD134&gt;7,0.25,0)))+IF(AE134="-",0,IF(AE134&gt;7,1.25,IF(AE134&gt;4,0.75,0)))+IF(OR(AF134="-",W134&lt;4),0,IF(AF134&gt;7,1+IF(W134&gt;7,0.15,0),IF(AF134&gt;4,0.5+IF(W134&gt;7,0.15,0),0))))</f>
        <v>0.65</v>
      </c>
      <c r="AO134" s="9">
        <f>($AK$3*AK134+$AL$3*AL134+$AM$3*AM134+$AN$3*AN134)+$J$3*VLOOKUP(J134,COND!$A$2:$C$7,2,FALSE)+$K$3*VLOOKUP(K134,COND!$A$2:$C$7,3,FALSE)</f>
        <v>9.9295084586203632</v>
      </c>
      <c r="AP134" s="37">
        <f>STANDARDIZE(AO134,AVERAGE($AO$5:$AO$1295),STDEVP($AO$5:$AO$1295))</f>
        <v>-0.10238685570447772</v>
      </c>
      <c r="AQ134" t="str">
        <f>IF(AND(Y134&lt;&gt;"-",X134&gt;1),"C",IF(AA134=MAX(AA134:AC134),"2B",IF(AC134=MAX(AA134:AC134),"SS",IF(OR(AB134=MAX(Z134:AC134),AND(AB134&lt;&gt;"-",AB134&gt;4,V134&gt;5)),"3B",IF(AE134=MAX(AD134:AF134),"CF",IF(AND(AF134=MAX(AD134,AF134),AND(W134&gt;5,AD134&lt;&gt;"-")),"RF",IF(AD134&lt;&gt;"-","LF",IF(Z134&lt;&gt;"-","1B","DH"))))))))</f>
        <v>RF</v>
      </c>
      <c r="AR134" t="s">
        <v>35</v>
      </c>
      <c r="AU134" t="str">
        <f>IF(AND($Q134&gt;=6,AVERAGE($S134:$T134)&gt;=6),"Likely",IF(OR($Q134&gt;6,AND($Q134=6,AVERAGE($S134:$T134)&gt;=3),AND($Q134&gt;=5,AVERAGE($S134:$T134)&gt;=5),AVERAGE($Q134,$S134:$T134)&gt;5),"Possible","Unlikely"))</f>
        <v>Unlikely</v>
      </c>
      <c r="AW134" t="str">
        <f>IF(VLOOKUP($B134,'Draft List'!$D$4:$AB$2598,AW$3,FALSE)&lt;&gt;0,VLOOKUP($B134,'Draft List'!$D$4:$AB$2598,AW$3,FALSE),"")</f>
        <v/>
      </c>
      <c r="AX134" t="str">
        <f>IF(VLOOKUP($B134,'Draft List'!$D$4:$AB$2598,AX$3,FALSE)&lt;&gt;0,VLOOKUP($B134,'Draft List'!$D$4:$AB$2598,AX$3,FALSE),"")</f>
        <v/>
      </c>
      <c r="AY134" t="str">
        <f>IF(VLOOKUP($B134,'Draft List'!$D$4:$AB$2598,AY$3,FALSE)&lt;&gt;0,VLOOKUP($B134,'Draft List'!$D$4:$AB$2598,AY$3,FALSE),"")</f>
        <v/>
      </c>
    </row>
    <row r="135" spans="1:51">
      <c r="A135" t="str">
        <f>IF(C135="C","C-",C135)&amp;D135&amp;E135</f>
        <v>C-Ken Wright21</v>
      </c>
      <c r="B135">
        <f>VLOOKUP($A135,draft_listing_batters_stats!$A$1:$B$1324,2,FALSE)</f>
        <v>2447</v>
      </c>
      <c r="C135" s="1" t="s">
        <v>2091</v>
      </c>
      <c r="D135" s="1" t="s">
        <v>1264</v>
      </c>
      <c r="E135" s="1">
        <v>21</v>
      </c>
      <c r="F135" s="1" t="s">
        <v>2049</v>
      </c>
      <c r="G135" s="1" t="s">
        <v>2022</v>
      </c>
      <c r="H135" s="1" t="s">
        <v>2033</v>
      </c>
      <c r="I135" s="1" t="s">
        <v>2033</v>
      </c>
      <c r="J135" s="1" t="s">
        <v>2026</v>
      </c>
      <c r="K135" s="1" t="s">
        <v>2025</v>
      </c>
      <c r="L135" s="1">
        <v>1</v>
      </c>
      <c r="M135" s="1">
        <v>2</v>
      </c>
      <c r="N135" s="1">
        <v>1</v>
      </c>
      <c r="O135" s="1">
        <v>1</v>
      </c>
      <c r="P135" s="1">
        <v>1</v>
      </c>
      <c r="Q135" s="1">
        <v>3</v>
      </c>
      <c r="R135" s="1">
        <v>3</v>
      </c>
      <c r="S135" s="1">
        <v>2</v>
      </c>
      <c r="T135" s="1">
        <v>2</v>
      </c>
      <c r="U135" s="1">
        <v>3</v>
      </c>
      <c r="V135" s="1">
        <v>4</v>
      </c>
      <c r="W135" s="1">
        <v>4</v>
      </c>
      <c r="X135" s="1">
        <v>5</v>
      </c>
      <c r="Y135" s="1">
        <v>4</v>
      </c>
      <c r="Z135" s="1">
        <v>1</v>
      </c>
      <c r="AA135" s="1" t="s">
        <v>2027</v>
      </c>
      <c r="AB135" s="1" t="s">
        <v>2027</v>
      </c>
      <c r="AC135" s="1" t="s">
        <v>2027</v>
      </c>
      <c r="AD135" s="1" t="s">
        <v>2027</v>
      </c>
      <c r="AE135" s="1" t="s">
        <v>2027</v>
      </c>
      <c r="AF135" s="1" t="s">
        <v>2027</v>
      </c>
      <c r="AG135" s="1">
        <v>4</v>
      </c>
      <c r="AH135" s="1">
        <v>6</v>
      </c>
      <c r="AI135" s="1">
        <v>6</v>
      </c>
      <c r="AJ135" s="1" t="s">
        <v>2029</v>
      </c>
      <c r="AK135" s="9"/>
      <c r="AL135" s="9"/>
      <c r="AO135" s="9">
        <f>($AK$3*AK135+$AL$3*AL135+$AM$3*AM135+$AN$3*AN135)+$J$3*VLOOKUP(J135,COND!$A$2:$C$7,2,FALSE)+$K$3*VLOOKUP(K135,COND!$A$2:$C$7,3,FALSE)</f>
        <v>9.9</v>
      </c>
      <c r="AP135" s="37">
        <f>STANDARDIZE(AO135,AVERAGE($AO$5:$AO$1295),STDEVP($AO$5:$AO$1295))</f>
        <v>-0.10648627856711901</v>
      </c>
      <c r="AQ135" t="str">
        <f>IF(AND(Y135&lt;&gt;"-",X135&gt;1),"C",IF(AA135=MAX(AA135:AC135),"2B",IF(AC135=MAX(AA135:AC135),"SS",IF(OR(AB135=MAX(Z135:AC135),AND(AB135&lt;&gt;"-",AB135&gt;4,V135&gt;5)),"3B",IF(AE135=MAX(AD135:AF135),"CF",IF(AND(AF135=MAX(AD135,AF135),AND(W135&gt;5,AD135&lt;&gt;"-")),"RF",IF(AD135&lt;&gt;"-","LF",IF(Z135&lt;&gt;"-","1B","DH"))))))))</f>
        <v>C</v>
      </c>
      <c r="AR135" t="s">
        <v>35</v>
      </c>
      <c r="AU135" t="str">
        <f>IF(AND($Q135&gt;=6,AVERAGE($S135:$T135)&gt;=6),"Likely",IF(OR($Q135&gt;6,AND($Q135=6,AVERAGE($S135:$T135)&gt;=3),AND($Q135&gt;=5,AVERAGE($S135:$T135)&gt;=5),AVERAGE($Q135,$S135:$T135)&gt;5),"Possible","Unlikely"))</f>
        <v>Unlikely</v>
      </c>
      <c r="AW135" t="str">
        <f>IF(VLOOKUP($B135,'Draft List'!$D$4:$AB$2598,AW$3,FALSE)&lt;&gt;0,VLOOKUP($B135,'Draft List'!$D$4:$AB$2598,AW$3,FALSE),"")</f>
        <v/>
      </c>
      <c r="AX135" t="str">
        <f>IF(VLOOKUP($B135,'Draft List'!$D$4:$AB$2598,AX$3,FALSE)&lt;&gt;0,VLOOKUP($B135,'Draft List'!$D$4:$AB$2598,AX$3,FALSE),"")</f>
        <v/>
      </c>
      <c r="AY135" t="str">
        <f>IF(VLOOKUP($B135,'Draft List'!$D$4:$AB$2598,AY$3,FALSE)&lt;&gt;0,VLOOKUP($B135,'Draft List'!$D$4:$AB$2598,AY$3,FALSE),"")</f>
        <v/>
      </c>
    </row>
    <row r="136" spans="1:51">
      <c r="A136" t="str">
        <f>IF(C136="C","C-",C136)&amp;D136&amp;E136</f>
        <v>C-Lewis Jones21</v>
      </c>
      <c r="B136">
        <f>VLOOKUP($A136,draft_listing_batters_stats!$A$1:$B$1324,2,FALSE)</f>
        <v>3789</v>
      </c>
      <c r="C136" s="1" t="s">
        <v>2091</v>
      </c>
      <c r="D136" s="1" t="s">
        <v>1326</v>
      </c>
      <c r="E136" s="1">
        <v>21</v>
      </c>
      <c r="F136" s="1" t="s">
        <v>2049</v>
      </c>
      <c r="G136" s="1" t="s">
        <v>2022</v>
      </c>
      <c r="H136" s="1" t="s">
        <v>2033</v>
      </c>
      <c r="I136" s="1" t="s">
        <v>2033</v>
      </c>
      <c r="J136" s="1" t="s">
        <v>2025</v>
      </c>
      <c r="K136" s="1" t="s">
        <v>2026</v>
      </c>
      <c r="L136" s="1">
        <v>4</v>
      </c>
      <c r="M136" s="1">
        <v>5</v>
      </c>
      <c r="N136" s="1">
        <v>2</v>
      </c>
      <c r="O136" s="1">
        <v>3</v>
      </c>
      <c r="P136" s="1">
        <v>2</v>
      </c>
      <c r="Q136" s="1">
        <v>5</v>
      </c>
      <c r="R136" s="1">
        <v>5</v>
      </c>
      <c r="S136" s="1">
        <v>3</v>
      </c>
      <c r="T136" s="1">
        <v>3</v>
      </c>
      <c r="U136" s="1">
        <v>4</v>
      </c>
      <c r="V136" s="1">
        <v>4</v>
      </c>
      <c r="W136" s="1">
        <v>4</v>
      </c>
      <c r="X136" s="1">
        <v>6</v>
      </c>
      <c r="Y136" s="1">
        <v>5</v>
      </c>
      <c r="Z136" s="1">
        <v>1</v>
      </c>
      <c r="AA136" s="1" t="s">
        <v>2027</v>
      </c>
      <c r="AB136" s="1" t="s">
        <v>2027</v>
      </c>
      <c r="AC136" s="1" t="s">
        <v>2027</v>
      </c>
      <c r="AD136" s="1" t="s">
        <v>2027</v>
      </c>
      <c r="AE136" s="1" t="s">
        <v>2027</v>
      </c>
      <c r="AF136" s="1" t="s">
        <v>2027</v>
      </c>
      <c r="AG136" s="1">
        <v>2</v>
      </c>
      <c r="AH136" s="1">
        <v>1</v>
      </c>
      <c r="AI136" s="1">
        <v>1</v>
      </c>
      <c r="AJ136" s="52" t="s">
        <v>2029</v>
      </c>
      <c r="AK136" s="9">
        <f>($L$3*(L136-$Q$1)/$Q$2+$M$3*(M136-$R$1)/$R$2+$N$3*(N136-$S$1)/$S$2+$O$3*(O136-$T$1)/$T$2+$P$3*(P136-$U$1)/$U$2)/(SUM($L$3:$P$3))</f>
        <v>-0.60993938888458676</v>
      </c>
      <c r="AL136" s="9">
        <f>($L$3*(Q136-$Q$1)/$Q$2+$M$3*(R136-$R$1)/$R$2+$N$3*(S136-$S$1)/$S$2+$O$3*(T136-$T$1)/$T$2+$P$3*(U136-$U$1)/$U$2)/(SUM($L$3:$P$3))</f>
        <v>-0.12428937902384372</v>
      </c>
      <c r="AM136">
        <f>IF(AVERAGE(AG136:AH136)&gt;9,1,0)+IF(AVERAGE(AG136:AH136)&gt;7,1,0)+IF(AG136&gt;7,1,0)+IF(AH136&gt;7,1,0)+IF(AI136&gt;8,1,0)+IF(AI136&gt;6,1,0)</f>
        <v>0</v>
      </c>
      <c r="AN136" s="6">
        <f>MIN(2,IF(OR(Y136="-",X136&lt;5),0,1+IF(Y136&gt;7,1+IF(X136&gt;7,0.25,0),IF(Y136&gt;4,0.5+IF(X136&gt;7,0.25,0),0+IF(X136&gt;7,0.25))))+IF(Z136="-",0,IF(Z136&gt;9,0.5,IF(Z136&gt;7,0.25,0)))+IF(AA136="-",0,IF(AA136&gt;7,1.1,IF(AA136&gt;4,0.6,0)))+IF(OR(AB136="-",V136&lt;5),0,IF(AB136&gt;7,1+IF(V136&gt;7,0.25,0),IF(AB136&gt;4,0.5+IF(V136&gt;7,0.25,0),0)))+IF(AC136="-",0,IF(AC136&gt;7,1.5,IF(AC136&gt;4,1,0)))+IF(AD136="-",0,IF(AD136&gt;9,0.5,IF(AD136&gt;7,0.25,0)))+IF(AE136="-",0,IF(AE136&gt;7,1.25,IF(AE136&gt;4,0.75,0)))+IF(OR(AF136="-",W136&lt;4),0,IF(AF136&gt;7,1+IF(W136&gt;7,0.15,0),IF(AF136&gt;4,0.5+IF(W136&gt;7,0.15,0),0))))</f>
        <v>1.5</v>
      </c>
      <c r="AO136" s="9">
        <f>($AK$3*AK136+$AL$3*AL136+$AM$3*AM136+$AN$3*AN136)+$J$3*VLOOKUP(J136,COND!$A$2:$C$7,2,FALSE)+$K$3*VLOOKUP(K136,COND!$A$2:$C$7,3,FALSE)</f>
        <v>9.847533512825418</v>
      </c>
      <c r="AP136" s="37">
        <f>STANDARDIZE(AO136,AVERAGE($AO$5:$AO$1295),STDEVP($AO$5:$AO$1295))</f>
        <v>-0.11377511461962422</v>
      </c>
      <c r="AQ136" t="str">
        <f>IF(AND(Y136&lt;&gt;"-",X136&gt;1),"C",IF(AA136=MAX(AA136:AC136),"2B",IF(AC136=MAX(AA136:AC136),"SS",IF(OR(AB136=MAX(Z136:AC136),AND(AB136&lt;&gt;"-",AB136&gt;4,V136&gt;5)),"3B",IF(AE136=MAX(AD136:AF136),"CF",IF(AND(AF136=MAX(AD136,AF136),AND(W136&gt;5,AD136&lt;&gt;"-")),"RF",IF(AD136&lt;&gt;"-","LF",IF(Z136&lt;&gt;"-","1B","DH"))))))))</f>
        <v>C</v>
      </c>
      <c r="AR136" t="s">
        <v>35</v>
      </c>
      <c r="AU136" t="str">
        <f>IF(AND($Q136&gt;=6,AVERAGE($S136:$T136)&gt;=6),"Likely",IF(OR($Q136&gt;6,AND($Q136=6,AVERAGE($S136:$T136)&gt;=3),AND($Q136&gt;=5,AVERAGE($S136:$T136)&gt;=5),AVERAGE($Q136,$S136:$T136)&gt;5),"Possible","Unlikely"))</f>
        <v>Unlikely</v>
      </c>
      <c r="AW136" t="str">
        <f>IF(VLOOKUP($B136,'Draft List'!$D$4:$AB$2598,AW$3,FALSE)&lt;&gt;0,VLOOKUP($B136,'Draft List'!$D$4:$AB$2598,AW$3,FALSE),"")</f>
        <v/>
      </c>
      <c r="AX136" t="str">
        <f>IF(VLOOKUP($B136,'Draft List'!$D$4:$AB$2598,AX$3,FALSE)&lt;&gt;0,VLOOKUP($B136,'Draft List'!$D$4:$AB$2598,AX$3,FALSE),"")</f>
        <v/>
      </c>
      <c r="AY136" t="str">
        <f>IF(VLOOKUP($B136,'Draft List'!$D$4:$AB$2598,AY$3,FALSE)&lt;&gt;0,VLOOKUP($B136,'Draft List'!$D$4:$AB$2598,AY$3,FALSE),"")</f>
        <v/>
      </c>
    </row>
    <row r="137" spans="1:51">
      <c r="A137" t="str">
        <f>IF(C137="C","C-",C137)&amp;D137&amp;E137</f>
        <v>2BWill Ellis18</v>
      </c>
      <c r="B137">
        <f>VLOOKUP($A137,draft_listing_batters_stats!$A$1:$B$1324,2,FALSE)</f>
        <v>34</v>
      </c>
      <c r="C137" s="1" t="s">
        <v>2069</v>
      </c>
      <c r="D137" s="1" t="s">
        <v>1490</v>
      </c>
      <c r="E137" s="1">
        <v>18</v>
      </c>
      <c r="F137" s="1" t="s">
        <v>2022</v>
      </c>
      <c r="G137" s="1" t="s">
        <v>2022</v>
      </c>
      <c r="H137" s="1" t="s">
        <v>2033</v>
      </c>
      <c r="I137" s="1" t="s">
        <v>2033</v>
      </c>
      <c r="J137" s="1" t="s">
        <v>2025</v>
      </c>
      <c r="K137" s="1" t="s">
        <v>2025</v>
      </c>
      <c r="L137" s="1">
        <v>1</v>
      </c>
      <c r="M137" s="1">
        <v>2</v>
      </c>
      <c r="N137" s="1">
        <v>1</v>
      </c>
      <c r="O137" s="1">
        <v>2</v>
      </c>
      <c r="P137" s="1">
        <v>1</v>
      </c>
      <c r="Q137" s="1">
        <v>5</v>
      </c>
      <c r="R137" s="1">
        <v>6</v>
      </c>
      <c r="S137" s="1">
        <v>2</v>
      </c>
      <c r="T137" s="1">
        <v>4</v>
      </c>
      <c r="U137" s="1">
        <v>4</v>
      </c>
      <c r="V137" s="1">
        <v>2</v>
      </c>
      <c r="W137" s="1">
        <v>2</v>
      </c>
      <c r="X137" s="1">
        <v>1</v>
      </c>
      <c r="Y137" s="1" t="s">
        <v>2027</v>
      </c>
      <c r="Z137" s="1" t="s">
        <v>2027</v>
      </c>
      <c r="AA137" s="1">
        <v>4</v>
      </c>
      <c r="AB137" s="1" t="s">
        <v>2027</v>
      </c>
      <c r="AC137" s="1" t="s">
        <v>2027</v>
      </c>
      <c r="AD137" s="1" t="s">
        <v>2027</v>
      </c>
      <c r="AE137" s="1" t="s">
        <v>2027</v>
      </c>
      <c r="AF137" s="1" t="s">
        <v>2027</v>
      </c>
      <c r="AG137" s="1">
        <v>8</v>
      </c>
      <c r="AH137" s="1">
        <v>9</v>
      </c>
      <c r="AI137" s="1">
        <v>10</v>
      </c>
      <c r="AJ137" s="52" t="s">
        <v>2029</v>
      </c>
      <c r="AK137" s="9">
        <f>($L$3*(L137-$Q$1)/$Q$2+$M$3*(M137-$R$1)/$R$2+$N$3*(N137-$S$1)/$S$2+$O$3*(O137-$T$1)/$T$2+$P$3*(P137-$U$1)/$U$2)/(SUM($L$3:$P$3))</f>
        <v>-1.9435739201992874</v>
      </c>
      <c r="AL137" s="9">
        <f>($L$3*(Q137-$Q$1)/$Q$2+$M$3*(R137-$R$1)/$R$2+$N$3*(S137-$S$1)/$S$2+$O$3*(T137-$T$1)/$T$2+$P$3*(U137-$U$1)/$U$2)/(SUM($L$3:$P$3))</f>
        <v>-6.6581443419460692E-2</v>
      </c>
      <c r="AM137">
        <f>IF(AVERAGE(AG137:AH137)&gt;9,1,0)+IF(AVERAGE(AG137:AH137)&gt;7,1,0)+IF(AG137&gt;7,1,0)+IF(AH137&gt;7,1,0)+IF(AI137&gt;8,1,0)+IF(AI137&gt;6,1,0)</f>
        <v>5</v>
      </c>
      <c r="AN137" s="6">
        <f>MIN(2,IF(OR(Y137="-",X137&lt;5),0,1+IF(Y137&gt;7,1+IF(X137&gt;7,0.25,0),IF(Y137&gt;4,0.5+IF(X137&gt;7,0.25,0),0+IF(X137&gt;7,0.25))))+IF(Z137="-",0,IF(Z137&gt;9,0.5,IF(Z137&gt;7,0.25,0)))+IF(AA137="-",0,IF(AA137&gt;7,1.1,IF(AA137&gt;4,0.6,0)))+IF(OR(AB137="-",V137&lt;5),0,IF(AB137&gt;7,1+IF(V137&gt;7,0.25,0),IF(AB137&gt;4,0.5+IF(V137&gt;7,0.25,0),0)))+IF(AC137="-",0,IF(AC137&gt;7,1.5,IF(AC137&gt;4,1,0)))+IF(AD137="-",0,IF(AD137&gt;9,0.5,IF(AD137&gt;7,0.25,0)))+IF(AE137="-",0,IF(AE137&gt;7,1.25,IF(AE137&gt;4,0.75,0)))+IF(OR(AF137="-",W137&lt;4),0,IF(AF137&gt;7,1+IF(W137&gt;7,0.15,0),IF(AF137&gt;4,0.5+IF(W137&gt;7,0.15,0),0))))</f>
        <v>0</v>
      </c>
      <c r="AO137" s="9">
        <f>($AK$3*AK137+$AL$3*AL137+$AM$3*AM137+$AN$3*AN137)+$J$3*VLOOKUP(J137,COND!$A$2:$C$7,2,FALSE)+$K$3*VLOOKUP(K137,COND!$A$2:$C$7,3,FALSE)</f>
        <v>9.839998620279875</v>
      </c>
      <c r="AP137" s="37">
        <f>STANDARDIZE(AO137,AVERAGE($AO$5:$AO$1295),STDEVP($AO$5:$AO$1295))</f>
        <v>-0.11482188941617116</v>
      </c>
      <c r="AQ137" t="str">
        <f>IF(AND(Y137&lt;&gt;"-",X137&gt;1),"C",IF(AA137=MAX(AA137:AC137),"2B",IF(AC137=MAX(AA137:AC137),"SS",IF(OR(AB137=MAX(Z137:AC137),AND(AB137&lt;&gt;"-",AB137&gt;4,V137&gt;5)),"3B",IF(AE137=MAX(AD137:AF137),"CF",IF(AND(AF137=MAX(AD137,AF137),AND(W137&gt;5,AD137&lt;&gt;"-")),"RF",IF(AD137&lt;&gt;"-","LF",IF(Z137&lt;&gt;"-","1B","DH"))))))))</f>
        <v>2B</v>
      </c>
      <c r="AR137" t="s">
        <v>35</v>
      </c>
      <c r="AU137" t="str">
        <f>IF(AND($Q137&gt;=6,AVERAGE($S137:$T137)&gt;=6),"Likely",IF(OR($Q137&gt;6,AND($Q137=6,AVERAGE($S137:$T137)&gt;=3),AND($Q137&gt;=5,AVERAGE($S137:$T137)&gt;=5),AVERAGE($Q137,$S137:$T137)&gt;5),"Possible","Unlikely"))</f>
        <v>Unlikely</v>
      </c>
      <c r="AW137" t="str">
        <f>IF(VLOOKUP($B137,'Draft List'!$D$4:$AB$2598,AW$3,FALSE)&lt;&gt;0,VLOOKUP($B137,'Draft List'!$D$4:$AB$2598,AW$3,FALSE),"")</f>
        <v/>
      </c>
      <c r="AX137" t="str">
        <f>IF(VLOOKUP($B137,'Draft List'!$D$4:$AB$2598,AX$3,FALSE)&lt;&gt;0,VLOOKUP($B137,'Draft List'!$D$4:$AB$2598,AX$3,FALSE),"")</f>
        <v/>
      </c>
      <c r="AY137" t="str">
        <f>IF(VLOOKUP($B137,'Draft List'!$D$4:$AB$2598,AY$3,FALSE)&lt;&gt;0,VLOOKUP($B137,'Draft List'!$D$4:$AB$2598,AY$3,FALSE),"")</f>
        <v/>
      </c>
    </row>
    <row r="138" spans="1:51">
      <c r="A138" t="str">
        <f>IF(C138="C","C-",C138)&amp;D138&amp;E138</f>
        <v>RFRonald Wheeler21</v>
      </c>
      <c r="B138">
        <f>VLOOKUP($A138,draft_listing_batters_stats!$A$1:$B$1324,2,FALSE)</f>
        <v>9060</v>
      </c>
      <c r="C138" s="1" t="s">
        <v>2057</v>
      </c>
      <c r="D138" s="1" t="s">
        <v>1253</v>
      </c>
      <c r="E138" s="1">
        <v>21</v>
      </c>
      <c r="F138" s="1" t="s">
        <v>2038</v>
      </c>
      <c r="G138" s="1" t="s">
        <v>2038</v>
      </c>
      <c r="H138" s="1" t="s">
        <v>2033</v>
      </c>
      <c r="I138" s="1" t="s">
        <v>2033</v>
      </c>
      <c r="J138" s="1" t="s">
        <v>2040</v>
      </c>
      <c r="K138" s="1" t="s">
        <v>2026</v>
      </c>
      <c r="L138" s="1">
        <v>4</v>
      </c>
      <c r="M138" s="1">
        <v>4</v>
      </c>
      <c r="N138" s="1">
        <v>1</v>
      </c>
      <c r="O138" s="1">
        <v>3</v>
      </c>
      <c r="P138" s="1">
        <v>4</v>
      </c>
      <c r="Q138" s="1">
        <v>5</v>
      </c>
      <c r="R138" s="1">
        <v>5</v>
      </c>
      <c r="S138" s="1">
        <v>4</v>
      </c>
      <c r="T138" s="1">
        <v>3</v>
      </c>
      <c r="U138" s="1">
        <v>6</v>
      </c>
      <c r="V138" s="1">
        <v>1</v>
      </c>
      <c r="W138" s="1">
        <v>5</v>
      </c>
      <c r="X138" s="1">
        <v>1</v>
      </c>
      <c r="Y138" s="1" t="s">
        <v>2027</v>
      </c>
      <c r="Z138" s="1" t="s">
        <v>2027</v>
      </c>
      <c r="AA138" s="1" t="s">
        <v>2027</v>
      </c>
      <c r="AB138" s="1" t="s">
        <v>2027</v>
      </c>
      <c r="AC138" s="1" t="s">
        <v>2027</v>
      </c>
      <c r="AD138" s="1">
        <v>3</v>
      </c>
      <c r="AE138" s="1" t="s">
        <v>2027</v>
      </c>
      <c r="AF138" s="1">
        <v>3</v>
      </c>
      <c r="AG138" s="1">
        <v>6</v>
      </c>
      <c r="AH138" s="1">
        <v>1</v>
      </c>
      <c r="AI138" s="1">
        <v>2</v>
      </c>
      <c r="AJ138" s="52" t="s">
        <v>2029</v>
      </c>
      <c r="AK138" s="9">
        <f>($L$3*(L138-$Q$1)/$Q$2+$M$3*(M138-$R$1)/$R$2+$N$3*(N138-$S$1)/$S$2+$O$3*(O138-$T$1)/$T$2+$P$3*(P138-$U$1)/$U$2)/(SUM($L$3:$P$3))</f>
        <v>-0.66402808289302484</v>
      </c>
      <c r="AL138" s="9">
        <f>($L$3*(Q138-$Q$1)/$Q$2+$M$3*(R138-$R$1)/$R$2+$N$3*(S138-$S$1)/$S$2+$O$3*(T138-$T$1)/$T$2+$P$3*(U138-$U$1)/$U$2)/(SUM($L$3:$P$3))</f>
        <v>3.8804794634224676E-2</v>
      </c>
      <c r="AM138">
        <f>IF(AVERAGE(AG138:AH138)&gt;9,1,0)+IF(AVERAGE(AG138:AH138)&gt;7,1,0)+IF(AG138&gt;7,1,0)+IF(AH138&gt;7,1,0)+IF(AI138&gt;8,1,0)+IF(AI138&gt;6,1,0)</f>
        <v>0</v>
      </c>
      <c r="AN138" s="6">
        <f>MIN(2,IF(OR(Y138="-",X138&lt;5),0,1+IF(Y138&gt;7,1+IF(X138&gt;7,0.25,0),IF(Y138&gt;4,0.5+IF(X138&gt;7,0.25,0),0+IF(X138&gt;7,0.25))))+IF(Z138="-",0,IF(Z138&gt;9,0.5,IF(Z138&gt;7,0.25,0)))+IF(AA138="-",0,IF(AA138&gt;7,1.1,IF(AA138&gt;4,0.6,0)))+IF(OR(AB138="-",V138&lt;5),0,IF(AB138&gt;7,1+IF(V138&gt;7,0.25,0),IF(AB138&gt;4,0.5+IF(V138&gt;7,0.25,0),0)))+IF(AC138="-",0,IF(AC138&gt;7,1.5,IF(AC138&gt;4,1,0)))+IF(AD138="-",0,IF(AD138&gt;9,0.5,IF(AD138&gt;7,0.25,0)))+IF(AE138="-",0,IF(AE138&gt;7,1.25,IF(AE138&gt;4,0.75,0)))+IF(OR(AF138="-",W138&lt;4),0,IF(AF138&gt;7,1+IF(W138&gt;7,0.15,0),IF(AF138&gt;4,0.5+IF(W138&gt;7,0.15,0),0))))</f>
        <v>0</v>
      </c>
      <c r="AO138" s="9">
        <f>($AK$3*AK138+$AL$3*AL138+$AM$3*AM138+$AN$3*AN138)+$J$3*VLOOKUP(J138,COND!$A$2:$C$7,2,FALSE)+$K$3*VLOOKUP(K138,COND!$A$2:$C$7,3,FALSE)</f>
        <v>9.7992547273213937</v>
      </c>
      <c r="AP138" s="37">
        <f>STANDARDIZE(AO138,AVERAGE($AO$5:$AO$1295),STDEVP($AO$5:$AO$1295))</f>
        <v>-0.12048217985884947</v>
      </c>
      <c r="AQ138" t="str">
        <f>IF(AND(Y138&lt;&gt;"-",X138&gt;1),"C",IF(AA138=MAX(AA138:AC138),"2B",IF(AC138=MAX(AA138:AC138),"SS",IF(OR(AB138=MAX(Z138:AC138),AND(AB138&lt;&gt;"-",AB138&gt;4,V138&gt;5)),"3B",IF(AE138=MAX(AD138:AF138),"CF",IF(AND(AF138=MAX(AD138,AF138),AND(W138&gt;5,AD138&lt;&gt;"-")),"RF",IF(AD138&lt;&gt;"-","LF",IF(Z138&lt;&gt;"-","1B","DH"))))))))</f>
        <v>LF</v>
      </c>
      <c r="AR138" t="s">
        <v>35</v>
      </c>
      <c r="AU138" t="str">
        <f>IF(AND($Q138&gt;=6,AVERAGE($S138:$T138)&gt;=6),"Likely",IF(OR($Q138&gt;6,AND($Q138=6,AVERAGE($S138:$T138)&gt;=3),AND($Q138&gt;=5,AVERAGE($S138:$T138)&gt;=5),AVERAGE($Q138,$S138:$T138)&gt;5),"Possible","Unlikely"))</f>
        <v>Unlikely</v>
      </c>
      <c r="AW138" t="str">
        <f>IF(VLOOKUP($B138,'Draft List'!$D$4:$AB$2598,AW$3,FALSE)&lt;&gt;0,VLOOKUP($B138,'Draft List'!$D$4:$AB$2598,AW$3,FALSE),"")</f>
        <v/>
      </c>
      <c r="AX138" t="str">
        <f>IF(VLOOKUP($B138,'Draft List'!$D$4:$AB$2598,AX$3,FALSE)&lt;&gt;0,VLOOKUP($B138,'Draft List'!$D$4:$AB$2598,AX$3,FALSE),"")</f>
        <v/>
      </c>
      <c r="AY138" t="str">
        <f>IF(VLOOKUP($B138,'Draft List'!$D$4:$AB$2598,AY$3,FALSE)&lt;&gt;0,VLOOKUP($B138,'Draft List'!$D$4:$AB$2598,AY$3,FALSE),"")</f>
        <v/>
      </c>
    </row>
    <row r="139" spans="1:51">
      <c r="A139" t="str">
        <f>IF(C139="C","C-",C139)&amp;D139&amp;E139</f>
        <v>RFMichael Smith18</v>
      </c>
      <c r="B139">
        <f>VLOOKUP($A139,draft_listing_batters_stats!$A$1:$B$1324,2,FALSE)</f>
        <v>13779</v>
      </c>
      <c r="C139" s="1" t="s">
        <v>2057</v>
      </c>
      <c r="D139" s="1" t="s">
        <v>1215</v>
      </c>
      <c r="E139" s="1">
        <v>18</v>
      </c>
      <c r="F139" s="1" t="s">
        <v>2038</v>
      </c>
      <c r="G139" s="1" t="s">
        <v>2038</v>
      </c>
      <c r="H139" s="1" t="s">
        <v>2033</v>
      </c>
      <c r="I139" s="1" t="s">
        <v>2033</v>
      </c>
      <c r="J139" s="1" t="s">
        <v>2030</v>
      </c>
      <c r="K139" s="1" t="s">
        <v>2036</v>
      </c>
      <c r="L139" s="1">
        <v>1</v>
      </c>
      <c r="M139" s="1">
        <v>3</v>
      </c>
      <c r="N139" s="1">
        <v>1</v>
      </c>
      <c r="O139" s="1">
        <v>1</v>
      </c>
      <c r="P139" s="1">
        <v>1</v>
      </c>
      <c r="Q139" s="1">
        <v>5</v>
      </c>
      <c r="R139" s="1">
        <v>5</v>
      </c>
      <c r="S139" s="1">
        <v>3</v>
      </c>
      <c r="T139" s="1">
        <v>3</v>
      </c>
      <c r="U139" s="1">
        <v>6</v>
      </c>
      <c r="V139" s="1">
        <v>1</v>
      </c>
      <c r="W139" s="1">
        <v>9</v>
      </c>
      <c r="X139" s="1">
        <v>1</v>
      </c>
      <c r="Y139" s="1" t="s">
        <v>2027</v>
      </c>
      <c r="Z139" s="1" t="s">
        <v>2027</v>
      </c>
      <c r="AA139" s="1" t="s">
        <v>2027</v>
      </c>
      <c r="AB139" s="1" t="s">
        <v>2027</v>
      </c>
      <c r="AC139" s="1" t="s">
        <v>2027</v>
      </c>
      <c r="AD139" s="1">
        <v>1</v>
      </c>
      <c r="AE139" s="1" t="s">
        <v>2027</v>
      </c>
      <c r="AF139" s="1">
        <v>1</v>
      </c>
      <c r="AG139" s="1">
        <v>4</v>
      </c>
      <c r="AH139" s="1">
        <v>6</v>
      </c>
      <c r="AI139" s="1">
        <v>7</v>
      </c>
      <c r="AJ139" s="52" t="s">
        <v>2029</v>
      </c>
      <c r="AK139" s="9">
        <f>($L$3*(L139-$Q$1)/$Q$2+$M$3*(M139-$R$1)/$R$2+$N$3*(N139-$S$1)/$S$2+$O$3*(O139-$T$1)/$T$2+$P$3*(P139-$U$1)/$U$2)/(SUM($L$3:$P$3))</f>
        <v>-1.9822235905901651</v>
      </c>
      <c r="AL139" s="9">
        <f>($L$3*(Q139-$Q$1)/$Q$2+$M$3*(R139-$R$1)/$R$2+$N$3*(S139-$S$1)/$S$2+$O$3*(T139-$T$1)/$T$2+$P$3*(U139-$U$1)/$U$2)/(SUM($L$3:$P$3))</f>
        <v>-4.4256699389676829E-2</v>
      </c>
      <c r="AM139">
        <f>IF(AVERAGE(AG139:AH139)&gt;9,1,0)+IF(AVERAGE(AG139:AH139)&gt;7,1,0)+IF(AG139&gt;7,1,0)+IF(AH139&gt;7,1,0)+IF(AI139&gt;8,1,0)+IF(AI139&gt;6,1,0)</f>
        <v>1</v>
      </c>
      <c r="AN139" s="6">
        <f>MIN(2,IF(OR(Y139="-",X139&lt;5),0,1+IF(Y139&gt;7,1+IF(X139&gt;7,0.25,0),IF(Y139&gt;4,0.5+IF(X139&gt;7,0.25,0),0+IF(X139&gt;7,0.25))))+IF(Z139="-",0,IF(Z139&gt;9,0.5,IF(Z139&gt;7,0.25,0)))+IF(AA139="-",0,IF(AA139&gt;7,1.1,IF(AA139&gt;4,0.6,0)))+IF(OR(AB139="-",V139&lt;5),0,IF(AB139&gt;7,1+IF(V139&gt;7,0.25,0),IF(AB139&gt;4,0.5+IF(V139&gt;7,0.25,0),0)))+IF(AC139="-",0,IF(AC139&gt;7,1.5,IF(AC139&gt;4,1,0)))+IF(AD139="-",0,IF(AD139&gt;9,0.5,IF(AD139&gt;7,0.25,0)))+IF(AE139="-",0,IF(AE139&gt;7,1.25,IF(AE139&gt;4,0.75,0)))+IF(OR(AF139="-",W139&lt;4),0,IF(AF139&gt;7,1+IF(W139&gt;7,0.15,0),IF(AF139&gt;4,0.5+IF(W139&gt;7,0.15,0),0))))</f>
        <v>0</v>
      </c>
      <c r="AO139" s="9">
        <f>($AK$3*AK139+$AL$3*AL139+$AM$3*AM139+$AN$3*AN139)+$J$3*VLOOKUP(J139,COND!$A$2:$C$7,2,FALSE)+$K$3*VLOOKUP(K139,COND!$A$2:$C$7,3,FALSE)</f>
        <v>9.7873639149315288</v>
      </c>
      <c r="AP139" s="37">
        <f>STANDARDIZE(AO139,AVERAGE($AO$5:$AO$1295),STDEVP($AO$5:$AO$1295))</f>
        <v>-0.12213409495185784</v>
      </c>
      <c r="AQ139" t="str">
        <f>IF(AND(Y139&lt;&gt;"-",X139&gt;1),"C",IF(AA139=MAX(AA139:AC139),"2B",IF(AC139=MAX(AA139:AC139),"SS",IF(OR(AB139=MAX(Z139:AC139),AND(AB139&lt;&gt;"-",AB139&gt;4,V139&gt;5)),"3B",IF(AE139=MAX(AD139:AF139),"CF",IF(AND(AF139=MAX(AD139,AF139),AND(W139&gt;5,AD139&lt;&gt;"-")),"RF",IF(AD139&lt;&gt;"-","LF",IF(Z139&lt;&gt;"-","1B","DH"))))))))</f>
        <v>RF</v>
      </c>
      <c r="AR139" t="s">
        <v>35</v>
      </c>
      <c r="AU139" t="str">
        <f>IF(AND($Q139&gt;=6,AVERAGE($S139:$T139)&gt;=6),"Likely",IF(OR($Q139&gt;6,AND($Q139=6,AVERAGE($S139:$T139)&gt;=3),AND($Q139&gt;=5,AVERAGE($S139:$T139)&gt;=5),AVERAGE($Q139,$S139:$T139)&gt;5),"Possible","Unlikely"))</f>
        <v>Unlikely</v>
      </c>
      <c r="AW139" t="str">
        <f>IF(VLOOKUP($B139,'Draft List'!$D$4:$AB$2598,AW$3,FALSE)&lt;&gt;0,VLOOKUP($B139,'Draft List'!$D$4:$AB$2598,AW$3,FALSE),"")</f>
        <v/>
      </c>
      <c r="AX139" t="str">
        <f>IF(VLOOKUP($B139,'Draft List'!$D$4:$AB$2598,AX$3,FALSE)&lt;&gt;0,VLOOKUP($B139,'Draft List'!$D$4:$AB$2598,AX$3,FALSE),"")</f>
        <v/>
      </c>
      <c r="AY139" t="str">
        <f>IF(VLOOKUP($B139,'Draft List'!$D$4:$AB$2598,AY$3,FALSE)&lt;&gt;0,VLOOKUP($B139,'Draft List'!$D$4:$AB$2598,AY$3,FALSE),"")</f>
        <v/>
      </c>
    </row>
    <row r="140" spans="1:51">
      <c r="A140" t="str">
        <f>IF(C140="C","C-",C140)&amp;D140&amp;E140</f>
        <v>2BRob Steele18</v>
      </c>
      <c r="B140">
        <f>VLOOKUP($A140,draft_listing_batters_stats!$A$1:$B$1324,2,FALSE)</f>
        <v>1137</v>
      </c>
      <c r="C140" s="1" t="s">
        <v>2069</v>
      </c>
      <c r="D140" s="1" t="s">
        <v>1222</v>
      </c>
      <c r="E140" s="1">
        <v>18</v>
      </c>
      <c r="F140" s="1" t="s">
        <v>2049</v>
      </c>
      <c r="G140" s="1" t="s">
        <v>2022</v>
      </c>
      <c r="H140" s="1" t="s">
        <v>2033</v>
      </c>
      <c r="I140" s="1" t="s">
        <v>2033</v>
      </c>
      <c r="J140" s="1" t="s">
        <v>2040</v>
      </c>
      <c r="K140" s="1" t="s">
        <v>2026</v>
      </c>
      <c r="L140" s="1">
        <v>1</v>
      </c>
      <c r="M140" s="1">
        <v>1</v>
      </c>
      <c r="N140" s="1">
        <v>1</v>
      </c>
      <c r="O140" s="1">
        <v>2</v>
      </c>
      <c r="P140" s="1">
        <v>1</v>
      </c>
      <c r="Q140" s="1">
        <v>5</v>
      </c>
      <c r="R140" s="1">
        <v>5</v>
      </c>
      <c r="S140" s="1">
        <v>1</v>
      </c>
      <c r="T140" s="1">
        <v>6</v>
      </c>
      <c r="U140" s="1">
        <v>5</v>
      </c>
      <c r="V140" s="1">
        <v>7</v>
      </c>
      <c r="W140" s="1">
        <v>2</v>
      </c>
      <c r="X140" s="1">
        <v>1</v>
      </c>
      <c r="Y140" s="1" t="s">
        <v>2027</v>
      </c>
      <c r="Z140" s="1">
        <v>4</v>
      </c>
      <c r="AA140" s="1">
        <v>3</v>
      </c>
      <c r="AB140" s="1">
        <v>1</v>
      </c>
      <c r="AC140" s="1">
        <v>1</v>
      </c>
      <c r="AD140" s="1" t="s">
        <v>2027</v>
      </c>
      <c r="AE140" s="1" t="s">
        <v>2027</v>
      </c>
      <c r="AF140" s="1" t="s">
        <v>2027</v>
      </c>
      <c r="AG140" s="1">
        <v>6</v>
      </c>
      <c r="AH140" s="1">
        <v>8</v>
      </c>
      <c r="AI140" s="1">
        <v>7</v>
      </c>
      <c r="AJ140" s="52">
        <v>2100000</v>
      </c>
      <c r="AK140" s="9">
        <f>($L$3*(L140-$Q$1)/$Q$2+$M$3*(M140-$R$1)/$R$2+$N$3*(N140-$S$1)/$S$2+$O$3*(O140-$T$1)/$T$2+$P$3*(P140-$U$1)/$U$2)/(SUM($L$3:$P$3))</f>
        <v>-1.994633799817991</v>
      </c>
      <c r="AL140" s="9">
        <f>($L$3*(Q140-$Q$1)/$Q$2+$M$3*(R140-$R$1)/$R$2+$N$3*(S140-$S$1)/$S$2+$O$3*(T140-$T$1)/$T$2+$P$3*(U140-$U$1)/$U$2)/(SUM($L$3:$P$3))</f>
        <v>1.873262277417986E-2</v>
      </c>
      <c r="AM140">
        <f>IF(AVERAGE(AG140:AH140)&gt;9,1,0)+IF(AVERAGE(AG140:AH140)&gt;7,1,0)+IF(AG140&gt;7,1,0)+IF(AH140&gt;7,1,0)+IF(AI140&gt;8,1,0)+IF(AI140&gt;6,1,0)</f>
        <v>2</v>
      </c>
      <c r="AN140" s="6">
        <f>MIN(2,IF(OR(Y140="-",X140&lt;5),0,1+IF(Y140&gt;7,1+IF(X140&gt;7,0.25,0),IF(Y140&gt;4,0.5+IF(X140&gt;7,0.25,0),0+IF(X140&gt;7,0.25))))+IF(Z140="-",0,IF(Z140&gt;9,0.5,IF(Z140&gt;7,0.25,0)))+IF(AA140="-",0,IF(AA140&gt;7,1.1,IF(AA140&gt;4,0.6,0)))+IF(OR(AB140="-",V140&lt;5),0,IF(AB140&gt;7,1+IF(V140&gt;7,0.25,0),IF(AB140&gt;4,0.5+IF(V140&gt;7,0.25,0),0)))+IF(AC140="-",0,IF(AC140&gt;7,1.5,IF(AC140&gt;4,1,0)))+IF(AD140="-",0,IF(AD140&gt;9,0.5,IF(AD140&gt;7,0.25,0)))+IF(AE140="-",0,IF(AE140&gt;7,1.25,IF(AE140&gt;4,0.75,0)))+IF(OR(AF140="-",W140&lt;4),0,IF(AF140&gt;7,1+IF(W140&gt;7,0.15,0),IF(AF140&gt;4,0.5+IF(W140&gt;7,0.15,0),0))))</f>
        <v>0</v>
      </c>
      <c r="AO140" s="9">
        <f>($AK$3*AK140+$AL$3*AL140+$AM$3*AM140+$AN$3*AN140)+$J$3*VLOOKUP(J140,COND!$A$2:$C$7,2,FALSE)+$K$3*VLOOKUP(K140,COND!$A$2:$C$7,3,FALSE)</f>
        <v>9.7586614266416927</v>
      </c>
      <c r="AP140" s="37">
        <f>STANDARDIZE(AO140,AVERAGE($AO$5:$AO$1295),STDEVP($AO$5:$AO$1295))</f>
        <v>-0.12612154947206286</v>
      </c>
      <c r="AQ140" t="str">
        <f>IF(AND(Y140&lt;&gt;"-",X140&gt;1),"C",IF(AA140=MAX(AA140:AC140),"2B",IF(AC140=MAX(AA140:AC140),"SS",IF(OR(AB140=MAX(Z140:AC140),AND(AB140&lt;&gt;"-",AB140&gt;4,V140&gt;5)),"3B",IF(AE140=MAX(AD140:AF140),"CF",IF(AND(AF140=MAX(AD140,AF140),AND(W140&gt;5,AD140&lt;&gt;"-")),"RF",IF(AD140&lt;&gt;"-","LF",IF(Z140&lt;&gt;"-","1B","DH"))))))))</f>
        <v>2B</v>
      </c>
      <c r="AR140" t="s">
        <v>35</v>
      </c>
      <c r="AT140" t="s">
        <v>155</v>
      </c>
      <c r="AU140" t="str">
        <f>IF(AND($Q140&gt;=6,AVERAGE($S140:$T140)&gt;=6),"Likely",IF(OR($Q140&gt;6,AND($Q140=6,AVERAGE($S140:$T140)&gt;=3),AND($Q140&gt;=5,AVERAGE($S140:$T140)&gt;=5),AVERAGE($Q140,$S140:$T140)&gt;5),"Possible","Unlikely"))</f>
        <v>Unlikely</v>
      </c>
      <c r="AW140" t="str">
        <f>IF(VLOOKUP($B140,'Draft List'!$D$4:$AB$2598,AW$3,FALSE)&lt;&gt;0,VLOOKUP($B140,'Draft List'!$D$4:$AB$2598,AW$3,FALSE),"")</f>
        <v/>
      </c>
      <c r="AX140" t="str">
        <f>IF(VLOOKUP($B140,'Draft List'!$D$4:$AB$2598,AX$3,FALSE)&lt;&gt;0,VLOOKUP($B140,'Draft List'!$D$4:$AB$2598,AX$3,FALSE),"")</f>
        <v/>
      </c>
      <c r="AY140" t="str">
        <f>IF(VLOOKUP($B140,'Draft List'!$D$4:$AB$2598,AY$3,FALSE)&lt;&gt;0,VLOOKUP($B140,'Draft List'!$D$4:$AB$2598,AY$3,FALSE),"")</f>
        <v/>
      </c>
    </row>
    <row r="141" spans="1:51">
      <c r="A141" t="str">
        <f>IF(C141="C","C-",C141)&amp;D141&amp;E141</f>
        <v>2BHoward Tucker18</v>
      </c>
      <c r="B141">
        <f>VLOOKUP($A141,draft_listing_batters_stats!$A$1:$B$1324,2,FALSE)</f>
        <v>13750</v>
      </c>
      <c r="C141" s="1" t="s">
        <v>2069</v>
      </c>
      <c r="D141" s="1" t="s">
        <v>1232</v>
      </c>
      <c r="E141" s="1">
        <v>18</v>
      </c>
      <c r="F141" s="1" t="s">
        <v>2022</v>
      </c>
      <c r="G141" s="1" t="s">
        <v>2022</v>
      </c>
      <c r="H141" s="1" t="s">
        <v>2033</v>
      </c>
      <c r="I141" s="1" t="s">
        <v>2033</v>
      </c>
      <c r="J141" s="1" t="s">
        <v>2026</v>
      </c>
      <c r="K141" s="1" t="s">
        <v>2025</v>
      </c>
      <c r="L141" s="1">
        <v>1</v>
      </c>
      <c r="M141" s="1">
        <v>2</v>
      </c>
      <c r="N141" s="1">
        <v>1</v>
      </c>
      <c r="O141" s="1">
        <v>2</v>
      </c>
      <c r="P141" s="1">
        <v>1</v>
      </c>
      <c r="Q141" s="1">
        <v>5</v>
      </c>
      <c r="R141" s="1">
        <v>4</v>
      </c>
      <c r="S141" s="1">
        <v>3</v>
      </c>
      <c r="T141" s="1">
        <v>5</v>
      </c>
      <c r="U141" s="1">
        <v>4</v>
      </c>
      <c r="V141" s="1">
        <v>9</v>
      </c>
      <c r="W141" s="1">
        <v>9</v>
      </c>
      <c r="X141" s="1">
        <v>1</v>
      </c>
      <c r="Y141" s="1" t="s">
        <v>2027</v>
      </c>
      <c r="Z141" s="1">
        <v>1</v>
      </c>
      <c r="AA141" s="1">
        <v>1</v>
      </c>
      <c r="AB141" s="1">
        <v>1</v>
      </c>
      <c r="AC141" s="1">
        <v>1</v>
      </c>
      <c r="AD141" s="1">
        <v>1</v>
      </c>
      <c r="AE141" s="1" t="s">
        <v>2027</v>
      </c>
      <c r="AF141" s="1" t="s">
        <v>2027</v>
      </c>
      <c r="AG141" s="1">
        <v>4</v>
      </c>
      <c r="AH141" s="1">
        <v>4</v>
      </c>
      <c r="AI141" s="1">
        <v>2</v>
      </c>
      <c r="AJ141" s="52" t="s">
        <v>2029</v>
      </c>
      <c r="AK141" s="9">
        <f>($L$3*(L141-$Q$1)/$Q$2+$M$3*(M141-$R$1)/$R$2+$N$3*(N141-$S$1)/$S$2+$O$3*(O141-$T$1)/$T$2+$P$3*(P141-$U$1)/$U$2)/(SUM($L$3:$P$3))</f>
        <v>-1.9435739201992874</v>
      </c>
      <c r="AL141" s="9">
        <f>($L$3*(Q141-$Q$1)/$Q$2+$M$3*(R141-$R$1)/$R$2+$N$3*(S141-$S$1)/$S$2+$O$3*(T141-$T$1)/$T$2+$P$3*(U141-$U$1)/$U$2)/(SUM($L$3:$P$3))</f>
        <v>4.0698413766148654E-3</v>
      </c>
      <c r="AM141">
        <f>IF(AVERAGE(AG141:AH141)&gt;9,1,0)+IF(AVERAGE(AG141:AH141)&gt;7,1,0)+IF(AG141&gt;7,1,0)+IF(AH141&gt;7,1,0)+IF(AI141&gt;8,1,0)+IF(AI141&gt;6,1,0)</f>
        <v>0</v>
      </c>
      <c r="AN141" s="6">
        <f>MIN(2,IF(OR(Y141="-",X141&lt;5),0,1+IF(Y141&gt;7,1+IF(X141&gt;7,0.25,0),IF(Y141&gt;4,0.5+IF(X141&gt;7,0.25,0),0+IF(X141&gt;7,0.25))))+IF(Z141="-",0,IF(Z141&gt;9,0.5,IF(Z141&gt;7,0.25,0)))+IF(AA141="-",0,IF(AA141&gt;7,1.1,IF(AA141&gt;4,0.6,0)))+IF(OR(AB141="-",V141&lt;5),0,IF(AB141&gt;7,1+IF(V141&gt;7,0.25,0),IF(AB141&gt;4,0.5+IF(V141&gt;7,0.25,0),0)))+IF(AC141="-",0,IF(AC141&gt;7,1.5,IF(AC141&gt;4,1,0)))+IF(AD141="-",0,IF(AD141&gt;9,0.5,IF(AD141&gt;7,0.25,0)))+IF(AE141="-",0,IF(AE141&gt;7,1.25,IF(AE141&gt;4,0.75,0)))+IF(OR(AF141="-",W141&lt;4),0,IF(AF141&gt;7,1+IF(W141&gt;7,0.15,0),IF(AF141&gt;4,0.5+IF(W141&gt;7,0.15,0),0))))</f>
        <v>0</v>
      </c>
      <c r="AO141" s="9">
        <f>($AK$3*AK141+$AL$3*AL141+$AM$3*AM141+$AN$3*AN141)+$J$3*VLOOKUP(J141,COND!$A$2:$C$7,2,FALSE)+$K$3*VLOOKUP(K141,COND!$A$2:$C$7,3,FALSE)</f>
        <v>9.7544807044994499</v>
      </c>
      <c r="AP141" s="37">
        <f>STANDARDIZE(AO141,AVERAGE($AO$5:$AO$1295),STDEVP($AO$5:$AO$1295))</f>
        <v>-0.12670235066377381</v>
      </c>
      <c r="AQ141" t="str">
        <f>IF(AND(Y141&lt;&gt;"-",X141&gt;1),"C",IF(AA141=MAX(AA141:AC141),"2B",IF(AC141=MAX(AA141:AC141),"SS",IF(OR(AB141=MAX(Z141:AC141),AND(AB141&lt;&gt;"-",AB141&gt;4,V141&gt;5)),"3B",IF(AE141=MAX(AD141:AF141),"CF",IF(AND(AF141=MAX(AD141,AF141),AND(W141&gt;5,AD141&lt;&gt;"-")),"RF",IF(AD141&lt;&gt;"-","LF",IF(Z141&lt;&gt;"-","1B","DH"))))))))</f>
        <v>2B</v>
      </c>
      <c r="AR141" t="s">
        <v>35</v>
      </c>
      <c r="AU141" t="str">
        <f>IF(AND($Q141&gt;=6,AVERAGE($S141:$T141)&gt;=6),"Likely",IF(OR($Q141&gt;6,AND($Q141=6,AVERAGE($S141:$T141)&gt;=3),AND($Q141&gt;=5,AVERAGE($S141:$T141)&gt;=5),AVERAGE($Q141,$S141:$T141)&gt;5),"Possible","Unlikely"))</f>
        <v>Unlikely</v>
      </c>
      <c r="AW141" t="e">
        <f>IF(VLOOKUP($B141,'Draft List'!$D$4:$AB$2598,AW$3,FALSE)&lt;&gt;0,VLOOKUP($B141,'Draft List'!$D$4:$AB$2598,AW$3,FALSE),"")</f>
        <v>#N/A</v>
      </c>
      <c r="AX141" t="e">
        <f>IF(VLOOKUP($B141,'Draft List'!$D$4:$AB$2598,AX$3,FALSE)&lt;&gt;0,VLOOKUP($B141,'Draft List'!$D$4:$AB$2598,AX$3,FALSE),"")</f>
        <v>#N/A</v>
      </c>
      <c r="AY141" t="e">
        <f>IF(VLOOKUP($B141,'Draft List'!$D$4:$AB$2598,AY$3,FALSE)&lt;&gt;0,VLOOKUP($B141,'Draft List'!$D$4:$AB$2598,AY$3,FALSE),"")</f>
        <v>#N/A</v>
      </c>
    </row>
    <row r="142" spans="1:51">
      <c r="A142" t="str">
        <f>IF(C142="C","C-",C142)&amp;D142&amp;E142</f>
        <v>1BSymão Alho18</v>
      </c>
      <c r="B142" t="e">
        <f>VLOOKUP($A142,draft_listing_batters_stats!$A$1:$B$1324,2,FALSE)</f>
        <v>#N/A</v>
      </c>
      <c r="C142" s="1" t="s">
        <v>2092</v>
      </c>
      <c r="D142" s="1" t="s">
        <v>1444</v>
      </c>
      <c r="E142" s="1">
        <v>18</v>
      </c>
      <c r="F142" s="1" t="s">
        <v>2038</v>
      </c>
      <c r="G142" s="1" t="s">
        <v>2038</v>
      </c>
      <c r="H142" s="1" t="s">
        <v>2033</v>
      </c>
      <c r="I142" s="1" t="s">
        <v>2033</v>
      </c>
      <c r="J142" s="1" t="s">
        <v>2040</v>
      </c>
      <c r="K142" s="1" t="s">
        <v>2036</v>
      </c>
      <c r="L142" s="1">
        <v>1</v>
      </c>
      <c r="M142" s="1">
        <v>2</v>
      </c>
      <c r="N142" s="1">
        <v>1</v>
      </c>
      <c r="O142" s="1">
        <v>1</v>
      </c>
      <c r="P142" s="1">
        <v>1</v>
      </c>
      <c r="Q142" s="1">
        <v>5</v>
      </c>
      <c r="R142" s="1">
        <v>5</v>
      </c>
      <c r="S142" s="1">
        <v>4</v>
      </c>
      <c r="T142" s="1">
        <v>3</v>
      </c>
      <c r="U142" s="1">
        <v>5</v>
      </c>
      <c r="V142" s="1">
        <v>1</v>
      </c>
      <c r="W142" s="1">
        <v>6</v>
      </c>
      <c r="X142" s="1">
        <v>1</v>
      </c>
      <c r="Y142" s="1" t="s">
        <v>2027</v>
      </c>
      <c r="Z142" s="1">
        <v>1</v>
      </c>
      <c r="AA142" s="1" t="s">
        <v>2027</v>
      </c>
      <c r="AB142" s="1" t="s">
        <v>2027</v>
      </c>
      <c r="AC142" s="1" t="s">
        <v>2027</v>
      </c>
      <c r="AD142" s="1">
        <v>1</v>
      </c>
      <c r="AE142" s="1">
        <v>1</v>
      </c>
      <c r="AF142" s="1">
        <v>1</v>
      </c>
      <c r="AG142" s="1">
        <v>4</v>
      </c>
      <c r="AH142" s="1">
        <v>8</v>
      </c>
      <c r="AI142" s="1">
        <v>5</v>
      </c>
      <c r="AJ142" s="52" t="s">
        <v>2029</v>
      </c>
      <c r="AK142" s="9">
        <f>($L$3*(L142-$Q$1)/$Q$2+$M$3*(M142-$R$1)/$R$2+$N$3*(N142-$S$1)/$S$2+$O$3*(O142-$T$1)/$T$2+$P$3*(P142-$U$1)/$U$2)/(SUM($L$3:$P$3))</f>
        <v>-2.0332834702088682</v>
      </c>
      <c r="AL142" s="9">
        <f>($L$3*(Q142-$Q$1)/$Q$2+$M$3*(R142-$R$1)/$R$2+$N$3*(S142-$S$1)/$S$2+$O$3*(T142-$T$1)/$T$2+$P$3*(U142-$U$1)/$U$2)/(SUM($L$3:$P$3))</f>
        <v>-1.2115451828587696E-3</v>
      </c>
      <c r="AM142">
        <f>IF(AVERAGE(AG142:AH142)&gt;9,1,0)+IF(AVERAGE(AG142:AH142)&gt;7,1,0)+IF(AG142&gt;7,1,0)+IF(AH142&gt;7,1,0)+IF(AI142&gt;8,1,0)+IF(AI142&gt;6,1,0)</f>
        <v>1</v>
      </c>
      <c r="AN142" s="6">
        <f>MIN(2,IF(OR(Y142="-",X142&lt;5),0,1+IF(Y142&gt;7,1+IF(X142&gt;7,0.25,0),IF(Y142&gt;4,0.5+IF(X142&gt;7,0.25,0),0+IF(X142&gt;7,0.25))))+IF(Z142="-",0,IF(Z142&gt;9,0.5,IF(Z142&gt;7,0.25,0)))+IF(AA142="-",0,IF(AA142&gt;7,1.1,IF(AA142&gt;4,0.6,0)))+IF(OR(AB142="-",V142&lt;5),0,IF(AB142&gt;7,1+IF(V142&gt;7,0.25,0),IF(AB142&gt;4,0.5+IF(V142&gt;7,0.25,0),0)))+IF(AC142="-",0,IF(AC142&gt;7,1.5,IF(AC142&gt;4,1,0)))+IF(AD142="-",0,IF(AD142&gt;9,0.5,IF(AD142&gt;7,0.25,0)))+IF(AE142="-",0,IF(AE142&gt;7,1.25,IF(AE142&gt;4,0.75,0)))+IF(OR(AF142="-",W142&lt;4),0,IF(AF142&gt;7,1+IF(W142&gt;7,0.15,0),IF(AF142&gt;4,0.5+IF(W142&gt;7,0.15,0),0))))</f>
        <v>0</v>
      </c>
      <c r="AO142" s="9">
        <f>($AK$3*AK142+$AL$3*AL142+$AM$3*AM142+$AN$3*AN142)+$J$3*VLOOKUP(J142,COND!$A$2:$C$7,2,FALSE)+$K$3*VLOOKUP(K142,COND!$A$2:$C$7,3,FALSE)</f>
        <v>9.6987997774514749</v>
      </c>
      <c r="AP142" s="37">
        <f>STANDARDIZE(AO142,AVERAGE($AO$5:$AO$1295),STDEVP($AO$5:$AO$1295))</f>
        <v>-0.13443774844548023</v>
      </c>
      <c r="AQ142" t="str">
        <f>IF(AND(Y142&lt;&gt;"-",X142&gt;1),"C",IF(AA142=MAX(AA142:AC142),"2B",IF(AC142=MAX(AA142:AC142),"SS",IF(OR(AB142=MAX(Z142:AC142),AND(AB142&lt;&gt;"-",AB142&gt;4,V142&gt;5)),"3B",IF(AE142=MAX(AD142:AF142),"CF",IF(AND(AF142=MAX(AD142,AF142),AND(W142&gt;5,AD142&lt;&gt;"-")),"RF",IF(AD142&lt;&gt;"-","LF",IF(Z142&lt;&gt;"-","1B","DH"))))))))</f>
        <v>CF</v>
      </c>
      <c r="AR142" t="s">
        <v>35</v>
      </c>
      <c r="AU142" t="str">
        <f>IF(AND($Q142&gt;=6,AVERAGE($S142:$T142)&gt;=6),"Likely",IF(OR($Q142&gt;6,AND($Q142=6,AVERAGE($S142:$T142)&gt;=3),AND($Q142&gt;=5,AVERAGE($S142:$T142)&gt;=5),AVERAGE($Q142,$S142:$T142)&gt;5),"Possible","Unlikely"))</f>
        <v>Unlikely</v>
      </c>
      <c r="AW142" t="e">
        <f>IF(VLOOKUP($B142,'Draft List'!$D$4:$AB$2598,AW$3,FALSE)&lt;&gt;0,VLOOKUP($B142,'Draft List'!$D$4:$AB$2598,AW$3,FALSE),"")</f>
        <v>#N/A</v>
      </c>
      <c r="AX142" t="e">
        <f>IF(VLOOKUP($B142,'Draft List'!$D$4:$AB$2598,AX$3,FALSE)&lt;&gt;0,VLOOKUP($B142,'Draft List'!$D$4:$AB$2598,AX$3,FALSE),"")</f>
        <v>#N/A</v>
      </c>
      <c r="AY142" t="e">
        <f>IF(VLOOKUP($B142,'Draft List'!$D$4:$AB$2598,AY$3,FALSE)&lt;&gt;0,VLOOKUP($B142,'Draft List'!$D$4:$AB$2598,AY$3,FALSE),"")</f>
        <v>#N/A</v>
      </c>
    </row>
    <row r="143" spans="1:51">
      <c r="A143" t="str">
        <f>IF(C143="C","C-",C143)&amp;D143&amp;E143</f>
        <v>CFEvan Snyder21</v>
      </c>
      <c r="B143">
        <f>VLOOKUP($A143,draft_listing_batters_stats!$A$1:$B$1324,2,FALSE)</f>
        <v>3703</v>
      </c>
      <c r="C143" s="1" t="s">
        <v>2079</v>
      </c>
      <c r="D143" s="1" t="s">
        <v>1219</v>
      </c>
      <c r="E143" s="1">
        <v>21</v>
      </c>
      <c r="F143" s="1" t="s">
        <v>2022</v>
      </c>
      <c r="G143" s="1" t="s">
        <v>2022</v>
      </c>
      <c r="H143" s="1" t="s">
        <v>2033</v>
      </c>
      <c r="I143" s="1" t="s">
        <v>2033</v>
      </c>
      <c r="J143" s="1" t="s">
        <v>2040</v>
      </c>
      <c r="K143" s="1" t="s">
        <v>2040</v>
      </c>
      <c r="L143" s="1">
        <v>3</v>
      </c>
      <c r="M143" s="1">
        <v>3</v>
      </c>
      <c r="N143" s="1">
        <v>1</v>
      </c>
      <c r="O143" s="1">
        <v>2</v>
      </c>
      <c r="P143" s="1">
        <v>2</v>
      </c>
      <c r="Q143" s="1">
        <v>5</v>
      </c>
      <c r="R143" s="1">
        <v>6</v>
      </c>
      <c r="S143" s="1">
        <v>2</v>
      </c>
      <c r="T143" s="1">
        <v>4</v>
      </c>
      <c r="U143" s="1">
        <v>4</v>
      </c>
      <c r="V143" s="1">
        <v>4</v>
      </c>
      <c r="W143" s="1">
        <v>5</v>
      </c>
      <c r="X143" s="1">
        <v>1</v>
      </c>
      <c r="Y143" s="1" t="s">
        <v>2027</v>
      </c>
      <c r="Z143" s="1" t="s">
        <v>2027</v>
      </c>
      <c r="AA143" s="1" t="s">
        <v>2027</v>
      </c>
      <c r="AB143" s="1" t="s">
        <v>2027</v>
      </c>
      <c r="AC143" s="1" t="s">
        <v>2027</v>
      </c>
      <c r="AD143" s="1">
        <v>6</v>
      </c>
      <c r="AE143" s="1">
        <v>5</v>
      </c>
      <c r="AF143" s="1">
        <v>4</v>
      </c>
      <c r="AG143" s="1">
        <v>8</v>
      </c>
      <c r="AH143" s="1">
        <v>10</v>
      </c>
      <c r="AI143" s="1">
        <v>10</v>
      </c>
      <c r="AJ143" s="52" t="s">
        <v>2029</v>
      </c>
      <c r="AK143" s="9">
        <f>($L$3*(L143-$Q$1)/$Q$2+$M$3*(M143-$R$1)/$R$2+$N$3*(N143-$S$1)/$S$2+$O$3*(O143-$T$1)/$T$2+$P$3*(P143-$U$1)/$U$2)/(SUM($L$3:$P$3))</f>
        <v>-1.207386028358151</v>
      </c>
      <c r="AL143" s="9">
        <f>($L$3*(Q143-$Q$1)/$Q$2+$M$3*(R143-$R$1)/$R$2+$N$3*(S143-$S$1)/$S$2+$O$3*(T143-$T$1)/$T$2+$P$3*(U143-$U$1)/$U$2)/(SUM($L$3:$P$3))</f>
        <v>-6.6581443419460692E-2</v>
      </c>
      <c r="AM143">
        <f>IF(AVERAGE(AG143:AH143)&gt;9,1,0)+IF(AVERAGE(AG143:AH143)&gt;7,1,0)+IF(AG143&gt;7,1,0)+IF(AH143&gt;7,1,0)+IF(AI143&gt;8,1,0)+IF(AI143&gt;6,1,0)</f>
        <v>5</v>
      </c>
      <c r="AN143" s="6">
        <f>MIN(2,IF(OR(Y143="-",X143&lt;5),0,1+IF(Y143&gt;7,1+IF(X143&gt;7,0.25,0),IF(Y143&gt;4,0.5+IF(X143&gt;7,0.25,0),0+IF(X143&gt;7,0.25))))+IF(Z143="-",0,IF(Z143&gt;9,0.5,IF(Z143&gt;7,0.25,0)))+IF(AA143="-",0,IF(AA143&gt;7,1.1,IF(AA143&gt;4,0.6,0)))+IF(OR(AB143="-",V143&lt;5),0,IF(AB143&gt;7,1+IF(V143&gt;7,0.25,0),IF(AB143&gt;4,0.5+IF(V143&gt;7,0.25,0),0)))+IF(AC143="-",0,IF(AC143&gt;7,1.5,IF(AC143&gt;4,1,0)))+IF(AD143="-",0,IF(AD143&gt;9,0.5,IF(AD143&gt;7,0.25,0)))+IF(AE143="-",0,IF(AE143&gt;7,1.25,IF(AE143&gt;4,0.75,0)))+IF(OR(AF143="-",W143&lt;4),0,IF(AF143&gt;7,1+IF(W143&gt;7,0.15,0),IF(AF143&gt;4,0.5+IF(W143&gt;7,0.15,0),0))))</f>
        <v>0.75</v>
      </c>
      <c r="AO143" s="9">
        <f>($AK$3*AK143+$AL$3*AL143+$AM$3*AM143+$AN$3*AN143)+$J$3*VLOOKUP(J143,COND!$A$2:$C$7,2,FALSE)+$K$3*VLOOKUP(K143,COND!$A$2:$C$7,3,FALSE)</f>
        <v>9.6636174094639902</v>
      </c>
      <c r="AP143" s="37">
        <f>STANDARDIZE(AO143,AVERAGE($AO$5:$AO$1295),STDEVP($AO$5:$AO$1295))</f>
        <v>-0.13932541152355871</v>
      </c>
      <c r="AQ143" t="str">
        <f>IF(AND(Y143&lt;&gt;"-",X143&gt;1),"C",IF(AA143=MAX(AA143:AC143),"2B",IF(AC143=MAX(AA143:AC143),"SS",IF(OR(AB143=MAX(Z143:AC143),AND(AB143&lt;&gt;"-",AB143&gt;4,V143&gt;5)),"3B",IF(AE143=MAX(AD143:AF143),"CF",IF(AND(AF143=MAX(AD143,AF143),AND(W143&gt;5,AD143&lt;&gt;"-")),"RF",IF(AD143&lt;&gt;"-","LF",IF(Z143&lt;&gt;"-","1B","DH"))))))))</f>
        <v>LF</v>
      </c>
      <c r="AR143" t="s">
        <v>35</v>
      </c>
      <c r="AU143" t="str">
        <f>IF(AND($Q143&gt;=6,AVERAGE($S143:$T143)&gt;=6),"Likely",IF(OR($Q143&gt;6,AND($Q143=6,AVERAGE($S143:$T143)&gt;=3),AND($Q143&gt;=5,AVERAGE($S143:$T143)&gt;=5),AVERAGE($Q143,$S143:$T143)&gt;5),"Possible","Unlikely"))</f>
        <v>Unlikely</v>
      </c>
      <c r="AW143" t="str">
        <f>IF(VLOOKUP($B143,'Draft List'!$D$4:$AB$2598,AW$3,FALSE)&lt;&gt;0,VLOOKUP($B143,'Draft List'!$D$4:$AB$2598,AW$3,FALSE),"")</f>
        <v/>
      </c>
      <c r="AX143" t="str">
        <f>IF(VLOOKUP($B143,'Draft List'!$D$4:$AB$2598,AX$3,FALSE)&lt;&gt;0,VLOOKUP($B143,'Draft List'!$D$4:$AB$2598,AX$3,FALSE),"")</f>
        <v/>
      </c>
      <c r="AY143" t="str">
        <f>IF(VLOOKUP($B143,'Draft List'!$D$4:$AB$2598,AY$3,FALSE)&lt;&gt;0,VLOOKUP($B143,'Draft List'!$D$4:$AB$2598,AY$3,FALSE),"")</f>
        <v/>
      </c>
    </row>
    <row r="144" spans="1:51">
      <c r="A144" t="str">
        <f>IF(C144="C","C-",C144)&amp;D144&amp;E144</f>
        <v>LFEd Lindquist21</v>
      </c>
      <c r="B144">
        <f>VLOOKUP($A144,draft_listing_batters_stats!$A$1:$B$1324,2,FALSE)</f>
        <v>3087</v>
      </c>
      <c r="C144" s="1" t="s">
        <v>2035</v>
      </c>
      <c r="D144" s="1" t="s">
        <v>1346</v>
      </c>
      <c r="E144" s="1">
        <v>21</v>
      </c>
      <c r="F144" s="1" t="s">
        <v>2038</v>
      </c>
      <c r="G144" s="1" t="s">
        <v>2038</v>
      </c>
      <c r="H144" s="1" t="s">
        <v>2033</v>
      </c>
      <c r="I144" s="1" t="s">
        <v>2033</v>
      </c>
      <c r="J144" s="1" t="s">
        <v>2030</v>
      </c>
      <c r="K144" s="1" t="s">
        <v>2030</v>
      </c>
      <c r="L144" s="1">
        <v>4</v>
      </c>
      <c r="M144" s="1">
        <v>5</v>
      </c>
      <c r="N144" s="1">
        <v>3</v>
      </c>
      <c r="O144" s="1">
        <v>2</v>
      </c>
      <c r="P144" s="1">
        <v>2</v>
      </c>
      <c r="Q144" s="1">
        <v>5</v>
      </c>
      <c r="R144" s="1">
        <v>5</v>
      </c>
      <c r="S144" s="1">
        <v>4</v>
      </c>
      <c r="T144" s="1">
        <v>3</v>
      </c>
      <c r="U144" s="1">
        <v>4</v>
      </c>
      <c r="V144" s="1">
        <v>1</v>
      </c>
      <c r="W144" s="1">
        <v>8</v>
      </c>
      <c r="X144" s="1">
        <v>1</v>
      </c>
      <c r="Y144" s="1" t="s">
        <v>2027</v>
      </c>
      <c r="Z144" s="1">
        <v>1</v>
      </c>
      <c r="AA144" s="1" t="s">
        <v>2027</v>
      </c>
      <c r="AB144" s="1" t="s">
        <v>2027</v>
      </c>
      <c r="AC144" s="1" t="s">
        <v>2027</v>
      </c>
      <c r="AD144" s="1">
        <v>6</v>
      </c>
      <c r="AE144" s="1" t="s">
        <v>2027</v>
      </c>
      <c r="AF144" s="1">
        <v>4</v>
      </c>
      <c r="AG144" s="1">
        <v>6</v>
      </c>
      <c r="AH144" s="1">
        <v>4</v>
      </c>
      <c r="AI144" s="1">
        <v>4</v>
      </c>
      <c r="AJ144" s="52" t="s">
        <v>2029</v>
      </c>
      <c r="AK144" s="9">
        <f>($L$3*(L144-$Q$1)/$Q$2+$M$3*(M144-$R$1)/$R$2+$N$3*(N144-$S$1)/$S$2+$O$3*(O144-$T$1)/$T$2+$P$3*(P144-$U$1)/$U$2)/(SUM($L$3:$P$3))</f>
        <v>-0.61658744487026629</v>
      </c>
      <c r="AL144" s="9">
        <f>($L$3*(Q144-$Q$1)/$Q$2+$M$3*(R144-$R$1)/$R$2+$N$3*(S144-$S$1)/$S$2+$O$3*(T144-$T$1)/$T$2+$P$3*(U144-$U$1)/$U$2)/(SUM($L$3:$P$3))</f>
        <v>-4.1227884999942219E-2</v>
      </c>
      <c r="AM144">
        <f>IF(AVERAGE(AG144:AH144)&gt;9,1,0)+IF(AVERAGE(AG144:AH144)&gt;7,1,0)+IF(AG144&gt;7,1,0)+IF(AH144&gt;7,1,0)+IF(AI144&gt;8,1,0)+IF(AI144&gt;6,1,0)</f>
        <v>0</v>
      </c>
      <c r="AN144" s="6">
        <f>MIN(2,IF(OR(Y144="-",X144&lt;5),0,1+IF(Y144&gt;7,1+IF(X144&gt;7,0.25,0),IF(Y144&gt;4,0.5+IF(X144&gt;7,0.25,0),0+IF(X144&gt;7,0.25))))+IF(Z144="-",0,IF(Z144&gt;9,0.5,IF(Z144&gt;7,0.25,0)))+IF(AA144="-",0,IF(AA144&gt;7,1.1,IF(AA144&gt;4,0.6,0)))+IF(OR(AB144="-",V144&lt;5),0,IF(AB144&gt;7,1+IF(V144&gt;7,0.25,0),IF(AB144&gt;4,0.5+IF(V144&gt;7,0.25,0),0)))+IF(AC144="-",0,IF(AC144&gt;7,1.5,IF(AC144&gt;4,1,0)))+IF(AD144="-",0,IF(AD144&gt;9,0.5,IF(AD144&gt;7,0.25,0)))+IF(AE144="-",0,IF(AE144&gt;7,1.25,IF(AE144&gt;4,0.75,0)))+IF(OR(AF144="-",W144&lt;4),0,IF(AF144&gt;7,1+IF(W144&gt;7,0.15,0),IF(AF144&gt;4,0.5+IF(W144&gt;7,0.15,0),0))))</f>
        <v>0</v>
      </c>
      <c r="AO144" s="9">
        <f>($AK$3*AK144+$AL$3*AL144+$AM$3*AM144+$AN$3*AN144)+$J$3*VLOOKUP(J144,COND!$A$2:$C$7,2,FALSE)+$K$3*VLOOKUP(K144,COND!$A$2:$C$7,3,FALSE)</f>
        <v>9.6436066355136667</v>
      </c>
      <c r="AP144" s="37">
        <f>STANDARDIZE(AO144,AVERAGE($AO$5:$AO$1295),STDEVP($AO$5:$AO$1295))</f>
        <v>-0.14210538133785783</v>
      </c>
      <c r="AQ144" t="str">
        <f>IF(AND(Y144&lt;&gt;"-",X144&gt;1),"C",IF(AA144=MAX(AA144:AC144),"2B",IF(AC144=MAX(AA144:AC144),"SS",IF(OR(AB144=MAX(Z144:AC144),AND(AB144&lt;&gt;"-",AB144&gt;4,V144&gt;5)),"3B",IF(AE144=MAX(AD144:AF144),"CF",IF(AND(AF144=MAX(AD144,AF144),AND(W144&gt;5,AD144&lt;&gt;"-")),"RF",IF(AD144&lt;&gt;"-","LF",IF(Z144&lt;&gt;"-","1B","DH"))))))))</f>
        <v>LF</v>
      </c>
      <c r="AR144" t="s">
        <v>35</v>
      </c>
      <c r="AU144" t="str">
        <f>IF(AND($Q144&gt;=6,AVERAGE($S144:$T144)&gt;=6),"Likely",IF(OR($Q144&gt;6,AND($Q144=6,AVERAGE($S144:$T144)&gt;=3),AND($Q144&gt;=5,AVERAGE($S144:$T144)&gt;=5),AVERAGE($Q144,$S144:$T144)&gt;5),"Possible","Unlikely"))</f>
        <v>Unlikely</v>
      </c>
      <c r="AW144" t="str">
        <f>IF(VLOOKUP($B144,'Draft List'!$D$4:$AB$2598,AW$3,FALSE)&lt;&gt;0,VLOOKUP($B144,'Draft List'!$D$4:$AB$2598,AW$3,FALSE),"")</f>
        <v/>
      </c>
      <c r="AX144" t="str">
        <f>IF(VLOOKUP($B144,'Draft List'!$D$4:$AB$2598,AX$3,FALSE)&lt;&gt;0,VLOOKUP($B144,'Draft List'!$D$4:$AB$2598,AX$3,FALSE),"")</f>
        <v/>
      </c>
      <c r="AY144" t="str">
        <f>IF(VLOOKUP($B144,'Draft List'!$D$4:$AB$2598,AY$3,FALSE)&lt;&gt;0,VLOOKUP($B144,'Draft List'!$D$4:$AB$2598,AY$3,FALSE),"")</f>
        <v/>
      </c>
    </row>
    <row r="145" spans="1:51">
      <c r="A145" t="str">
        <f>IF(C145="C","C-",C145)&amp;D145&amp;E145</f>
        <v>LFNoritoshi Rin21</v>
      </c>
      <c r="B145">
        <f>VLOOKUP($A145,draft_listing_batters_stats!$A$1:$B$1324,2,FALSE)</f>
        <v>3521</v>
      </c>
      <c r="C145" s="1" t="s">
        <v>2035</v>
      </c>
      <c r="D145" s="1" t="s">
        <v>1201</v>
      </c>
      <c r="E145" s="1">
        <v>21</v>
      </c>
      <c r="F145" s="1" t="s">
        <v>2038</v>
      </c>
      <c r="G145" s="1" t="s">
        <v>2022</v>
      </c>
      <c r="H145" s="1" t="s">
        <v>2033</v>
      </c>
      <c r="I145" s="1" t="s">
        <v>2033</v>
      </c>
      <c r="J145" s="1" t="s">
        <v>2025</v>
      </c>
      <c r="K145" s="1" t="s">
        <v>2025</v>
      </c>
      <c r="L145" s="1">
        <v>4</v>
      </c>
      <c r="M145" s="1">
        <v>4</v>
      </c>
      <c r="N145" s="1">
        <v>2</v>
      </c>
      <c r="O145" s="1">
        <v>2</v>
      </c>
      <c r="P145" s="1">
        <v>2</v>
      </c>
      <c r="Q145" s="1">
        <v>5</v>
      </c>
      <c r="R145" s="1">
        <v>7</v>
      </c>
      <c r="S145" s="1">
        <v>2</v>
      </c>
      <c r="T145" s="1">
        <v>3</v>
      </c>
      <c r="U145" s="1">
        <v>5</v>
      </c>
      <c r="V145" s="1">
        <v>1</v>
      </c>
      <c r="W145" s="1">
        <v>8</v>
      </c>
      <c r="X145" s="1">
        <v>1</v>
      </c>
      <c r="Y145" s="1" t="s">
        <v>2027</v>
      </c>
      <c r="Z145" s="1">
        <v>1</v>
      </c>
      <c r="AA145" s="1" t="s">
        <v>2027</v>
      </c>
      <c r="AB145" s="1" t="s">
        <v>2027</v>
      </c>
      <c r="AC145" s="1" t="s">
        <v>2027</v>
      </c>
      <c r="AD145" s="1">
        <v>6</v>
      </c>
      <c r="AE145" s="1">
        <v>1</v>
      </c>
      <c r="AF145" s="1">
        <v>4</v>
      </c>
      <c r="AG145" s="1">
        <v>6</v>
      </c>
      <c r="AH145" s="1">
        <v>9</v>
      </c>
      <c r="AI145" s="1">
        <v>8</v>
      </c>
      <c r="AJ145" s="52" t="s">
        <v>2029</v>
      </c>
      <c r="AK145" s="9">
        <f>($L$3*(L145-$Q$1)/$Q$2+$M$3*(M145-$R$1)/$R$2+$N$3*(N145-$S$1)/$S$2+$O$3*(O145-$T$1)/$T$2+$P$3*(P145-$U$1)/$U$2)/(SUM($L$3:$P$3))</f>
        <v>-0.75070881851287141</v>
      </c>
      <c r="AL145" s="9">
        <f>($L$3*(Q145-$Q$1)/$Q$2+$M$3*(R145-$R$1)/$R$2+$N$3*(S145-$S$1)/$S$2+$O$3*(T145-$T$1)/$T$2+$P$3*(U145-$U$1)/$U$2)/(SUM($L$3:$P$3))</f>
        <v>-6.5214773993254802E-2</v>
      </c>
      <c r="AM145">
        <f>IF(AVERAGE(AG145:AH145)&gt;9,1,0)+IF(AVERAGE(AG145:AH145)&gt;7,1,0)+IF(AG145&gt;7,1,0)+IF(AH145&gt;7,1,0)+IF(AI145&gt;8,1,0)+IF(AI145&gt;6,1,0)</f>
        <v>3</v>
      </c>
      <c r="AN145" s="6">
        <f>MIN(2,IF(OR(Y145="-",X145&lt;5),0,1+IF(Y145&gt;7,1+IF(X145&gt;7,0.25,0),IF(Y145&gt;4,0.5+IF(X145&gt;7,0.25,0),0+IF(X145&gt;7,0.25))))+IF(Z145="-",0,IF(Z145&gt;9,0.5,IF(Z145&gt;7,0.25,0)))+IF(AA145="-",0,IF(AA145&gt;7,1.1,IF(AA145&gt;4,0.6,0)))+IF(OR(AB145="-",V145&lt;5),0,IF(AB145&gt;7,1+IF(V145&gt;7,0.25,0),IF(AB145&gt;4,0.5+IF(V145&gt;7,0.25,0),0)))+IF(AC145="-",0,IF(AC145&gt;7,1.5,IF(AC145&gt;4,1,0)))+IF(AD145="-",0,IF(AD145&gt;9,0.5,IF(AD145&gt;7,0.25,0)))+IF(AE145="-",0,IF(AE145&gt;7,1.25,IF(AE145&gt;4,0.75,0)))+IF(OR(AF145="-",W145&lt;4),0,IF(AF145&gt;7,1+IF(W145&gt;7,0.15,0),IF(AF145&gt;4,0.5+IF(W145&gt;7,0.15,0),0))))</f>
        <v>0</v>
      </c>
      <c r="AO145" s="9">
        <f>($AK$3*AK145+$AL$3*AL145+$AM$3*AM145+$AN$3*AN145)+$J$3*VLOOKUP(J145,COND!$A$2:$C$7,2,FALSE)+$K$3*VLOOKUP(K145,COND!$A$2:$C$7,3,FALSE)</f>
        <v>9.6423518302296554</v>
      </c>
      <c r="AP145" s="37">
        <f>STANDARDIZE(AO145,AVERAGE($AO$5:$AO$1295),STDEVP($AO$5:$AO$1295))</f>
        <v>-0.14227970347157609</v>
      </c>
      <c r="AQ145" t="str">
        <f>IF(AND(Y145&lt;&gt;"-",X145&gt;1),"C",IF(AA145=MAX(AA145:AC145),"2B",IF(AC145=MAX(AA145:AC145),"SS",IF(OR(AB145=MAX(Z145:AC145),AND(AB145&lt;&gt;"-",AB145&gt;4,V145&gt;5)),"3B",IF(AE145=MAX(AD145:AF145),"CF",IF(AND(AF145=MAX(AD145,AF145),AND(W145&gt;5,AD145&lt;&gt;"-")),"RF",IF(AD145&lt;&gt;"-","LF",IF(Z145&lt;&gt;"-","1B","DH"))))))))</f>
        <v>LF</v>
      </c>
      <c r="AR145" t="s">
        <v>35</v>
      </c>
      <c r="AU145" t="str">
        <f>IF(AND($Q145&gt;=6,AVERAGE($S145:$T145)&gt;=6),"Likely",IF(OR($Q145&gt;6,AND($Q145=6,AVERAGE($S145:$T145)&gt;=3),AND($Q145&gt;=5,AVERAGE($S145:$T145)&gt;=5),AVERAGE($Q145,$S145:$T145)&gt;5),"Possible","Unlikely"))</f>
        <v>Unlikely</v>
      </c>
      <c r="AW145" t="str">
        <f>IF(VLOOKUP($B145,'Draft List'!$D$4:$AB$2598,AW$3,FALSE)&lt;&gt;0,VLOOKUP($B145,'Draft List'!$D$4:$AB$2598,AW$3,FALSE),"")</f>
        <v/>
      </c>
      <c r="AX145" t="str">
        <f>IF(VLOOKUP($B145,'Draft List'!$D$4:$AB$2598,AX$3,FALSE)&lt;&gt;0,VLOOKUP($B145,'Draft List'!$D$4:$AB$2598,AX$3,FALSE),"")</f>
        <v/>
      </c>
      <c r="AY145" t="str">
        <f>IF(VLOOKUP($B145,'Draft List'!$D$4:$AB$2598,AY$3,FALSE)&lt;&gt;0,VLOOKUP($B145,'Draft List'!$D$4:$AB$2598,AY$3,FALSE),"")</f>
        <v/>
      </c>
    </row>
    <row r="146" spans="1:51">
      <c r="A146" t="str">
        <f>IF(C146="C","C-",C146)&amp;D146&amp;E146</f>
        <v>1BLarry McIntosh21</v>
      </c>
      <c r="B146">
        <f>VLOOKUP($A146,draft_listing_batters_stats!$A$1:$B$1324,2,FALSE)</f>
        <v>6975</v>
      </c>
      <c r="C146" s="1" t="s">
        <v>2092</v>
      </c>
      <c r="D146" s="1" t="s">
        <v>1366</v>
      </c>
      <c r="E146" s="1">
        <v>21</v>
      </c>
      <c r="F146" s="1" t="s">
        <v>2022</v>
      </c>
      <c r="G146" s="1" t="s">
        <v>2022</v>
      </c>
      <c r="H146" s="1" t="s">
        <v>2033</v>
      </c>
      <c r="I146" s="1" t="s">
        <v>2033</v>
      </c>
      <c r="J146" s="1" t="s">
        <v>2026</v>
      </c>
      <c r="K146" s="1" t="s">
        <v>2026</v>
      </c>
      <c r="L146" s="1">
        <v>4</v>
      </c>
      <c r="M146" s="1">
        <v>3</v>
      </c>
      <c r="N146" s="1">
        <v>3</v>
      </c>
      <c r="O146" s="1">
        <v>2</v>
      </c>
      <c r="P146" s="1">
        <v>3</v>
      </c>
      <c r="Q146" s="1">
        <v>5</v>
      </c>
      <c r="R146" s="1">
        <v>4</v>
      </c>
      <c r="S146" s="1">
        <v>5</v>
      </c>
      <c r="T146" s="1">
        <v>3</v>
      </c>
      <c r="U146" s="1">
        <v>4</v>
      </c>
      <c r="V146" s="1">
        <v>2</v>
      </c>
      <c r="W146" s="1">
        <v>2</v>
      </c>
      <c r="X146" s="1">
        <v>1</v>
      </c>
      <c r="Y146" s="1" t="s">
        <v>2027</v>
      </c>
      <c r="Z146" s="1">
        <v>3</v>
      </c>
      <c r="AA146" s="1" t="s">
        <v>2027</v>
      </c>
      <c r="AB146" s="1" t="s">
        <v>2027</v>
      </c>
      <c r="AC146" s="1" t="s">
        <v>2027</v>
      </c>
      <c r="AD146" s="1" t="s">
        <v>2027</v>
      </c>
      <c r="AE146" s="1" t="s">
        <v>2027</v>
      </c>
      <c r="AF146" s="1" t="s">
        <v>2027</v>
      </c>
      <c r="AG146" s="1">
        <v>3</v>
      </c>
      <c r="AH146" s="1">
        <v>1</v>
      </c>
      <c r="AI146" s="1">
        <v>1</v>
      </c>
      <c r="AJ146" s="52" t="s">
        <v>2029</v>
      </c>
      <c r="AK146" s="9">
        <f>($L$3*(L146-$Q$1)/$Q$2+$M$3*(M146-$R$1)/$R$2+$N$3*(N146-$S$1)/$S$2+$O$3*(O146-$T$1)/$T$2+$P$3*(P146-$U$1)/$U$2)/(SUM($L$3:$P$3))</f>
        <v>-0.67869086429058989</v>
      </c>
      <c r="AL146" s="9">
        <f>($L$3*(Q146-$Q$1)/$Q$2+$M$3*(R146-$R$1)/$R$2+$N$3*(S146-$S$1)/$S$2+$O$3*(T146-$T$1)/$T$2+$P$3*(U146-$U$1)/$U$2)/(SUM($L$3:$P$3))</f>
        <v>-9.2262705947442295E-3</v>
      </c>
      <c r="AM146">
        <f>IF(AVERAGE(AG146:AH146)&gt;9,1,0)+IF(AVERAGE(AG146:AH146)&gt;7,1,0)+IF(AG146&gt;7,1,0)+IF(AH146&gt;7,1,0)+IF(AI146&gt;8,1,0)+IF(AI146&gt;6,1,0)</f>
        <v>0</v>
      </c>
      <c r="AN146" s="6">
        <f>MIN(2,IF(OR(Y146="-",X146&lt;5),0,1+IF(Y146&gt;7,1+IF(X146&gt;7,0.25,0),IF(Y146&gt;4,0.5+IF(X146&gt;7,0.25,0),0+IF(X146&gt;7,0.25))))+IF(Z146="-",0,IF(Z146&gt;9,0.5,IF(Z146&gt;7,0.25,0)))+IF(AA146="-",0,IF(AA146&gt;7,1.1,IF(AA146&gt;4,0.6,0)))+IF(OR(AB146="-",V146&lt;5),0,IF(AB146&gt;7,1+IF(V146&gt;7,0.25,0),IF(AB146&gt;4,0.5+IF(V146&gt;7,0.25,0),0)))+IF(AC146="-",0,IF(AC146&gt;7,1.5,IF(AC146&gt;4,1,0)))+IF(AD146="-",0,IF(AD146&gt;9,0.5,IF(AD146&gt;7,0.25,0)))+IF(AE146="-",0,IF(AE146&gt;7,1.25,IF(AE146&gt;4,0.75,0)))+IF(OR(AF146="-",W146&lt;4),0,IF(AF146&gt;7,1+IF(W146&gt;7,0.15,0),IF(AF146&gt;4,0.5+IF(W146&gt;7,0.15,0),0))))</f>
        <v>0</v>
      </c>
      <c r="AO146" s="9">
        <f>($AK$3*AK146+$AL$3*AL146+$AM$3*AM146+$AN$3*AN146)+$J$3*VLOOKUP(J146,COND!$A$2:$C$7,2,FALSE)+$K$3*VLOOKUP(K146,COND!$A$2:$C$7,3,FALSE)</f>
        <v>9.6214156664340109</v>
      </c>
      <c r="AP146" s="37">
        <f>STANDARDIZE(AO146,AVERAGE($AO$5:$AO$1295),STDEVP($AO$5:$AO$1295))</f>
        <v>-0.14518823182353283</v>
      </c>
      <c r="AQ146" t="str">
        <f>IF(AND(Y146&lt;&gt;"-",X146&gt;1),"C",IF(AA146=MAX(AA146:AC146),"2B",IF(AC146=MAX(AA146:AC146),"SS",IF(OR(AB146=MAX(Z146:AC146),AND(AB146&lt;&gt;"-",AB146&gt;4,V146&gt;5)),"3B",IF(AE146=MAX(AD146:AF146),"CF",IF(AND(AF146=MAX(AD146,AF146),AND(W146&gt;5,AD146&lt;&gt;"-")),"RF",IF(AD146&lt;&gt;"-","LF",IF(Z146&lt;&gt;"-","1B","DH"))))))))</f>
        <v>1B</v>
      </c>
      <c r="AR146" t="s">
        <v>35</v>
      </c>
      <c r="AU146" t="str">
        <f>IF(AND($Q146&gt;=6,AVERAGE($S146:$T146)&gt;=6),"Likely",IF(OR($Q146&gt;6,AND($Q146=6,AVERAGE($S146:$T146)&gt;=3),AND($Q146&gt;=5,AVERAGE($S146:$T146)&gt;=5),AVERAGE($Q146,$S146:$T146)&gt;5),"Possible","Unlikely"))</f>
        <v>Unlikely</v>
      </c>
      <c r="AW146" t="str">
        <f>IF(VLOOKUP($B146,'Draft List'!$D$4:$AB$2598,AW$3,FALSE)&lt;&gt;0,VLOOKUP($B146,'Draft List'!$D$4:$AB$2598,AW$3,FALSE),"")</f>
        <v/>
      </c>
      <c r="AX146" t="str">
        <f>IF(VLOOKUP($B146,'Draft List'!$D$4:$AB$2598,AX$3,FALSE)&lt;&gt;0,VLOOKUP($B146,'Draft List'!$D$4:$AB$2598,AX$3,FALSE),"")</f>
        <v/>
      </c>
      <c r="AY146" t="str">
        <f>IF(VLOOKUP($B146,'Draft List'!$D$4:$AB$2598,AY$3,FALSE)&lt;&gt;0,VLOOKUP($B146,'Draft List'!$D$4:$AB$2598,AY$3,FALSE),"")</f>
        <v/>
      </c>
    </row>
    <row r="147" spans="1:51">
      <c r="A147" t="str">
        <f>IF(C147="C","C-",C147)&amp;D147&amp;E147</f>
        <v>2BNelson Baker21</v>
      </c>
      <c r="B147">
        <f>VLOOKUP($A147,draft_listing_batters_stats!$A$1:$B$1324,2,FALSE)</f>
        <v>6870</v>
      </c>
      <c r="C147" s="1" t="s">
        <v>2069</v>
      </c>
      <c r="D147" s="1" t="s">
        <v>1452</v>
      </c>
      <c r="E147" s="1">
        <v>21</v>
      </c>
      <c r="F147" s="1" t="s">
        <v>2022</v>
      </c>
      <c r="G147" s="1" t="s">
        <v>2022</v>
      </c>
      <c r="H147" s="1" t="s">
        <v>2033</v>
      </c>
      <c r="I147" s="1" t="s">
        <v>2033</v>
      </c>
      <c r="J147" s="1" t="s">
        <v>2025</v>
      </c>
      <c r="K147" s="1" t="s">
        <v>2040</v>
      </c>
      <c r="L147" s="1">
        <v>3</v>
      </c>
      <c r="M147" s="1">
        <v>5</v>
      </c>
      <c r="N147" s="1">
        <v>1</v>
      </c>
      <c r="O147" s="1">
        <v>3</v>
      </c>
      <c r="P147" s="1">
        <v>2</v>
      </c>
      <c r="Q147" s="1">
        <v>5</v>
      </c>
      <c r="R147" s="1">
        <v>6</v>
      </c>
      <c r="S147" s="1">
        <v>2</v>
      </c>
      <c r="T147" s="1">
        <v>4</v>
      </c>
      <c r="U147" s="1">
        <v>5</v>
      </c>
      <c r="V147" s="1">
        <v>7</v>
      </c>
      <c r="W147" s="1">
        <v>3</v>
      </c>
      <c r="X147" s="1">
        <v>1</v>
      </c>
      <c r="Y147" s="1" t="s">
        <v>2027</v>
      </c>
      <c r="Z147" s="1">
        <v>4</v>
      </c>
      <c r="AA147" s="1">
        <v>2</v>
      </c>
      <c r="AB147" s="1">
        <v>3</v>
      </c>
      <c r="AC147" s="1">
        <v>1</v>
      </c>
      <c r="AD147" s="1" t="s">
        <v>2027</v>
      </c>
      <c r="AE147" s="1" t="s">
        <v>2027</v>
      </c>
      <c r="AF147" s="1">
        <v>3</v>
      </c>
      <c r="AG147" s="1">
        <v>6</v>
      </c>
      <c r="AH147" s="1">
        <v>9</v>
      </c>
      <c r="AI147" s="1">
        <v>7</v>
      </c>
      <c r="AJ147" s="52" t="s">
        <v>2029</v>
      </c>
      <c r="AK147" s="9">
        <f>($L$3*(L147-$Q$1)/$Q$2+$M$3*(M147-$R$1)/$R$2+$N$3*(N147-$S$1)/$S$2+$O$3*(O147-$T$1)/$T$2+$P$3*(P147-$U$1)/$U$2)/(SUM($L$3:$P$3))</f>
        <v>-1.0155567191111632</v>
      </c>
      <c r="AL147" s="9">
        <f>($L$3*(Q147-$Q$1)/$Q$2+$M$3*(R147-$R$1)/$R$2+$N$3*(S147-$S$1)/$S$2+$O$3*(T147-$T$1)/$T$2+$P$3*(U147-$U$1)/$U$2)/(SUM($L$3:$P$3))</f>
        <v>-2.6565103602377241E-2</v>
      </c>
      <c r="AM147">
        <f>IF(AVERAGE(AG147:AH147)&gt;9,1,0)+IF(AVERAGE(AG147:AH147)&gt;7,1,0)+IF(AG147&gt;7,1,0)+IF(AH147&gt;7,1,0)+IF(AI147&gt;8,1,0)+IF(AI147&gt;6,1,0)</f>
        <v>3</v>
      </c>
      <c r="AN147" s="6">
        <f>MIN(2,IF(OR(Y147="-",X147&lt;5),0,1+IF(Y147&gt;7,1+IF(X147&gt;7,0.25,0),IF(Y147&gt;4,0.5+IF(X147&gt;7,0.25,0),0+IF(X147&gt;7,0.25))))+IF(Z147="-",0,IF(Z147&gt;9,0.5,IF(Z147&gt;7,0.25,0)))+IF(AA147="-",0,IF(AA147&gt;7,1.1,IF(AA147&gt;4,0.6,0)))+IF(OR(AB147="-",V147&lt;5),0,IF(AB147&gt;7,1+IF(V147&gt;7,0.25,0),IF(AB147&gt;4,0.5+IF(V147&gt;7,0.25,0),0)))+IF(AC147="-",0,IF(AC147&gt;7,1.5,IF(AC147&gt;4,1,0)))+IF(AD147="-",0,IF(AD147&gt;9,0.5,IF(AD147&gt;7,0.25,0)))+IF(AE147="-",0,IF(AE147&gt;7,1.25,IF(AE147&gt;4,0.75,0)))+IF(OR(AF147="-",W147&lt;4),0,IF(AF147&gt;7,1+IF(W147&gt;7,0.15,0),IF(AF147&gt;4,0.5+IF(W147&gt;7,0.15,0),0))))</f>
        <v>0</v>
      </c>
      <c r="AO147" s="9">
        <f>($AK$3*AK147+$AL$3*AL147+$AM$3*AM147+$AN$3*AN147)+$J$3*VLOOKUP(J147,COND!$A$2:$C$7,2,FALSE)+$K$3*VLOOKUP(K147,COND!$A$2:$C$7,3,FALSE)</f>
        <v>9.579663084860357</v>
      </c>
      <c r="AP147" s="37">
        <f>STANDARDIZE(AO147,AVERAGE($AO$5:$AO$1295),STDEVP($AO$5:$AO$1295))</f>
        <v>-0.15098865297325767</v>
      </c>
      <c r="AQ147" t="str">
        <f>IF(AND(Y147&lt;&gt;"-",X147&gt;1),"C",IF(AA147=MAX(AA147:AC147),"2B",IF(AC147=MAX(AA147:AC147),"SS",IF(OR(AB147=MAX(Z147:AC147),AND(AB147&lt;&gt;"-",AB147&gt;4,V147&gt;5)),"3B",IF(AE147=MAX(AD147:AF147),"CF",IF(AND(AF147=MAX(AD147,AF147),AND(W147&gt;5,AD147&lt;&gt;"-")),"RF",IF(AD147&lt;&gt;"-","LF",IF(Z147&lt;&gt;"-","1B","DH"))))))))</f>
        <v>1B</v>
      </c>
      <c r="AR147" t="s">
        <v>35</v>
      </c>
      <c r="AU147" t="str">
        <f>IF(AND($Q147&gt;=6,AVERAGE($S147:$T147)&gt;=6),"Likely",IF(OR($Q147&gt;6,AND($Q147=6,AVERAGE($S147:$T147)&gt;=3),AND($Q147&gt;=5,AVERAGE($S147:$T147)&gt;=5),AVERAGE($Q147,$S147:$T147)&gt;5),"Possible","Unlikely"))</f>
        <v>Unlikely</v>
      </c>
      <c r="AW147" t="str">
        <f>IF(VLOOKUP($B147,'Draft List'!$D$4:$AB$2598,AW$3,FALSE)&lt;&gt;0,VLOOKUP($B147,'Draft List'!$D$4:$AB$2598,AW$3,FALSE),"")</f>
        <v/>
      </c>
      <c r="AX147" t="str">
        <f>IF(VLOOKUP($B147,'Draft List'!$D$4:$AB$2598,AX$3,FALSE)&lt;&gt;0,VLOOKUP($B147,'Draft List'!$D$4:$AB$2598,AX$3,FALSE),"")</f>
        <v/>
      </c>
      <c r="AY147" t="str">
        <f>IF(VLOOKUP($B147,'Draft List'!$D$4:$AB$2598,AY$3,FALSE)&lt;&gt;0,VLOOKUP($B147,'Draft List'!$D$4:$AB$2598,AY$3,FALSE),"")</f>
        <v/>
      </c>
    </row>
    <row r="148" spans="1:51">
      <c r="A148" t="str">
        <f>IF(C148="C","C-",C148)&amp;D148&amp;E148</f>
        <v>RFJorge Román18</v>
      </c>
      <c r="B148" t="e">
        <f>VLOOKUP($A148,draft_listing_batters_stats!$A$1:$B$1324,2,FALSE)</f>
        <v>#N/A</v>
      </c>
      <c r="C148" s="1" t="s">
        <v>2057</v>
      </c>
      <c r="D148" s="1" t="s">
        <v>1207</v>
      </c>
      <c r="E148" s="1">
        <v>18</v>
      </c>
      <c r="F148" s="1" t="s">
        <v>2038</v>
      </c>
      <c r="G148" s="1" t="s">
        <v>2038</v>
      </c>
      <c r="H148" s="1" t="s">
        <v>2033</v>
      </c>
      <c r="I148" s="1" t="s">
        <v>2033</v>
      </c>
      <c r="J148" s="1" t="s">
        <v>2040</v>
      </c>
      <c r="K148" s="1" t="s">
        <v>2036</v>
      </c>
      <c r="L148" s="1">
        <v>1</v>
      </c>
      <c r="M148" s="1">
        <v>2</v>
      </c>
      <c r="N148" s="1">
        <v>1</v>
      </c>
      <c r="O148" s="1">
        <v>1</v>
      </c>
      <c r="P148" s="1">
        <v>1</v>
      </c>
      <c r="Q148" s="1">
        <v>5</v>
      </c>
      <c r="R148" s="1">
        <v>6</v>
      </c>
      <c r="S148" s="1">
        <v>3</v>
      </c>
      <c r="T148" s="1">
        <v>3</v>
      </c>
      <c r="U148" s="1">
        <v>4</v>
      </c>
      <c r="V148" s="1">
        <v>1</v>
      </c>
      <c r="W148" s="1">
        <v>5</v>
      </c>
      <c r="X148" s="1">
        <v>1</v>
      </c>
      <c r="Y148" s="1" t="s">
        <v>2027</v>
      </c>
      <c r="Z148" s="1" t="s">
        <v>2027</v>
      </c>
      <c r="AA148" s="1" t="s">
        <v>2027</v>
      </c>
      <c r="AB148" s="1" t="s">
        <v>2027</v>
      </c>
      <c r="AC148" s="1" t="s">
        <v>2027</v>
      </c>
      <c r="AD148" s="1">
        <v>1</v>
      </c>
      <c r="AE148" s="1">
        <v>1</v>
      </c>
      <c r="AF148" s="1">
        <v>4</v>
      </c>
      <c r="AG148" s="1">
        <v>8</v>
      </c>
      <c r="AH148" s="1">
        <v>8</v>
      </c>
      <c r="AI148" s="1">
        <v>9</v>
      </c>
      <c r="AJ148" s="52" t="s">
        <v>2029</v>
      </c>
      <c r="AK148" s="9">
        <f>($L$3*(L148-$Q$1)/$Q$2+$M$3*(M148-$R$1)/$R$2+$N$3*(N148-$S$1)/$S$2+$O$3*(O148-$T$1)/$T$2+$P$3*(P148-$U$1)/$U$2)/(SUM($L$3:$P$3))</f>
        <v>-2.0332834702088682</v>
      </c>
      <c r="AL148" s="9">
        <f>($L$3*(Q148-$Q$1)/$Q$2+$M$3*(R148-$R$1)/$R$2+$N$3*(S148-$S$1)/$S$2+$O$3*(T148-$T$1)/$T$2+$P$3*(U148-$U$1)/$U$2)/(SUM($L$3:$P$3))</f>
        <v>-7.322949940514023E-2</v>
      </c>
      <c r="AM148">
        <f>IF(AVERAGE(AG148:AH148)&gt;9,1,0)+IF(AVERAGE(AG148:AH148)&gt;7,1,0)+IF(AG148&gt;7,1,0)+IF(AH148&gt;7,1,0)+IF(AI148&gt;8,1,0)+IF(AI148&gt;6,1,0)</f>
        <v>5</v>
      </c>
      <c r="AN148" s="6">
        <f>MIN(2,IF(OR(Y148="-",X148&lt;5),0,1+IF(Y148&gt;7,1+IF(X148&gt;7,0.25,0),IF(Y148&gt;4,0.5+IF(X148&gt;7,0.25,0),0+IF(X148&gt;7,0.25))))+IF(Z148="-",0,IF(Z148&gt;9,0.5,IF(Z148&gt;7,0.25,0)))+IF(AA148="-",0,IF(AA148&gt;7,1.1,IF(AA148&gt;4,0.6,0)))+IF(OR(AB148="-",V148&lt;5),0,IF(AB148&gt;7,1+IF(V148&gt;7,0.25,0),IF(AB148&gt;4,0.5+IF(V148&gt;7,0.25,0),0)))+IF(AC148="-",0,IF(AC148&gt;7,1.5,IF(AC148&gt;4,1,0)))+IF(AD148="-",0,IF(AD148&gt;9,0.5,IF(AD148&gt;7,0.25,0)))+IF(AE148="-",0,IF(AE148&gt;7,1.25,IF(AE148&gt;4,0.75,0)))+IF(OR(AF148="-",W148&lt;4),0,IF(AF148&gt;7,1+IF(W148&gt;7,0.15,0),IF(AF148&gt;4,0.5+IF(W148&gt;7,0.15,0),0))))</f>
        <v>0</v>
      </c>
      <c r="AO148" s="9">
        <f>($AK$3*AK148+$AL$3*AL148+$AM$3*AM148+$AN$3*AN148)+$J$3*VLOOKUP(J148,COND!$A$2:$C$7,2,FALSE)+$K$3*VLOOKUP(K148,COND!$A$2:$C$7,3,FALSE)</f>
        <v>9.5012509934507641</v>
      </c>
      <c r="AP148" s="37">
        <f>STANDARDIZE(AO148,AVERAGE($AO$5:$AO$1295),STDEVP($AO$5:$AO$1295))</f>
        <v>-0.16188194714248225</v>
      </c>
      <c r="AQ148" t="str">
        <f>IF(AND(Y148&lt;&gt;"-",X148&gt;1),"C",IF(AA148=MAX(AA148:AC148),"2B",IF(AC148=MAX(AA148:AC148),"SS",IF(OR(AB148=MAX(Z148:AC148),AND(AB148&lt;&gt;"-",AB148&gt;4,V148&gt;5)),"3B",IF(AE148=MAX(AD148:AF148),"CF",IF(AND(AF148=MAX(AD148,AF148),AND(W148&gt;5,AD148&lt;&gt;"-")),"RF",IF(AD148&lt;&gt;"-","LF",IF(Z148&lt;&gt;"-","1B","DH"))))))))</f>
        <v>LF</v>
      </c>
      <c r="AR148" t="s">
        <v>35</v>
      </c>
      <c r="AU148" t="str">
        <f>IF(AND($Q148&gt;=6,AVERAGE($S148:$T148)&gt;=6),"Likely",IF(OR($Q148&gt;6,AND($Q148=6,AVERAGE($S148:$T148)&gt;=3),AND($Q148&gt;=5,AVERAGE($S148:$T148)&gt;=5),AVERAGE($Q148,$S148:$T148)&gt;5),"Possible","Unlikely"))</f>
        <v>Unlikely</v>
      </c>
      <c r="AW148" t="e">
        <f>IF(VLOOKUP($B148,'Draft List'!$D$4:$AB$2598,AW$3,FALSE)&lt;&gt;0,VLOOKUP($B148,'Draft List'!$D$4:$AB$2598,AW$3,FALSE),"")</f>
        <v>#N/A</v>
      </c>
      <c r="AX148" t="e">
        <f>IF(VLOOKUP($B148,'Draft List'!$D$4:$AB$2598,AX$3,FALSE)&lt;&gt;0,VLOOKUP($B148,'Draft List'!$D$4:$AB$2598,AX$3,FALSE),"")</f>
        <v>#N/A</v>
      </c>
      <c r="AY148" t="e">
        <f>IF(VLOOKUP($B148,'Draft List'!$D$4:$AB$2598,AY$3,FALSE)&lt;&gt;0,VLOOKUP($B148,'Draft List'!$D$4:$AB$2598,AY$3,FALSE),"")</f>
        <v>#N/A</v>
      </c>
    </row>
    <row r="149" spans="1:51">
      <c r="A149" t="str">
        <f>IF(C149="C","C-",C149)&amp;D149&amp;E149</f>
        <v>LFRicardo Cruz21</v>
      </c>
      <c r="B149">
        <f>VLOOKUP($A149,draft_listing_batters_stats!$A$1:$B$1324,2,FALSE)</f>
        <v>5633</v>
      </c>
      <c r="C149" s="1" t="s">
        <v>2035</v>
      </c>
      <c r="D149" s="1" t="s">
        <v>1483</v>
      </c>
      <c r="E149" s="1">
        <v>21</v>
      </c>
      <c r="F149" s="1" t="s">
        <v>2038</v>
      </c>
      <c r="G149" s="1" t="s">
        <v>2038</v>
      </c>
      <c r="H149" s="1" t="s">
        <v>2033</v>
      </c>
      <c r="I149" s="1" t="s">
        <v>2033</v>
      </c>
      <c r="J149" s="1" t="s">
        <v>2040</v>
      </c>
      <c r="K149" s="1" t="s">
        <v>2025</v>
      </c>
      <c r="L149" s="1">
        <v>4</v>
      </c>
      <c r="M149" s="1">
        <v>3</v>
      </c>
      <c r="N149" s="1">
        <v>2</v>
      </c>
      <c r="O149" s="1">
        <v>2</v>
      </c>
      <c r="P149" s="1">
        <v>3</v>
      </c>
      <c r="Q149" s="1">
        <v>5</v>
      </c>
      <c r="R149" s="1">
        <v>4</v>
      </c>
      <c r="S149" s="1">
        <v>4</v>
      </c>
      <c r="T149" s="1">
        <v>3</v>
      </c>
      <c r="U149" s="1">
        <v>5</v>
      </c>
      <c r="V149" s="1">
        <v>1</v>
      </c>
      <c r="W149" s="1">
        <v>5</v>
      </c>
      <c r="X149" s="1">
        <v>1</v>
      </c>
      <c r="Y149" s="1" t="s">
        <v>2027</v>
      </c>
      <c r="Z149" s="1" t="s">
        <v>2027</v>
      </c>
      <c r="AA149" s="1" t="s">
        <v>2027</v>
      </c>
      <c r="AB149" s="1" t="s">
        <v>2027</v>
      </c>
      <c r="AC149" s="1" t="s">
        <v>2027</v>
      </c>
      <c r="AD149" s="1">
        <v>3</v>
      </c>
      <c r="AE149" s="1" t="s">
        <v>2027</v>
      </c>
      <c r="AF149" s="1">
        <v>4</v>
      </c>
      <c r="AG149" s="1">
        <v>6</v>
      </c>
      <c r="AH149" s="1">
        <v>10</v>
      </c>
      <c r="AI149" s="1">
        <v>10</v>
      </c>
      <c r="AJ149" s="52" t="s">
        <v>2029</v>
      </c>
      <c r="AK149" s="9">
        <f>($L$3*(L149-$Q$1)/$Q$2+$M$3*(M149-$R$1)/$R$2+$N$3*(N149-$S$1)/$S$2+$O$3*(O149-$T$1)/$T$2+$P$3*(P149-$U$1)/$U$2)/(SUM($L$3:$P$3))</f>
        <v>-0.7617523583144914</v>
      </c>
      <c r="AL149" s="9">
        <f>($L$3*(Q149-$Q$1)/$Q$2+$M$3*(R149-$R$1)/$R$2+$N$3*(S149-$S$1)/$S$2+$O$3*(T149-$T$1)/$T$2+$P$3*(U149-$U$1)/$U$2)/(SUM($L$3:$P$3))</f>
        <v>-5.2271424801562265E-2</v>
      </c>
      <c r="AM149">
        <f>IF(AVERAGE(AG149:AH149)&gt;9,1,0)+IF(AVERAGE(AG149:AH149)&gt;7,1,0)+IF(AG149&gt;7,1,0)+IF(AH149&gt;7,1,0)+IF(AI149&gt;8,1,0)+IF(AI149&gt;6,1,0)</f>
        <v>4</v>
      </c>
      <c r="AN149" s="6">
        <f>MIN(2,IF(OR(Y149="-",X149&lt;5),0,1+IF(Y149&gt;7,1+IF(X149&gt;7,0.25,0),IF(Y149&gt;4,0.5+IF(X149&gt;7,0.25,0),0+IF(X149&gt;7,0.25))))+IF(Z149="-",0,IF(Z149&gt;9,0.5,IF(Z149&gt;7,0.25,0)))+IF(AA149="-",0,IF(AA149&gt;7,1.1,IF(AA149&gt;4,0.6,0)))+IF(OR(AB149="-",V149&lt;5),0,IF(AB149&gt;7,1+IF(V149&gt;7,0.25,0),IF(AB149&gt;4,0.5+IF(V149&gt;7,0.25,0),0)))+IF(AC149="-",0,IF(AC149&gt;7,1.5,IF(AC149&gt;4,1,0)))+IF(AD149="-",0,IF(AD149&gt;9,0.5,IF(AD149&gt;7,0.25,0)))+IF(AE149="-",0,IF(AE149&gt;7,1.25,IF(AE149&gt;4,0.75,0)))+IF(OR(AF149="-",W149&lt;4),0,IF(AF149&gt;7,1+IF(W149&gt;7,0.15,0),IF(AF149&gt;4,0.5+IF(W149&gt;7,0.15,0),0))))</f>
        <v>0</v>
      </c>
      <c r="AO149" s="9">
        <f>($AK$3*AK149+$AL$3*AL149+$AM$3*AM149+$AN$3*AN149)+$J$3*VLOOKUP(J149,COND!$A$2:$C$7,2,FALSE)+$K$3*VLOOKUP(K149,COND!$A$2:$C$7,3,FALSE)</f>
        <v>9.4632343332164695</v>
      </c>
      <c r="AP149" s="37">
        <f>STANDARDIZE(AO149,AVERAGE($AO$5:$AO$1295),STDEVP($AO$5:$AO$1295))</f>
        <v>-0.16716336045284028</v>
      </c>
      <c r="AQ149" t="str">
        <f>IF(AND(Y149&lt;&gt;"-",X149&gt;1),"C",IF(AA149=MAX(AA149:AC149),"2B",IF(AC149=MAX(AA149:AC149),"SS",IF(OR(AB149=MAX(Z149:AC149),AND(AB149&lt;&gt;"-",AB149&gt;4,V149&gt;5)),"3B",IF(AE149=MAX(AD149:AF149),"CF",IF(AND(AF149=MAX(AD149,AF149),AND(W149&gt;5,AD149&lt;&gt;"-")),"RF",IF(AD149&lt;&gt;"-","LF",IF(Z149&lt;&gt;"-","1B","DH"))))))))</f>
        <v>LF</v>
      </c>
      <c r="AR149" t="s">
        <v>35</v>
      </c>
      <c r="AU149" t="str">
        <f>IF(AND($Q149&gt;=6,AVERAGE($S149:$T149)&gt;=6),"Likely",IF(OR($Q149&gt;6,AND($Q149=6,AVERAGE($S149:$T149)&gt;=3),AND($Q149&gt;=5,AVERAGE($S149:$T149)&gt;=5),AVERAGE($Q149,$S149:$T149)&gt;5),"Possible","Unlikely"))</f>
        <v>Unlikely</v>
      </c>
      <c r="AW149" t="str">
        <f>IF(VLOOKUP($B149,'Draft List'!$D$4:$AB$2598,AW$3,FALSE)&lt;&gt;0,VLOOKUP($B149,'Draft List'!$D$4:$AB$2598,AW$3,FALSE),"")</f>
        <v/>
      </c>
      <c r="AX149" t="str">
        <f>IF(VLOOKUP($B149,'Draft List'!$D$4:$AB$2598,AX$3,FALSE)&lt;&gt;0,VLOOKUP($B149,'Draft List'!$D$4:$AB$2598,AX$3,FALSE),"")</f>
        <v/>
      </c>
      <c r="AY149" t="str">
        <f>IF(VLOOKUP($B149,'Draft List'!$D$4:$AB$2598,AY$3,FALSE)&lt;&gt;0,VLOOKUP($B149,'Draft List'!$D$4:$AB$2598,AY$3,FALSE),"")</f>
        <v/>
      </c>
    </row>
    <row r="150" spans="1:51">
      <c r="A150" t="str">
        <f>IF(C150="C","C-",C150)&amp;D150&amp;E150</f>
        <v>1BRens Ricksen21</v>
      </c>
      <c r="B150">
        <f>VLOOKUP($A150,draft_listing_batters_stats!$A$1:$B$1324,2,FALSE)</f>
        <v>7747</v>
      </c>
      <c r="C150" s="1" t="s">
        <v>2092</v>
      </c>
      <c r="D150" s="1" t="s">
        <v>1200</v>
      </c>
      <c r="E150" s="1">
        <v>21</v>
      </c>
      <c r="F150" s="1" t="s">
        <v>2038</v>
      </c>
      <c r="G150" s="1" t="s">
        <v>2038</v>
      </c>
      <c r="H150" s="1" t="s">
        <v>2033</v>
      </c>
      <c r="I150" s="1" t="s">
        <v>2033</v>
      </c>
      <c r="J150" s="1" t="s">
        <v>2026</v>
      </c>
      <c r="K150" s="1" t="s">
        <v>2030</v>
      </c>
      <c r="L150" s="1">
        <v>3</v>
      </c>
      <c r="M150" s="1">
        <v>3</v>
      </c>
      <c r="N150" s="1">
        <v>2</v>
      </c>
      <c r="O150" s="1">
        <v>2</v>
      </c>
      <c r="P150" s="1">
        <v>2</v>
      </c>
      <c r="Q150" s="1">
        <v>5</v>
      </c>
      <c r="R150" s="1">
        <v>5</v>
      </c>
      <c r="S150" s="1">
        <v>4</v>
      </c>
      <c r="T150" s="1">
        <v>3</v>
      </c>
      <c r="U150" s="1">
        <v>4</v>
      </c>
      <c r="V150" s="1">
        <v>4</v>
      </c>
      <c r="W150" s="1">
        <v>2</v>
      </c>
      <c r="X150" s="1">
        <v>1</v>
      </c>
      <c r="Y150" s="1" t="s">
        <v>2027</v>
      </c>
      <c r="Z150" s="1">
        <v>3</v>
      </c>
      <c r="AA150" s="1" t="s">
        <v>2027</v>
      </c>
      <c r="AB150" s="1" t="s">
        <v>2027</v>
      </c>
      <c r="AC150" s="1" t="s">
        <v>2027</v>
      </c>
      <c r="AD150" s="1" t="s">
        <v>2027</v>
      </c>
      <c r="AE150" s="1" t="s">
        <v>2027</v>
      </c>
      <c r="AF150" s="1" t="s">
        <v>2027</v>
      </c>
      <c r="AG150" s="1">
        <v>2</v>
      </c>
      <c r="AH150" s="1">
        <v>3</v>
      </c>
      <c r="AI150" s="1">
        <v>2</v>
      </c>
      <c r="AJ150" s="52" t="s">
        <v>2029</v>
      </c>
      <c r="AK150" s="9">
        <f>($L$3*(L150-$Q$1)/$Q$2+$M$3*(M150-$R$1)/$R$2+$N$3*(N150-$S$1)/$S$2+$O$3*(O150-$T$1)/$T$2+$P$3*(P150-$U$1)/$U$2)/(SUM($L$3:$P$3))</f>
        <v>-1.1243245343342496</v>
      </c>
      <c r="AL150" s="9">
        <f>($L$3*(Q150-$Q$1)/$Q$2+$M$3*(R150-$R$1)/$R$2+$N$3*(S150-$S$1)/$S$2+$O$3*(T150-$T$1)/$T$2+$P$3*(U150-$U$1)/$U$2)/(SUM($L$3:$P$3))</f>
        <v>-4.1227884999942219E-2</v>
      </c>
      <c r="AM150">
        <f>IF(AVERAGE(AG150:AH150)&gt;9,1,0)+IF(AVERAGE(AG150:AH150)&gt;7,1,0)+IF(AG150&gt;7,1,0)+IF(AH150&gt;7,1,0)+IF(AI150&gt;8,1,0)+IF(AI150&gt;6,1,0)</f>
        <v>0</v>
      </c>
      <c r="AN150" s="6">
        <f>MIN(2,IF(OR(Y150="-",X150&lt;5),0,1+IF(Y150&gt;7,1+IF(X150&gt;7,0.25,0),IF(Y150&gt;4,0.5+IF(X150&gt;7,0.25,0),0+IF(X150&gt;7,0.25))))+IF(Z150="-",0,IF(Z150&gt;9,0.5,IF(Z150&gt;7,0.25,0)))+IF(AA150="-",0,IF(AA150&gt;7,1.1,IF(AA150&gt;4,0.6,0)))+IF(OR(AB150="-",V150&lt;5),0,IF(AB150&gt;7,1+IF(V150&gt;7,0.25,0),IF(AB150&gt;4,0.5+IF(V150&gt;7,0.25,0),0)))+IF(AC150="-",0,IF(AC150&gt;7,1.5,IF(AC150&gt;4,1,0)))+IF(AD150="-",0,IF(AD150&gt;9,0.5,IF(AD150&gt;7,0.25,0)))+IF(AE150="-",0,IF(AE150&gt;7,1.25,IF(AE150&gt;4,0.75,0)))+IF(OR(AF150="-",W150&lt;4),0,IF(AF150&gt;7,1+IF(W150&gt;7,0.15,0),IF(AF150&gt;4,0.5+IF(W150&gt;7,0.15,0),0))))</f>
        <v>0</v>
      </c>
      <c r="AO150" s="9">
        <f>($AK$3*AK150+$AL$3*AL150+$AM$3*AM150+$AN$3*AN150)+$J$3*VLOOKUP(J150,COND!$A$2:$C$7,2,FALSE)+$K$3*VLOOKUP(K150,COND!$A$2:$C$7,3,FALSE)</f>
        <v>9.3928329265672694</v>
      </c>
      <c r="AP150" s="37">
        <f>STANDARDIZE(AO150,AVERAGE($AO$5:$AO$1295),STDEVP($AO$5:$AO$1295))</f>
        <v>-0.17694378103301522</v>
      </c>
      <c r="AQ150" t="str">
        <f>IF(AND(Y150&lt;&gt;"-",X150&gt;1),"C",IF(AA150=MAX(AA150:AC150),"2B",IF(AC150=MAX(AA150:AC150),"SS",IF(OR(AB150=MAX(Z150:AC150),AND(AB150&lt;&gt;"-",AB150&gt;4,V150&gt;5)),"3B",IF(AE150=MAX(AD150:AF150),"CF",IF(AND(AF150=MAX(AD150,AF150),AND(W150&gt;5,AD150&lt;&gt;"-")),"RF",IF(AD150&lt;&gt;"-","LF",IF(Z150&lt;&gt;"-","1B","DH"))))))))</f>
        <v>1B</v>
      </c>
      <c r="AR150" t="s">
        <v>35</v>
      </c>
      <c r="AU150" t="str">
        <f>IF(AND($Q150&gt;=6,AVERAGE($S150:$T150)&gt;=6),"Likely",IF(OR($Q150&gt;6,AND($Q150=6,AVERAGE($S150:$T150)&gt;=3),AND($Q150&gt;=5,AVERAGE($S150:$T150)&gt;=5),AVERAGE($Q150,$S150:$T150)&gt;5),"Possible","Unlikely"))</f>
        <v>Unlikely</v>
      </c>
      <c r="AW150" t="str">
        <f>IF(VLOOKUP($B150,'Draft List'!$D$4:$AB$2598,AW$3,FALSE)&lt;&gt;0,VLOOKUP($B150,'Draft List'!$D$4:$AB$2598,AW$3,FALSE),"")</f>
        <v/>
      </c>
      <c r="AX150" t="str">
        <f>IF(VLOOKUP($B150,'Draft List'!$D$4:$AB$2598,AX$3,FALSE)&lt;&gt;0,VLOOKUP($B150,'Draft List'!$D$4:$AB$2598,AX$3,FALSE),"")</f>
        <v/>
      </c>
      <c r="AY150" t="str">
        <f>IF(VLOOKUP($B150,'Draft List'!$D$4:$AB$2598,AY$3,FALSE)&lt;&gt;0,VLOOKUP($B150,'Draft List'!$D$4:$AB$2598,AY$3,FALSE),"")</f>
        <v/>
      </c>
    </row>
    <row r="151" spans="1:51">
      <c r="A151" t="str">
        <f>IF(C151="C","C-",C151)&amp;D151&amp;E151</f>
        <v>SSMáximo Medina18</v>
      </c>
      <c r="B151" t="e">
        <f>VLOOKUP($A151,draft_listing_batters_stats!$A$1:$B$1324,2,FALSE)</f>
        <v>#N/A</v>
      </c>
      <c r="C151" s="1" t="s">
        <v>2074</v>
      </c>
      <c r="D151" s="1" t="s">
        <v>1368</v>
      </c>
      <c r="E151" s="1">
        <v>18</v>
      </c>
      <c r="F151" s="1" t="s">
        <v>2022</v>
      </c>
      <c r="G151" s="1" t="s">
        <v>2022</v>
      </c>
      <c r="H151" s="1" t="s">
        <v>2033</v>
      </c>
      <c r="I151" s="1" t="s">
        <v>2033</v>
      </c>
      <c r="J151" s="1" t="s">
        <v>2036</v>
      </c>
      <c r="K151" s="1" t="s">
        <v>2025</v>
      </c>
      <c r="L151" s="1">
        <v>1</v>
      </c>
      <c r="M151" s="1">
        <v>2</v>
      </c>
      <c r="N151" s="1">
        <v>1</v>
      </c>
      <c r="O151" s="1">
        <v>1</v>
      </c>
      <c r="P151" s="1">
        <v>1</v>
      </c>
      <c r="Q151" s="1">
        <v>5</v>
      </c>
      <c r="R151" s="1">
        <v>5</v>
      </c>
      <c r="S151" s="1">
        <v>1</v>
      </c>
      <c r="T151" s="1">
        <v>5</v>
      </c>
      <c r="U151" s="1">
        <v>5</v>
      </c>
      <c r="V151" s="1">
        <v>7</v>
      </c>
      <c r="W151" s="1">
        <v>1</v>
      </c>
      <c r="X151" s="1">
        <v>1</v>
      </c>
      <c r="Y151" s="1" t="s">
        <v>2027</v>
      </c>
      <c r="Z151" s="1" t="s">
        <v>2027</v>
      </c>
      <c r="AA151" s="1" t="s">
        <v>2027</v>
      </c>
      <c r="AB151" s="1">
        <v>2</v>
      </c>
      <c r="AC151" s="1">
        <v>3</v>
      </c>
      <c r="AD151" s="1" t="s">
        <v>2027</v>
      </c>
      <c r="AE151" s="1" t="s">
        <v>2027</v>
      </c>
      <c r="AF151" s="1" t="s">
        <v>2027</v>
      </c>
      <c r="AG151" s="1">
        <v>7</v>
      </c>
      <c r="AH151" s="1">
        <v>7</v>
      </c>
      <c r="AI151" s="1">
        <v>8</v>
      </c>
      <c r="AJ151" s="52">
        <v>2600000</v>
      </c>
      <c r="AK151" s="9">
        <f>($L$3*(L151-$Q$1)/$Q$2+$M$3*(M151-$R$1)/$R$2+$N$3*(N151-$S$1)/$S$2+$O$3*(O151-$T$1)/$T$2+$P$3*(P151-$U$1)/$U$2)/(SUM($L$3:$P$3))</f>
        <v>-2.0332834702088682</v>
      </c>
      <c r="AL151" s="9">
        <f>($L$3*(Q151-$Q$1)/$Q$2+$M$3*(R151-$R$1)/$R$2+$N$3*(S151-$S$1)/$S$2+$O$3*(T151-$T$1)/$T$2+$P$3*(U151-$U$1)/$U$2)/(SUM($L$3:$P$3))</f>
        <v>-7.0976927235401194E-2</v>
      </c>
      <c r="AM151">
        <f>IF(AVERAGE(AG151:AH151)&gt;9,1,0)+IF(AVERAGE(AG151:AH151)&gt;7,1,0)+IF(AG151&gt;7,1,0)+IF(AH151&gt;7,1,0)+IF(AI151&gt;8,1,0)+IF(AI151&gt;6,1,0)</f>
        <v>1</v>
      </c>
      <c r="AN151" s="6">
        <f>MIN(2,IF(OR(Y151="-",X151&lt;5),0,1+IF(Y151&gt;7,1+IF(X151&gt;7,0.25,0),IF(Y151&gt;4,0.5+IF(X151&gt;7,0.25,0),0+IF(X151&gt;7,0.25))))+IF(Z151="-",0,IF(Z151&gt;9,0.5,IF(Z151&gt;7,0.25,0)))+IF(AA151="-",0,IF(AA151&gt;7,1.1,IF(AA151&gt;4,0.6,0)))+IF(OR(AB151="-",V151&lt;5),0,IF(AB151&gt;7,1+IF(V151&gt;7,0.25,0),IF(AB151&gt;4,0.5+IF(V151&gt;7,0.25,0),0)))+IF(AC151="-",0,IF(AC151&gt;7,1.5,IF(AC151&gt;4,1,0)))+IF(AD151="-",0,IF(AD151&gt;9,0.5,IF(AD151&gt;7,0.25,0)))+IF(AE151="-",0,IF(AE151&gt;7,1.25,IF(AE151&gt;4,0.75,0)))+IF(OR(AF151="-",W151&lt;4),0,IF(AF151&gt;7,1+IF(W151&gt;7,0.15,0),IF(AF151&gt;4,0.5+IF(W151&gt;7,0.15,0),0))))</f>
        <v>0</v>
      </c>
      <c r="AO151" s="9">
        <f>($AK$3*AK151+$AL$3*AL151+$AM$3*AM151+$AN$3*AN151)+$J$3*VLOOKUP(J151,COND!$A$2:$C$7,2,FALSE)+$K$3*VLOOKUP(K151,COND!$A$2:$C$7,3,FALSE)</f>
        <v>9.3616151928209668</v>
      </c>
      <c r="AP151" s="37">
        <f>STANDARDIZE(AO151,AVERAGE($AO$5:$AO$1295),STDEVP($AO$5:$AO$1295))</f>
        <v>-0.181280662639943</v>
      </c>
      <c r="AQ151" t="str">
        <f>IF(AND(Y151&lt;&gt;"-",X151&gt;1),"C",IF(AA151=MAX(AA151:AC151),"2B",IF(AC151=MAX(AA151:AC151),"SS",IF(OR(AB151=MAX(Z151:AC151),AND(AB151&lt;&gt;"-",AB151&gt;4,V151&gt;5)),"3B",IF(AE151=MAX(AD151:AF151),"CF",IF(AND(AF151=MAX(AD151,AF151),AND(W151&gt;5,AD151&lt;&gt;"-")),"RF",IF(AD151&lt;&gt;"-","LF",IF(Z151&lt;&gt;"-","1B","DH"))))))))</f>
        <v>SS</v>
      </c>
      <c r="AR151" t="s">
        <v>35</v>
      </c>
      <c r="AT151" t="s">
        <v>155</v>
      </c>
      <c r="AU151" t="str">
        <f>IF(AND($Q151&gt;=6,AVERAGE($S151:$T151)&gt;=6),"Likely",IF(OR($Q151&gt;6,AND($Q151=6,AVERAGE($S151:$T151)&gt;=3),AND($Q151&gt;=5,AVERAGE($S151:$T151)&gt;=5),AVERAGE($Q151,$S151:$T151)&gt;5),"Possible","Unlikely"))</f>
        <v>Unlikely</v>
      </c>
      <c r="AW151" t="e">
        <f>IF(VLOOKUP($B151,'Draft List'!$D$4:$AB$2598,AW$3,FALSE)&lt;&gt;0,VLOOKUP($B151,'Draft List'!$D$4:$AB$2598,AW$3,FALSE),"")</f>
        <v>#N/A</v>
      </c>
      <c r="AX151" t="e">
        <f>IF(VLOOKUP($B151,'Draft List'!$D$4:$AB$2598,AX$3,FALSE)&lt;&gt;0,VLOOKUP($B151,'Draft List'!$D$4:$AB$2598,AX$3,FALSE),"")</f>
        <v>#N/A</v>
      </c>
      <c r="AY151" t="e">
        <f>IF(VLOOKUP($B151,'Draft List'!$D$4:$AB$2598,AY$3,FALSE)&lt;&gt;0,VLOOKUP($B151,'Draft List'!$D$4:$AB$2598,AY$3,FALSE),"")</f>
        <v>#N/A</v>
      </c>
    </row>
    <row r="152" spans="1:51">
      <c r="A152" t="str">
        <f>IF(C152="C","C-",C152)&amp;D152&amp;E152</f>
        <v>CFRyan Thomas21</v>
      </c>
      <c r="B152">
        <f>VLOOKUP($A152,draft_listing_batters_stats!$A$1:$B$1324,2,FALSE)</f>
        <v>6111</v>
      </c>
      <c r="C152" s="1" t="s">
        <v>2079</v>
      </c>
      <c r="D152" s="1" t="s">
        <v>1230</v>
      </c>
      <c r="E152" s="1">
        <v>21</v>
      </c>
      <c r="F152" s="1" t="s">
        <v>2022</v>
      </c>
      <c r="G152" s="1" t="s">
        <v>2022</v>
      </c>
      <c r="H152" s="1" t="s">
        <v>2033</v>
      </c>
      <c r="I152" s="1" t="s">
        <v>2033</v>
      </c>
      <c r="J152" s="1" t="s">
        <v>2040</v>
      </c>
      <c r="K152" s="1" t="s">
        <v>2025</v>
      </c>
      <c r="L152" s="1">
        <v>3</v>
      </c>
      <c r="M152" s="1">
        <v>4</v>
      </c>
      <c r="N152" s="1">
        <v>1</v>
      </c>
      <c r="O152" s="1">
        <v>2</v>
      </c>
      <c r="P152" s="1">
        <v>1</v>
      </c>
      <c r="Q152" s="1">
        <v>5</v>
      </c>
      <c r="R152" s="1">
        <v>4</v>
      </c>
      <c r="S152" s="1">
        <v>2</v>
      </c>
      <c r="T152" s="1">
        <v>3</v>
      </c>
      <c r="U152" s="1">
        <v>6</v>
      </c>
      <c r="V152" s="1">
        <v>1</v>
      </c>
      <c r="W152" s="1">
        <v>3</v>
      </c>
      <c r="X152" s="1">
        <v>1</v>
      </c>
      <c r="Y152" s="1" t="s">
        <v>2027</v>
      </c>
      <c r="Z152" s="1" t="s">
        <v>2027</v>
      </c>
      <c r="AA152" s="1" t="s">
        <v>2027</v>
      </c>
      <c r="AB152" s="1" t="s">
        <v>2027</v>
      </c>
      <c r="AC152" s="1" t="s">
        <v>2027</v>
      </c>
      <c r="AD152" s="1">
        <v>5</v>
      </c>
      <c r="AE152" s="1">
        <v>10</v>
      </c>
      <c r="AF152" s="1">
        <v>2</v>
      </c>
      <c r="AG152" s="1">
        <v>8</v>
      </c>
      <c r="AH152" s="1">
        <v>10</v>
      </c>
      <c r="AI152" s="1">
        <v>10</v>
      </c>
      <c r="AJ152" s="52" t="s">
        <v>2029</v>
      </c>
      <c r="AK152" s="9">
        <f>($L$3*(L152-$Q$1)/$Q$2+$M$3*(M152-$R$1)/$R$2+$N$3*(N152-$S$1)/$S$2+$O$3*(O152-$T$1)/$T$2+$P$3*(P152-$U$1)/$U$2)/(SUM($L$3:$P$3))</f>
        <v>-1.196342488556531</v>
      </c>
      <c r="AL152" s="9">
        <f>($L$3*(Q152-$Q$1)/$Q$2+$M$3*(R152-$R$1)/$R$2+$N$3*(S152-$S$1)/$S$2+$O$3*(T152-$T$1)/$T$2+$P$3*(U152-$U$1)/$U$2)/(SUM($L$3:$P$3))</f>
        <v>-0.17837807303228184</v>
      </c>
      <c r="AM152">
        <f>IF(AVERAGE(AG152:AH152)&gt;9,1,0)+IF(AVERAGE(AG152:AH152)&gt;7,1,0)+IF(AG152&gt;7,1,0)+IF(AH152&gt;7,1,0)+IF(AI152&gt;8,1,0)+IF(AI152&gt;6,1,0)</f>
        <v>5</v>
      </c>
      <c r="AN152" s="6">
        <f>MIN(2,IF(OR(Y152="-",X152&lt;5),0,1+IF(Y152&gt;7,1+IF(X152&gt;7,0.25,0),IF(Y152&gt;4,0.5+IF(X152&gt;7,0.25,0),0+IF(X152&gt;7,0.25))))+IF(Z152="-",0,IF(Z152&gt;9,0.5,IF(Z152&gt;7,0.25,0)))+IF(AA152="-",0,IF(AA152&gt;7,1.1,IF(AA152&gt;4,0.6,0)))+IF(OR(AB152="-",V152&lt;5),0,IF(AB152&gt;7,1+IF(V152&gt;7,0.25,0),IF(AB152&gt;4,0.5+IF(V152&gt;7,0.25,0),0)))+IF(AC152="-",0,IF(AC152&gt;7,1.5,IF(AC152&gt;4,1,0)))+IF(AD152="-",0,IF(AD152&gt;9,0.5,IF(AD152&gt;7,0.25,0)))+IF(AE152="-",0,IF(AE152&gt;7,1.25,IF(AE152&gt;4,0.75,0)))+IF(OR(AF152="-",W152&lt;4),0,IF(AF152&gt;7,1+IF(W152&gt;7,0.15,0),IF(AF152&gt;4,0.5+IF(W152&gt;7,0.15,0),0))))</f>
        <v>1.25</v>
      </c>
      <c r="AO152" s="9">
        <f>($AK$3*AK152+$AL$3*AL152+$AM$3*AM152+$AN$3*AN152)+$J$3*VLOOKUP(J152,COND!$A$2:$C$7,2,FALSE)+$K$3*VLOOKUP(K152,COND!$A$2:$C$7,3,FALSE)</f>
        <v>9.3231622080902987</v>
      </c>
      <c r="AP152" s="37">
        <f>STANDARDIZE(AO152,AVERAGE($AO$5:$AO$1295),STDEVP($AO$5:$AO$1295))</f>
        <v>-0.18662269174318183</v>
      </c>
      <c r="AQ152" t="str">
        <f>IF(AND(Y152&lt;&gt;"-",X152&gt;1),"C",IF(AA152=MAX(AA152:AC152),"2B",IF(AC152=MAX(AA152:AC152),"SS",IF(OR(AB152=MAX(Z152:AC152),AND(AB152&lt;&gt;"-",AB152&gt;4,V152&gt;5)),"3B",IF(AE152=MAX(AD152:AF152),"CF",IF(AND(AF152=MAX(AD152,AF152),AND(W152&gt;5,AD152&lt;&gt;"-")),"RF",IF(AD152&lt;&gt;"-","LF",IF(Z152&lt;&gt;"-","1B","DH"))))))))</f>
        <v>CF</v>
      </c>
      <c r="AR152" t="s">
        <v>35</v>
      </c>
      <c r="AU152" t="str">
        <f>IF(AND($Q152&gt;=6,AVERAGE($S152:$T152)&gt;=6),"Likely",IF(OR($Q152&gt;6,AND($Q152=6,AVERAGE($S152:$T152)&gt;=3),AND($Q152&gt;=5,AVERAGE($S152:$T152)&gt;=5),AVERAGE($Q152,$S152:$T152)&gt;5),"Possible","Unlikely"))</f>
        <v>Unlikely</v>
      </c>
      <c r="AW152" t="str">
        <f>IF(VLOOKUP($B152,'Draft List'!$D$4:$AB$2598,AW$3,FALSE)&lt;&gt;0,VLOOKUP($B152,'Draft List'!$D$4:$AB$2598,AW$3,FALSE),"")</f>
        <v/>
      </c>
      <c r="AX152" t="str">
        <f>IF(VLOOKUP($B152,'Draft List'!$D$4:$AB$2598,AX$3,FALSE)&lt;&gt;0,VLOOKUP($B152,'Draft List'!$D$4:$AB$2598,AX$3,FALSE),"")</f>
        <v/>
      </c>
      <c r="AY152" t="str">
        <f>IF(VLOOKUP($B152,'Draft List'!$D$4:$AB$2598,AY$3,FALSE)&lt;&gt;0,VLOOKUP($B152,'Draft List'!$D$4:$AB$2598,AY$3,FALSE),"")</f>
        <v/>
      </c>
    </row>
    <row r="153" spans="1:51">
      <c r="A153" t="str">
        <f>IF(C153="C","C-",C153)&amp;D153&amp;E153</f>
        <v>1BLuis Ortega18</v>
      </c>
      <c r="B153">
        <f>VLOOKUP($A153,draft_listing_batters_stats!$A$1:$B$1324,2,FALSE)</f>
        <v>1618</v>
      </c>
      <c r="C153" s="1" t="s">
        <v>2092</v>
      </c>
      <c r="D153" s="1" t="s">
        <v>1390</v>
      </c>
      <c r="E153" s="1">
        <v>18</v>
      </c>
      <c r="F153" s="1" t="s">
        <v>2022</v>
      </c>
      <c r="G153" s="1" t="s">
        <v>2022</v>
      </c>
      <c r="H153" s="1" t="s">
        <v>2033</v>
      </c>
      <c r="I153" s="1" t="s">
        <v>2033</v>
      </c>
      <c r="J153" s="1" t="s">
        <v>2026</v>
      </c>
      <c r="K153" s="1" t="s">
        <v>2030</v>
      </c>
      <c r="L153" s="1">
        <v>1</v>
      </c>
      <c r="M153" s="1">
        <v>1</v>
      </c>
      <c r="N153" s="1">
        <v>1</v>
      </c>
      <c r="O153" s="1">
        <v>1</v>
      </c>
      <c r="P153" s="1">
        <v>1</v>
      </c>
      <c r="Q153" s="1">
        <v>5</v>
      </c>
      <c r="R153" s="1">
        <v>5</v>
      </c>
      <c r="S153" s="1">
        <v>4</v>
      </c>
      <c r="T153" s="1">
        <v>3</v>
      </c>
      <c r="U153" s="1">
        <v>4</v>
      </c>
      <c r="V153" s="1">
        <v>3</v>
      </c>
      <c r="W153" s="1">
        <v>3</v>
      </c>
      <c r="X153" s="1">
        <v>1</v>
      </c>
      <c r="Y153" s="1" t="s">
        <v>2027</v>
      </c>
      <c r="Z153" s="1">
        <v>2</v>
      </c>
      <c r="AA153" s="1" t="s">
        <v>2027</v>
      </c>
      <c r="AB153" s="1" t="s">
        <v>2027</v>
      </c>
      <c r="AC153" s="1" t="s">
        <v>2027</v>
      </c>
      <c r="AD153" s="1" t="s">
        <v>2027</v>
      </c>
      <c r="AE153" s="1" t="s">
        <v>2027</v>
      </c>
      <c r="AF153" s="1" t="s">
        <v>2027</v>
      </c>
      <c r="AG153" s="1">
        <v>2</v>
      </c>
      <c r="AH153" s="1">
        <v>2</v>
      </c>
      <c r="AI153" s="1">
        <v>2</v>
      </c>
      <c r="AJ153" s="52" t="s">
        <v>2029</v>
      </c>
      <c r="AK153" s="9">
        <f>($L$3*(L153-$Q$1)/$Q$2+$M$3*(M153-$R$1)/$R$2+$N$3*(N153-$S$1)/$S$2+$O$3*(O153-$T$1)/$T$2+$P$3*(P153-$U$1)/$U$2)/(SUM($L$3:$P$3))</f>
        <v>-2.0843433498275723</v>
      </c>
      <c r="AL153" s="9">
        <f>($L$3*(Q153-$Q$1)/$Q$2+$M$3*(R153-$R$1)/$R$2+$N$3*(S153-$S$1)/$S$2+$O$3*(T153-$T$1)/$T$2+$P$3*(U153-$U$1)/$U$2)/(SUM($L$3:$P$3))</f>
        <v>-4.1227884999942219E-2</v>
      </c>
      <c r="AM153">
        <f>IF(AVERAGE(AG153:AH153)&gt;9,1,0)+IF(AVERAGE(AG153:AH153)&gt;7,1,0)+IF(AG153&gt;7,1,0)+IF(AH153&gt;7,1,0)+IF(AI153&gt;8,1,0)+IF(AI153&gt;6,1,0)</f>
        <v>0</v>
      </c>
      <c r="AN153" s="6">
        <f>MIN(2,IF(OR(Y153="-",X153&lt;5),0,1+IF(Y153&gt;7,1+IF(X153&gt;7,0.25,0),IF(Y153&gt;4,0.5+IF(X153&gt;7,0.25,0),0+IF(X153&gt;7,0.25))))+IF(Z153="-",0,IF(Z153&gt;9,0.5,IF(Z153&gt;7,0.25,0)))+IF(AA153="-",0,IF(AA153&gt;7,1.1,IF(AA153&gt;4,0.6,0)))+IF(OR(AB153="-",V153&lt;5),0,IF(AB153&gt;7,1+IF(V153&gt;7,0.25,0),IF(AB153&gt;4,0.5+IF(V153&gt;7,0.25,0),0)))+IF(AC153="-",0,IF(AC153&gt;7,1.5,IF(AC153&gt;4,1,0)))+IF(AD153="-",0,IF(AD153&gt;9,0.5,IF(AD153&gt;7,0.25,0)))+IF(AE153="-",0,IF(AE153&gt;7,1.25,IF(AE153&gt;4,0.75,0)))+IF(OR(AF153="-",W153&lt;4),0,IF(AF153&gt;7,1+IF(W153&gt;7,0.15,0),IF(AF153&gt;4,0.5+IF(W153&gt;7,0.15,0),0))))</f>
        <v>0</v>
      </c>
      <c r="AO153" s="9">
        <f>($AK$3*AK153+$AL$3*AL153+$AM$3*AM153+$AN$3*AN153)+$J$3*VLOOKUP(J153,COND!$A$2:$C$7,2,FALSE)+$K$3*VLOOKUP(K153,COND!$A$2:$C$7,3,FALSE)</f>
        <v>9.2968310450179352</v>
      </c>
      <c r="AP153" s="37">
        <f>STANDARDIZE(AO153,AVERAGE($AO$5:$AO$1295),STDEVP($AO$5:$AO$1295))</f>
        <v>-0.19028071310198963</v>
      </c>
      <c r="AQ153" t="str">
        <f>IF(AND(Y153&lt;&gt;"-",X153&gt;1),"C",IF(AA153=MAX(AA153:AC153),"2B",IF(AC153=MAX(AA153:AC153),"SS",IF(OR(AB153=MAX(Z153:AC153),AND(AB153&lt;&gt;"-",AB153&gt;4,V153&gt;5)),"3B",IF(AE153=MAX(AD153:AF153),"CF",IF(AND(AF153=MAX(AD153,AF153),AND(W153&gt;5,AD153&lt;&gt;"-")),"RF",IF(AD153&lt;&gt;"-","LF",IF(Z153&lt;&gt;"-","1B","DH"))))))))</f>
        <v>1B</v>
      </c>
      <c r="AR153" t="s">
        <v>35</v>
      </c>
      <c r="AU153" t="str">
        <f>IF(AND($Q153&gt;=6,AVERAGE($S153:$T153)&gt;=6),"Likely",IF(OR($Q153&gt;6,AND($Q153=6,AVERAGE($S153:$T153)&gt;=3),AND($Q153&gt;=5,AVERAGE($S153:$T153)&gt;=5),AVERAGE($Q153,$S153:$T153)&gt;5),"Possible","Unlikely"))</f>
        <v>Unlikely</v>
      </c>
      <c r="AW153" t="str">
        <f>IF(VLOOKUP($B153,'Draft List'!$D$4:$AB$2598,AW$3,FALSE)&lt;&gt;0,VLOOKUP($B153,'Draft List'!$D$4:$AB$2598,AW$3,FALSE),"")</f>
        <v/>
      </c>
      <c r="AX153" t="str">
        <f>IF(VLOOKUP($B153,'Draft List'!$D$4:$AB$2598,AX$3,FALSE)&lt;&gt;0,VLOOKUP($B153,'Draft List'!$D$4:$AB$2598,AX$3,FALSE),"")</f>
        <v/>
      </c>
      <c r="AY153" t="str">
        <f>IF(VLOOKUP($B153,'Draft List'!$D$4:$AB$2598,AY$3,FALSE)&lt;&gt;0,VLOOKUP($B153,'Draft List'!$D$4:$AB$2598,AY$3,FALSE),"")</f>
        <v/>
      </c>
    </row>
    <row r="154" spans="1:51">
      <c r="A154" t="str">
        <f>IF(C154="C","C-",C154)&amp;D154&amp;E154</f>
        <v>C-León Ortega18</v>
      </c>
      <c r="B154" t="e">
        <f>VLOOKUP($A154,draft_listing_batters_stats!$A$1:$B$1324,2,FALSE)</f>
        <v>#N/A</v>
      </c>
      <c r="C154" s="1" t="s">
        <v>2091</v>
      </c>
      <c r="D154" s="1" t="s">
        <v>1389</v>
      </c>
      <c r="E154" s="1">
        <v>18</v>
      </c>
      <c r="F154" s="1" t="s">
        <v>2049</v>
      </c>
      <c r="G154" s="1" t="s">
        <v>2022</v>
      </c>
      <c r="H154" s="1" t="s">
        <v>2033</v>
      </c>
      <c r="I154" s="1" t="s">
        <v>2033</v>
      </c>
      <c r="J154" s="1" t="s">
        <v>2040</v>
      </c>
      <c r="K154" s="1" t="s">
        <v>2030</v>
      </c>
      <c r="L154" s="1">
        <v>1</v>
      </c>
      <c r="M154" s="1">
        <v>1</v>
      </c>
      <c r="N154" s="1">
        <v>1</v>
      </c>
      <c r="O154" s="1">
        <v>1</v>
      </c>
      <c r="P154" s="1">
        <v>1</v>
      </c>
      <c r="Q154" s="1">
        <v>4</v>
      </c>
      <c r="R154" s="1">
        <v>5</v>
      </c>
      <c r="S154" s="1">
        <v>4</v>
      </c>
      <c r="T154" s="1">
        <v>6</v>
      </c>
      <c r="U154" s="1">
        <v>6</v>
      </c>
      <c r="V154" s="1">
        <v>4</v>
      </c>
      <c r="W154" s="1">
        <v>4</v>
      </c>
      <c r="X154" s="1">
        <v>6</v>
      </c>
      <c r="Y154" s="1" t="s">
        <v>2027</v>
      </c>
      <c r="Z154" s="1" t="s">
        <v>2027</v>
      </c>
      <c r="AA154" s="1" t="s">
        <v>2027</v>
      </c>
      <c r="AB154" s="1" t="s">
        <v>2027</v>
      </c>
      <c r="AC154" s="1" t="s">
        <v>2027</v>
      </c>
      <c r="AD154" s="1" t="s">
        <v>2027</v>
      </c>
      <c r="AE154" s="1" t="s">
        <v>2027</v>
      </c>
      <c r="AF154" s="1" t="s">
        <v>2027</v>
      </c>
      <c r="AG154" s="1">
        <v>4</v>
      </c>
      <c r="AH154" s="1">
        <v>1</v>
      </c>
      <c r="AI154" s="1">
        <v>1</v>
      </c>
      <c r="AJ154" s="52" t="s">
        <v>2029</v>
      </c>
      <c r="AK154" s="9">
        <f>($L$3*(L154-$Q$1)/$Q$2+$M$3*(M154-$R$1)/$R$2+$N$3*(N154-$S$1)/$S$2+$O$3*(O154-$T$1)/$T$2+$P$3*(P154-$U$1)/$U$2)/(SUM($L$3:$P$3))</f>
        <v>-2.0843433498275723</v>
      </c>
      <c r="AL154" s="9">
        <f>($L$3*(Q154-$Q$1)/$Q$2+$M$3*(R154-$R$1)/$R$2+$N$3*(S154-$S$1)/$S$2+$O$3*(T154-$T$1)/$T$2+$P$3*(U154-$U$1)/$U$2)/(SUM($L$3:$P$3))</f>
        <v>-1.4622391539706918E-2</v>
      </c>
      <c r="AM154">
        <f>IF(AVERAGE(AG154:AH154)&gt;9,1,0)+IF(AVERAGE(AG154:AH154)&gt;7,1,0)+IF(AG154&gt;7,1,0)+IF(AH154&gt;7,1,0)+IF(AI154&gt;8,1,0)+IF(AI154&gt;6,1,0)</f>
        <v>0</v>
      </c>
      <c r="AN154" s="6">
        <f>MIN(2,IF(OR(Y154="-",X154&lt;5),0,1+IF(Y154&gt;7,1+IF(X154&gt;7,0.25,0),IF(Y154&gt;4,0.5+IF(X154&gt;7,0.25,0),0+IF(X154&gt;7,0.25))))+IF(Z154="-",0,IF(Z154&gt;9,0.5,IF(Z154&gt;7,0.25,0)))+IF(AA154="-",0,IF(AA154&gt;7,1.1,IF(AA154&gt;4,0.6,0)))+IF(OR(AB154="-",V154&lt;5),0,IF(AB154&gt;7,1+IF(V154&gt;7,0.25,0),IF(AB154&gt;4,0.5+IF(V154&gt;7,0.25,0),0)))+IF(AC154="-",0,IF(AC154&gt;7,1.5,IF(AC154&gt;4,1,0)))+IF(AD154="-",0,IF(AD154&gt;9,0.5,IF(AD154&gt;7,0.25,0)))+IF(AE154="-",0,IF(AE154&gt;7,1.25,IF(AE154&gt;4,0.75,0)))+IF(OR(AF154="-",W154&lt;4),0,IF(AF154&gt;7,1+IF(W154&gt;7,0.15,0),IF(AF154&gt;4,0.5+IF(W154&gt;7,0.15,0),0))))</f>
        <v>0</v>
      </c>
      <c r="AO154" s="9">
        <f>($AK$3*AK154+$AL$3*AL154+$AM$3*AM154+$AN$3*AN154)+$J$3*VLOOKUP(J154,COND!$A$2:$C$7,2,FALSE)+$K$3*VLOOKUP(K154,COND!$A$2:$C$7,3,FALSE)</f>
        <v>9.2160969665407606</v>
      </c>
      <c r="AP154" s="37">
        <f>STANDARDIZE(AO154,AVERAGE($AO$5:$AO$1295),STDEVP($AO$5:$AO$1295))</f>
        <v>-0.20149658619660185</v>
      </c>
      <c r="AQ154" t="str">
        <f>IF(AND(Y154&lt;&gt;"-",X154&gt;1),"C",IF(AA154=MAX(AA154:AC154),"2B",IF(AC154=MAX(AA154:AC154),"SS",IF(OR(AB154=MAX(Z154:AC154),AND(AB154&lt;&gt;"-",AB154&gt;4,V154&gt;5)),"3B",IF(AE154=MAX(AD154:AF154),"CF",IF(AND(AF154=MAX(AD154,AF154),AND(W154&gt;5,AD154&lt;&gt;"-")),"RF",IF(AD154&lt;&gt;"-","LF",IF(Z154&lt;&gt;"-","1B","DH"))))))))</f>
        <v>DH</v>
      </c>
      <c r="AR154" t="s">
        <v>35</v>
      </c>
      <c r="AU154" t="str">
        <f>IF(AND($Q154&gt;=6,AVERAGE($S154:$T154)&gt;=6),"Likely",IF(OR($Q154&gt;6,AND($Q154=6,AVERAGE($S154:$T154)&gt;=3),AND($Q154&gt;=5,AVERAGE($S154:$T154)&gt;=5),AVERAGE($Q154,$S154:$T154)&gt;5),"Possible","Unlikely"))</f>
        <v>Unlikely</v>
      </c>
      <c r="AW154" t="e">
        <f>IF(VLOOKUP($B154,'Draft List'!$D$4:$AB$2598,AW$3,FALSE)&lt;&gt;0,VLOOKUP($B154,'Draft List'!$D$4:$AB$2598,AW$3,FALSE),"")</f>
        <v>#N/A</v>
      </c>
      <c r="AX154" t="e">
        <f>IF(VLOOKUP($B154,'Draft List'!$D$4:$AB$2598,AX$3,FALSE)&lt;&gt;0,VLOOKUP($B154,'Draft List'!$D$4:$AB$2598,AX$3,FALSE),"")</f>
        <v>#N/A</v>
      </c>
      <c r="AY154" t="e">
        <f>IF(VLOOKUP($B154,'Draft List'!$D$4:$AB$2598,AY$3,FALSE)&lt;&gt;0,VLOOKUP($B154,'Draft List'!$D$4:$AB$2598,AY$3,FALSE),"")</f>
        <v>#N/A</v>
      </c>
    </row>
    <row r="155" spans="1:51">
      <c r="A155" t="str">
        <f>IF(C155="C","C-",C155)&amp;D155&amp;E155</f>
        <v>C-Jesús López22</v>
      </c>
      <c r="B155" t="e">
        <f>VLOOKUP($A155,draft_listing_batters_stats!$A$1:$B$1324,2,FALSE)</f>
        <v>#N/A</v>
      </c>
      <c r="C155" s="1" t="s">
        <v>2091</v>
      </c>
      <c r="D155" s="1" t="s">
        <v>2101</v>
      </c>
      <c r="E155" s="1">
        <v>22</v>
      </c>
      <c r="F155" s="1" t="s">
        <v>2022</v>
      </c>
      <c r="G155" s="1" t="s">
        <v>2022</v>
      </c>
      <c r="H155" s="1" t="s">
        <v>2033</v>
      </c>
      <c r="I155" s="1" t="s">
        <v>2033</v>
      </c>
      <c r="J155" s="1" t="s">
        <v>2025</v>
      </c>
      <c r="K155" s="1" t="s">
        <v>2025</v>
      </c>
      <c r="L155" s="1">
        <v>3</v>
      </c>
      <c r="M155" s="1">
        <v>9</v>
      </c>
      <c r="N155" s="1">
        <v>2</v>
      </c>
      <c r="O155" s="1">
        <v>4</v>
      </c>
      <c r="P155" s="1">
        <v>2</v>
      </c>
      <c r="Q155" s="1">
        <v>4</v>
      </c>
      <c r="R155" s="1">
        <v>9</v>
      </c>
      <c r="S155" s="1">
        <v>3</v>
      </c>
      <c r="T155" s="1">
        <v>4</v>
      </c>
      <c r="U155" s="1">
        <v>3</v>
      </c>
      <c r="V155" s="1">
        <v>3</v>
      </c>
      <c r="W155" s="1">
        <v>3</v>
      </c>
      <c r="X155" s="1">
        <v>5</v>
      </c>
      <c r="Y155" s="1">
        <v>5</v>
      </c>
      <c r="Z155" s="1" t="s">
        <v>2027</v>
      </c>
      <c r="AA155" s="1" t="s">
        <v>2027</v>
      </c>
      <c r="AB155" s="1" t="s">
        <v>2027</v>
      </c>
      <c r="AC155" s="1" t="s">
        <v>2027</v>
      </c>
      <c r="AD155" s="1" t="s">
        <v>2027</v>
      </c>
      <c r="AE155" s="1" t="s">
        <v>2027</v>
      </c>
      <c r="AF155" s="1" t="s">
        <v>2027</v>
      </c>
      <c r="AG155" s="1">
        <v>2</v>
      </c>
      <c r="AH155" s="1">
        <v>3</v>
      </c>
      <c r="AI155" s="1">
        <v>1</v>
      </c>
      <c r="AJ155" s="52" t="s">
        <v>2029</v>
      </c>
      <c r="AK155" s="9">
        <f>($L$3*(L155-$Q$1)/$Q$2+$M$3*(M155-$R$1)/$R$2+$N$3*(N155-$S$1)/$S$2+$O$3*(O155-$T$1)/$T$2+$P$3*(P155-$U$1)/$U$2)/(SUM($L$3:$P$3))</f>
        <v>-0.63854615660286651</v>
      </c>
      <c r="AL155" s="9">
        <f>($L$3*(Q155-$Q$1)/$Q$2+$M$3*(R155-$R$1)/$R$2+$N$3*(S155-$S$1)/$S$2+$O$3*(T155-$T$1)/$T$2+$P$3*(U155-$U$1)/$U$2)/(SUM($L$3:$P$3))</f>
        <v>-0.19291248655920687</v>
      </c>
      <c r="AM155">
        <f>IF(AVERAGE(AG155:AH155)&gt;9,1,0)+IF(AVERAGE(AG155:AH155)&gt;7,1,0)+IF(AG155&gt;7,1,0)+IF(AH155&gt;7,1,0)+IF(AI155&gt;8,1,0)+IF(AI155&gt;6,1,0)</f>
        <v>0</v>
      </c>
      <c r="AN155" s="6">
        <f>MIN(2,IF(OR(Y155="-",X155&lt;5),0,1+IF(Y155&gt;7,1+IF(X155&gt;7,0.25,0),IF(Y155&gt;4,0.5+IF(X155&gt;7,0.25,0),0+IF(X155&gt;7,0.25))))+IF(Z155="-",0,IF(Z155&gt;9,0.5,IF(Z155&gt;7,0.25,0)))+IF(AA155="-",0,IF(AA155&gt;7,1.1,IF(AA155&gt;4,0.6,0)))+IF(OR(AB155="-",V155&lt;5),0,IF(AB155&gt;7,1+IF(V155&gt;7,0.25,0),IF(AB155&gt;4,0.5+IF(V155&gt;7,0.25,0),0)))+IF(AC155="-",0,IF(AC155&gt;7,1.5,IF(AC155&gt;4,1,0)))+IF(AD155="-",0,IF(AD155&gt;9,0.5,IF(AD155&gt;7,0.25,0)))+IF(AE155="-",0,IF(AE155&gt;7,1.25,IF(AE155&gt;4,0.75,0)))+IF(OR(AF155="-",W155&lt;4),0,IF(AF155&gt;7,1+IF(W155&gt;7,0.15,0),IF(AF155&gt;4,0.5+IF(W155&gt;7,0.15,0),0))))</f>
        <v>1.5</v>
      </c>
      <c r="AO155" s="9">
        <f>($AK$3*AK155+$AL$3*AL155+$AM$3*AM155+$AN$3*AN155)+$J$3*VLOOKUP(J155,COND!$A$2:$C$7,2,FALSE)+$K$3*VLOOKUP(K155,COND!$A$2:$C$7,3,FALSE)</f>
        <v>9.1211955456292308</v>
      </c>
      <c r="AP155" s="37">
        <f>STANDARDIZE(AO155,AVERAGE($AO$5:$AO$1295),STDEVP($AO$5:$AO$1295))</f>
        <v>-0.21468063825391279</v>
      </c>
      <c r="AQ155" t="str">
        <f>IF(AND(Y155&lt;&gt;"-",X155&gt;1),"C",IF(AA155=MAX(AA155:AC155),"2B",IF(AC155=MAX(AA155:AC155),"SS",IF(OR(AB155=MAX(Z155:AC155),AND(AB155&lt;&gt;"-",AB155&gt;4,V155&gt;5)),"3B",IF(AE155=MAX(AD155:AF155),"CF",IF(AND(AF155=MAX(AD155,AF155),AND(W155&gt;5,AD155&lt;&gt;"-")),"RF",IF(AD155&lt;&gt;"-","LF",IF(Z155&lt;&gt;"-","1B","DH"))))))))</f>
        <v>C</v>
      </c>
      <c r="AR155" t="s">
        <v>35</v>
      </c>
      <c r="AU155" t="str">
        <f>IF(AND($Q155&gt;=6,AVERAGE($S155:$T155)&gt;=6),"Likely",IF(OR($Q155&gt;6,AND($Q155=6,AVERAGE($S155:$T155)&gt;=3),AND($Q155&gt;=5,AVERAGE($S155:$T155)&gt;=5),AVERAGE($Q155,$S155:$T155)&gt;5),"Possible","Unlikely"))</f>
        <v>Unlikely</v>
      </c>
      <c r="AW155" t="e">
        <f>IF(VLOOKUP($B155,'Draft List'!$D$4:$AB$2598,AW$3,FALSE)&lt;&gt;0,VLOOKUP($B155,'Draft List'!$D$4:$AB$2598,AW$3,FALSE),"")</f>
        <v>#N/A</v>
      </c>
      <c r="AX155" t="e">
        <f>IF(VLOOKUP($B155,'Draft List'!$D$4:$AB$2598,AX$3,FALSE)&lt;&gt;0,VLOOKUP($B155,'Draft List'!$D$4:$AB$2598,AX$3,FALSE),"")</f>
        <v>#N/A</v>
      </c>
      <c r="AY155" t="e">
        <f>IF(VLOOKUP($B155,'Draft List'!$D$4:$AB$2598,AY$3,FALSE)&lt;&gt;0,VLOOKUP($B155,'Draft List'!$D$4:$AB$2598,AY$3,FALSE),"")</f>
        <v>#N/A</v>
      </c>
    </row>
    <row r="156" spans="1:51">
      <c r="A156" t="str">
        <f>IF(C156="C","C-",C156)&amp;D156&amp;E156</f>
        <v>LFDan Hartwig18</v>
      </c>
      <c r="B156">
        <f>VLOOKUP($A156,draft_listing_batters_stats!$A$1:$B$1324,2,FALSE)</f>
        <v>383</v>
      </c>
      <c r="C156" s="1" t="s">
        <v>2035</v>
      </c>
      <c r="D156" s="1" t="s">
        <v>1309</v>
      </c>
      <c r="E156" s="1">
        <v>18</v>
      </c>
      <c r="F156" s="1" t="s">
        <v>2038</v>
      </c>
      <c r="G156" s="1" t="s">
        <v>2038</v>
      </c>
      <c r="H156" s="1" t="s">
        <v>2033</v>
      </c>
      <c r="I156" s="1" t="s">
        <v>2033</v>
      </c>
      <c r="J156" s="1" t="s">
        <v>2026</v>
      </c>
      <c r="K156" s="1" t="s">
        <v>2026</v>
      </c>
      <c r="L156" s="1">
        <v>1</v>
      </c>
      <c r="M156" s="1">
        <v>2</v>
      </c>
      <c r="N156" s="1">
        <v>1</v>
      </c>
      <c r="O156" s="1">
        <v>1</v>
      </c>
      <c r="P156" s="1">
        <v>1</v>
      </c>
      <c r="Q156" s="1">
        <v>5</v>
      </c>
      <c r="R156" s="1">
        <v>4</v>
      </c>
      <c r="S156" s="1">
        <v>2</v>
      </c>
      <c r="T156" s="1">
        <v>4</v>
      </c>
      <c r="U156" s="1">
        <v>5</v>
      </c>
      <c r="V156" s="1">
        <v>1</v>
      </c>
      <c r="W156" s="1">
        <v>9</v>
      </c>
      <c r="X156" s="1">
        <v>2</v>
      </c>
      <c r="Y156" s="1" t="s">
        <v>2027</v>
      </c>
      <c r="Z156" s="1" t="s">
        <v>2027</v>
      </c>
      <c r="AA156" s="1" t="s">
        <v>2027</v>
      </c>
      <c r="AB156" s="1" t="s">
        <v>2027</v>
      </c>
      <c r="AC156" s="1" t="s">
        <v>2027</v>
      </c>
      <c r="AD156" s="1">
        <v>4</v>
      </c>
      <c r="AE156" s="1">
        <v>1</v>
      </c>
      <c r="AF156" s="1">
        <v>1</v>
      </c>
      <c r="AG156" s="1">
        <v>10</v>
      </c>
      <c r="AH156" s="1">
        <v>10</v>
      </c>
      <c r="AI156" s="1">
        <v>9</v>
      </c>
      <c r="AJ156" s="52" t="s">
        <v>2029</v>
      </c>
      <c r="AK156" s="9">
        <f>($L$3*(L156-$Q$1)/$Q$2+$M$3*(M156-$R$1)/$R$2+$N$3*(N156-$S$1)/$S$2+$O$3*(O156-$T$1)/$T$2+$P$3*(P156-$U$1)/$U$2)/(SUM($L$3:$P$3))</f>
        <v>-2.0332834702088682</v>
      </c>
      <c r="AL156" s="9">
        <f>($L$3*(Q156-$Q$1)/$Q$2+$M$3*(R156-$R$1)/$R$2+$N$3*(S156-$S$1)/$S$2+$O$3*(T156-$T$1)/$T$2+$P$3*(U156-$U$1)/$U$2)/(SUM($L$3:$P$3))</f>
        <v>-0.12868486283978423</v>
      </c>
      <c r="AM156">
        <f>IF(AVERAGE(AG156:AH156)&gt;9,1,0)+IF(AVERAGE(AG156:AH156)&gt;7,1,0)+IF(AG156&gt;7,1,0)+IF(AH156&gt;7,1,0)+IF(AI156&gt;8,1,0)+IF(AI156&gt;6,1,0)</f>
        <v>6</v>
      </c>
      <c r="AN156" s="6">
        <f>MIN(2,IF(OR(Y156="-",X156&lt;5),0,1+IF(Y156&gt;7,1+IF(X156&gt;7,0.25,0),IF(Y156&gt;4,0.5+IF(X156&gt;7,0.25,0),0+IF(X156&gt;7,0.25))))+IF(Z156="-",0,IF(Z156&gt;9,0.5,IF(Z156&gt;7,0.25,0)))+IF(AA156="-",0,IF(AA156&gt;7,1.1,IF(AA156&gt;4,0.6,0)))+IF(OR(AB156="-",V156&lt;5),0,IF(AB156&gt;7,1+IF(V156&gt;7,0.25,0),IF(AB156&gt;4,0.5+IF(V156&gt;7,0.25,0),0)))+IF(AC156="-",0,IF(AC156&gt;7,1.5,IF(AC156&gt;4,1,0)))+IF(AD156="-",0,IF(AD156&gt;9,0.5,IF(AD156&gt;7,0.25,0)))+IF(AE156="-",0,IF(AE156&gt;7,1.25,IF(AE156&gt;4,0.75,0)))+IF(OR(AF156="-",W156&lt;4),0,IF(AF156&gt;7,1+IF(W156&gt;7,0.15,0),IF(AF156&gt;4,0.5+IF(W156&gt;7,0.15,0),0))))</f>
        <v>0</v>
      </c>
      <c r="AO156" s="9">
        <f>($AK$3*AK156+$AL$3*AL156+$AM$3*AM156+$AN$3*AN156)+$J$3*VLOOKUP(J156,COND!$A$2:$C$7,2,FALSE)+$K$3*VLOOKUP(K156,COND!$A$2:$C$7,3,FALSE)</f>
        <v>9.0524532989017032</v>
      </c>
      <c r="AP156" s="37">
        <f>STANDARDIZE(AO156,AVERAGE($AO$5:$AO$1295),STDEVP($AO$5:$AO$1295))</f>
        <v>-0.22423056227704327</v>
      </c>
      <c r="AQ156" t="str">
        <f>IF(AND(Y156&lt;&gt;"-",X156&gt;1),"C",IF(AA156=MAX(AA156:AC156),"2B",IF(AC156=MAX(AA156:AC156),"SS",IF(OR(AB156=MAX(Z156:AC156),AND(AB156&lt;&gt;"-",AB156&gt;4,V156&gt;5)),"3B",IF(AE156=MAX(AD156:AF156),"CF",IF(AND(AF156=MAX(AD156,AF156),AND(W156&gt;5,AD156&lt;&gt;"-")),"RF",IF(AD156&lt;&gt;"-","LF",IF(Z156&lt;&gt;"-","1B","DH"))))))))</f>
        <v>LF</v>
      </c>
      <c r="AR156" t="s">
        <v>35</v>
      </c>
      <c r="AU156" t="str">
        <f>IF(AND($Q156&gt;=6,AVERAGE($S156:$T156)&gt;=6),"Likely",IF(OR($Q156&gt;6,AND($Q156=6,AVERAGE($S156:$T156)&gt;=3),AND($Q156&gt;=5,AVERAGE($S156:$T156)&gt;=5),AVERAGE($Q156,$S156:$T156)&gt;5),"Possible","Unlikely"))</f>
        <v>Unlikely</v>
      </c>
      <c r="AW156" t="str">
        <f>IF(VLOOKUP($B156,'Draft List'!$D$4:$AB$2598,AW$3,FALSE)&lt;&gt;0,VLOOKUP($B156,'Draft List'!$D$4:$AB$2598,AW$3,FALSE),"")</f>
        <v/>
      </c>
      <c r="AX156" t="str">
        <f>IF(VLOOKUP($B156,'Draft List'!$D$4:$AB$2598,AX$3,FALSE)&lt;&gt;0,VLOOKUP($B156,'Draft List'!$D$4:$AB$2598,AX$3,FALSE),"")</f>
        <v/>
      </c>
      <c r="AY156" t="str">
        <f>IF(VLOOKUP($B156,'Draft List'!$D$4:$AB$2598,AY$3,FALSE)&lt;&gt;0,VLOOKUP($B156,'Draft List'!$D$4:$AB$2598,AY$3,FALSE),"")</f>
        <v/>
      </c>
    </row>
    <row r="157" spans="1:51">
      <c r="A157" t="str">
        <f>IF(C157="C","C-",C157)&amp;D157&amp;E157</f>
        <v>3BJon Woods21</v>
      </c>
      <c r="B157">
        <f>VLOOKUP($A157,draft_listing_batters_stats!$A$1:$B$1324,2,FALSE)</f>
        <v>5650</v>
      </c>
      <c r="C157" s="1" t="s">
        <v>2061</v>
      </c>
      <c r="D157" s="1" t="s">
        <v>1262</v>
      </c>
      <c r="E157" s="1">
        <v>21</v>
      </c>
      <c r="F157" s="1" t="s">
        <v>2049</v>
      </c>
      <c r="G157" s="1" t="s">
        <v>2022</v>
      </c>
      <c r="H157" s="1" t="s">
        <v>2033</v>
      </c>
      <c r="I157" s="1" t="s">
        <v>2033</v>
      </c>
      <c r="J157" s="1" t="s">
        <v>2040</v>
      </c>
      <c r="K157" s="1" t="s">
        <v>2040</v>
      </c>
      <c r="L157" s="1">
        <v>4</v>
      </c>
      <c r="M157" s="1">
        <v>4</v>
      </c>
      <c r="N157" s="1">
        <v>1</v>
      </c>
      <c r="O157" s="1">
        <v>3</v>
      </c>
      <c r="P157" s="1">
        <v>2</v>
      </c>
      <c r="Q157" s="1">
        <v>5</v>
      </c>
      <c r="R157" s="1">
        <v>5</v>
      </c>
      <c r="S157" s="1">
        <v>2</v>
      </c>
      <c r="T157" s="1">
        <v>4</v>
      </c>
      <c r="U157" s="1">
        <v>4</v>
      </c>
      <c r="V157" s="1">
        <v>10</v>
      </c>
      <c r="W157" s="1">
        <v>1</v>
      </c>
      <c r="X157" s="1">
        <v>2</v>
      </c>
      <c r="Y157" s="1">
        <v>1</v>
      </c>
      <c r="Z157" s="1">
        <v>8</v>
      </c>
      <c r="AA157" s="1" t="s">
        <v>2027</v>
      </c>
      <c r="AB157" s="1">
        <v>6</v>
      </c>
      <c r="AC157" s="1" t="s">
        <v>2027</v>
      </c>
      <c r="AD157" s="1" t="s">
        <v>2027</v>
      </c>
      <c r="AE157" s="1" t="s">
        <v>2027</v>
      </c>
      <c r="AF157" s="1" t="s">
        <v>2027</v>
      </c>
      <c r="AG157" s="1">
        <v>6</v>
      </c>
      <c r="AH157" s="1">
        <v>9</v>
      </c>
      <c r="AI157" s="1">
        <v>8</v>
      </c>
      <c r="AJ157" s="52" t="s">
        <v>2029</v>
      </c>
      <c r="AK157" s="9">
        <f>($L$3*(L157-$Q$1)/$Q$2+$M$3*(M157-$R$1)/$R$2+$N$3*(N157-$S$1)/$S$2+$O$3*(O157-$T$1)/$T$2+$P$3*(P157-$U$1)/$U$2)/(SUM($L$3:$P$3))</f>
        <v>-0.74406076252719189</v>
      </c>
      <c r="AL157" s="9">
        <f>($L$3*(Q157-$Q$1)/$Q$2+$M$3*(R157-$R$1)/$R$2+$N$3*(S157-$S$1)/$S$2+$O$3*(T157-$T$1)/$T$2+$P$3*(U157-$U$1)/$U$2)/(SUM($L$3:$P$3))</f>
        <v>-0.11764132303816419</v>
      </c>
      <c r="AM157">
        <f>IF(AVERAGE(AG157:AH157)&gt;9,1,0)+IF(AVERAGE(AG157:AH157)&gt;7,1,0)+IF(AG157&gt;7,1,0)+IF(AH157&gt;7,1,0)+IF(AI157&gt;8,1,0)+IF(AI157&gt;6,1,0)</f>
        <v>3</v>
      </c>
      <c r="AN157" s="6">
        <f>MIN(2,IF(OR(Y157="-",X157&lt;5),0,1+IF(Y157&gt;7,1+IF(X157&gt;7,0.25,0),IF(Y157&gt;4,0.5+IF(X157&gt;7,0.25,0),0+IF(X157&gt;7,0.25))))+IF(Z157="-",0,IF(Z157&gt;9,0.5,IF(Z157&gt;7,0.25,0)))+IF(AA157="-",0,IF(AA157&gt;7,1.1,IF(AA157&gt;4,0.6,0)))+IF(OR(AB157="-",V157&lt;5),0,IF(AB157&gt;7,1+IF(V157&gt;7,0.25,0),IF(AB157&gt;4,0.5+IF(V157&gt;7,0.25,0),0)))+IF(AC157="-",0,IF(AC157&gt;7,1.5,IF(AC157&gt;4,1,0)))+IF(AD157="-",0,IF(AD157&gt;9,0.5,IF(AD157&gt;7,0.25,0)))+IF(AE157="-",0,IF(AE157&gt;7,1.25,IF(AE157&gt;4,0.75,0)))+IF(OR(AF157="-",W157&lt;4),0,IF(AF157&gt;7,1+IF(W157&gt;7,0.15,0),IF(AF157&gt;4,0.5+IF(W157&gt;7,0.15,0),0))))</f>
        <v>1</v>
      </c>
      <c r="AO157" s="9">
        <f>($AK$3*AK157+$AL$3*AL157+$AM$3*AM157+$AN$3*AN157)+$J$3*VLOOKUP(J157,COND!$A$2:$C$7,2,FALSE)+$K$3*VLOOKUP(K157,COND!$A$2:$C$7,3,FALSE)</f>
        <v>9.0138980472893095</v>
      </c>
      <c r="AP157" s="37">
        <f>STANDARDIZE(AO157,AVERAGE($AO$5:$AO$1295),STDEVP($AO$5:$AO$1295))</f>
        <v>-0.2295867986690609</v>
      </c>
      <c r="AQ157" t="str">
        <f>IF(AND(Y157&lt;&gt;"-",X157&gt;1),"C",IF(AA157=MAX(AA157:AC157),"2B",IF(AC157=MAX(AA157:AC157),"SS",IF(OR(AB157=MAX(Z157:AC157),AND(AB157&lt;&gt;"-",AB157&gt;4,V157&gt;5)),"3B",IF(AE157=MAX(AD157:AF157),"CF",IF(AND(AF157=MAX(AD157,AF157),AND(W157&gt;5,AD157&lt;&gt;"-")),"RF",IF(AD157&lt;&gt;"-","LF",IF(Z157&lt;&gt;"-","1B","DH"))))))))</f>
        <v>C</v>
      </c>
      <c r="AR157" t="s">
        <v>35</v>
      </c>
      <c r="AU157" t="str">
        <f>IF(AND($Q157&gt;=6,AVERAGE($S157:$T157)&gt;=6),"Likely",IF(OR($Q157&gt;6,AND($Q157=6,AVERAGE($S157:$T157)&gt;=3),AND($Q157&gt;=5,AVERAGE($S157:$T157)&gt;=5),AVERAGE($Q157,$S157:$T157)&gt;5),"Possible","Unlikely"))</f>
        <v>Unlikely</v>
      </c>
      <c r="AW157" t="str">
        <f>IF(VLOOKUP($B157,'Draft List'!$D$4:$AB$2598,AW$3,FALSE)&lt;&gt;0,VLOOKUP($B157,'Draft List'!$D$4:$AB$2598,AW$3,FALSE),"")</f>
        <v/>
      </c>
      <c r="AX157" t="str">
        <f>IF(VLOOKUP($B157,'Draft List'!$D$4:$AB$2598,AX$3,FALSE)&lt;&gt;0,VLOOKUP($B157,'Draft List'!$D$4:$AB$2598,AX$3,FALSE),"")</f>
        <v/>
      </c>
      <c r="AY157" t="str">
        <f>IF(VLOOKUP($B157,'Draft List'!$D$4:$AB$2598,AY$3,FALSE)&lt;&gt;0,VLOOKUP($B157,'Draft List'!$D$4:$AB$2598,AY$3,FALSE),"")</f>
        <v/>
      </c>
    </row>
    <row r="158" spans="1:51">
      <c r="A158" t="str">
        <f>IF(C158="C","C-",C158)&amp;D158&amp;E158</f>
        <v>SSVicente Lorenzo21</v>
      </c>
      <c r="B158">
        <f>VLOOKUP($A158,draft_listing_batters_stats!$A$1:$B$1324,2,FALSE)</f>
        <v>3939</v>
      </c>
      <c r="C158" s="1" t="s">
        <v>2074</v>
      </c>
      <c r="D158" s="1" t="s">
        <v>1348</v>
      </c>
      <c r="E158" s="1">
        <v>21</v>
      </c>
      <c r="F158" s="1" t="s">
        <v>2022</v>
      </c>
      <c r="G158" s="1" t="s">
        <v>2022</v>
      </c>
      <c r="H158" s="1" t="s">
        <v>2033</v>
      </c>
      <c r="I158" s="1" t="s">
        <v>2033</v>
      </c>
      <c r="J158" s="1" t="s">
        <v>2025</v>
      </c>
      <c r="K158" s="1" t="s">
        <v>2030</v>
      </c>
      <c r="L158" s="1">
        <v>4</v>
      </c>
      <c r="M158" s="1">
        <v>4</v>
      </c>
      <c r="N158" s="1">
        <v>1</v>
      </c>
      <c r="O158" s="1">
        <v>2</v>
      </c>
      <c r="P158" s="1">
        <v>2</v>
      </c>
      <c r="Q158" s="1">
        <v>5</v>
      </c>
      <c r="R158" s="1">
        <v>5</v>
      </c>
      <c r="S158" s="1">
        <v>2</v>
      </c>
      <c r="T158" s="1">
        <v>3</v>
      </c>
      <c r="U158" s="1">
        <v>4</v>
      </c>
      <c r="V158" s="1">
        <v>4</v>
      </c>
      <c r="W158" s="1">
        <v>1</v>
      </c>
      <c r="X158" s="1">
        <v>1</v>
      </c>
      <c r="Y158" s="1" t="s">
        <v>2027</v>
      </c>
      <c r="Z158" s="1">
        <v>5</v>
      </c>
      <c r="AA158" s="1">
        <v>6</v>
      </c>
      <c r="AB158" s="1" t="s">
        <v>2027</v>
      </c>
      <c r="AC158" s="1">
        <v>4</v>
      </c>
      <c r="AD158" s="1" t="s">
        <v>2027</v>
      </c>
      <c r="AE158" s="1" t="s">
        <v>2027</v>
      </c>
      <c r="AF158" s="1" t="s">
        <v>2027</v>
      </c>
      <c r="AG158" s="1">
        <v>8</v>
      </c>
      <c r="AH158" s="1">
        <v>10</v>
      </c>
      <c r="AI158" s="1">
        <v>10</v>
      </c>
      <c r="AJ158" s="52" t="s">
        <v>2029</v>
      </c>
      <c r="AK158" s="9">
        <f>($L$3*(L158-$Q$1)/$Q$2+$M$3*(M158-$R$1)/$R$2+$N$3*(N158-$S$1)/$S$2+$O$3*(O158-$T$1)/$T$2+$P$3*(P158-$U$1)/$U$2)/(SUM($L$3:$P$3))</f>
        <v>-0.83377031253677281</v>
      </c>
      <c r="AL158" s="9">
        <f>($L$3*(Q158-$Q$1)/$Q$2+$M$3*(R158-$R$1)/$R$2+$N$3*(S158-$S$1)/$S$2+$O$3*(T158-$T$1)/$T$2+$P$3*(U158-$U$1)/$U$2)/(SUM($L$3:$P$3))</f>
        <v>-0.20735087304774522</v>
      </c>
      <c r="AM158">
        <f>IF(AVERAGE(AG158:AH158)&gt;9,1,0)+IF(AVERAGE(AG158:AH158)&gt;7,1,0)+IF(AG158&gt;7,1,0)+IF(AH158&gt;7,1,0)+IF(AI158&gt;8,1,0)+IF(AI158&gt;6,1,0)</f>
        <v>5</v>
      </c>
      <c r="AN158" s="6">
        <f>MIN(2,IF(OR(Y158="-",X158&lt;5),0,1+IF(Y158&gt;7,1+IF(X158&gt;7,0.25,0),IF(Y158&gt;4,0.5+IF(X158&gt;7,0.25,0),0+IF(X158&gt;7,0.25))))+IF(Z158="-",0,IF(Z158&gt;9,0.5,IF(Z158&gt;7,0.25,0)))+IF(AA158="-",0,IF(AA158&gt;7,1.1,IF(AA158&gt;4,0.6,0)))+IF(OR(AB158="-",V158&lt;5),0,IF(AB158&gt;7,1+IF(V158&gt;7,0.25,0),IF(AB158&gt;4,0.5+IF(V158&gt;7,0.25,0),0)))+IF(AC158="-",0,IF(AC158&gt;7,1.5,IF(AC158&gt;4,1,0)))+IF(AD158="-",0,IF(AD158&gt;9,0.5,IF(AD158&gt;7,0.25,0)))+IF(AE158="-",0,IF(AE158&gt;7,1.25,IF(AE158&gt;4,0.75,0)))+IF(OR(AF158="-",W158&lt;4),0,IF(AF158&gt;7,1+IF(W158&gt;7,0.15,0),IF(AF158&gt;4,0.5+IF(W158&gt;7,0.15,0),0))))</f>
        <v>0.6</v>
      </c>
      <c r="AO158" s="9">
        <f>($AK$3*AK158+$AL$3*AL158+$AM$3*AM158+$AN$3*AN158)+$J$3*VLOOKUP(J158,COND!$A$2:$C$7,2,FALSE)+$K$3*VLOOKUP(K158,COND!$A$2:$C$7,3,FALSE)</f>
        <v>8.9617458255067124</v>
      </c>
      <c r="AP158" s="37">
        <f>STANDARDIZE(AO158,AVERAGE($AO$5:$AO$1295),STDEVP($AO$5:$AO$1295))</f>
        <v>-0.23683197582533519</v>
      </c>
      <c r="AQ158" t="str">
        <f>IF(AND(Y158&lt;&gt;"-",X158&gt;1),"C",IF(AA158=MAX(AA158:AC158),"2B",IF(AC158=MAX(AA158:AC158),"SS",IF(OR(AB158=MAX(Z158:AC158),AND(AB158&lt;&gt;"-",AB158&gt;4,V158&gt;5)),"3B",IF(AE158=MAX(AD158:AF158),"CF",IF(AND(AF158=MAX(AD158,AF158),AND(W158&gt;5,AD158&lt;&gt;"-")),"RF",IF(AD158&lt;&gt;"-","LF",IF(Z158&lt;&gt;"-","1B","DH"))))))))</f>
        <v>2B</v>
      </c>
      <c r="AR158" t="s">
        <v>35</v>
      </c>
      <c r="AU158" t="str">
        <f>IF(AND($Q158&gt;=6,AVERAGE($S158:$T158)&gt;=6),"Likely",IF(OR($Q158&gt;6,AND($Q158=6,AVERAGE($S158:$T158)&gt;=3),AND($Q158&gt;=5,AVERAGE($S158:$T158)&gt;=5),AVERAGE($Q158,$S158:$T158)&gt;5),"Possible","Unlikely"))</f>
        <v>Unlikely</v>
      </c>
      <c r="AW158" t="str">
        <f>IF(VLOOKUP($B158,'Draft List'!$D$4:$AB$2598,AW$3,FALSE)&lt;&gt;0,VLOOKUP($B158,'Draft List'!$D$4:$AB$2598,AW$3,FALSE),"")</f>
        <v/>
      </c>
      <c r="AX158" t="str">
        <f>IF(VLOOKUP($B158,'Draft List'!$D$4:$AB$2598,AX$3,FALSE)&lt;&gt;0,VLOOKUP($B158,'Draft List'!$D$4:$AB$2598,AX$3,FALSE),"")</f>
        <v/>
      </c>
      <c r="AY158" t="str">
        <f>IF(VLOOKUP($B158,'Draft List'!$D$4:$AB$2598,AY$3,FALSE)&lt;&gt;0,VLOOKUP($B158,'Draft List'!$D$4:$AB$2598,AY$3,FALSE),"")</f>
        <v/>
      </c>
    </row>
    <row r="159" spans="1:51">
      <c r="A159" t="str">
        <f>IF(C159="C","C-",C159)&amp;D159&amp;E159</f>
        <v>C-Anthony Leonard21</v>
      </c>
      <c r="B159">
        <f>VLOOKUP($A159,draft_listing_batters_stats!$A$1:$B$1324,2,FALSE)</f>
        <v>6757</v>
      </c>
      <c r="C159" s="1" t="s">
        <v>2091</v>
      </c>
      <c r="D159" s="1" t="s">
        <v>1344</v>
      </c>
      <c r="E159" s="1">
        <v>21</v>
      </c>
      <c r="F159" s="1" t="s">
        <v>2022</v>
      </c>
      <c r="G159" s="1" t="s">
        <v>2022</v>
      </c>
      <c r="H159" s="1" t="s">
        <v>2033</v>
      </c>
      <c r="I159" s="1" t="s">
        <v>2033</v>
      </c>
      <c r="J159" s="1" t="s">
        <v>2040</v>
      </c>
      <c r="K159" s="1" t="s">
        <v>2026</v>
      </c>
      <c r="L159" s="1">
        <v>4</v>
      </c>
      <c r="M159" s="1">
        <v>4</v>
      </c>
      <c r="N159" s="1">
        <v>2</v>
      </c>
      <c r="O159" s="1">
        <v>3</v>
      </c>
      <c r="P159" s="1">
        <v>2</v>
      </c>
      <c r="Q159" s="1">
        <v>5</v>
      </c>
      <c r="R159" s="1">
        <v>5</v>
      </c>
      <c r="S159" s="1">
        <v>2</v>
      </c>
      <c r="T159" s="1">
        <v>4</v>
      </c>
      <c r="U159" s="1">
        <v>4</v>
      </c>
      <c r="V159" s="1">
        <v>3</v>
      </c>
      <c r="W159" s="1">
        <v>3</v>
      </c>
      <c r="X159" s="1">
        <v>5</v>
      </c>
      <c r="Y159" s="1">
        <v>4</v>
      </c>
      <c r="Z159" s="1" t="s">
        <v>2027</v>
      </c>
      <c r="AA159" s="1" t="s">
        <v>2027</v>
      </c>
      <c r="AB159" s="1" t="s">
        <v>2027</v>
      </c>
      <c r="AC159" s="1" t="s">
        <v>2027</v>
      </c>
      <c r="AD159" s="1" t="s">
        <v>2027</v>
      </c>
      <c r="AE159" s="1" t="s">
        <v>2027</v>
      </c>
      <c r="AF159" s="1" t="s">
        <v>2027</v>
      </c>
      <c r="AG159" s="1">
        <v>4</v>
      </c>
      <c r="AH159" s="1">
        <v>2</v>
      </c>
      <c r="AI159" s="1">
        <v>1</v>
      </c>
      <c r="AJ159" s="52" t="s">
        <v>2029</v>
      </c>
      <c r="AK159" s="9">
        <f>($L$3*(L159-$Q$1)/$Q$2+$M$3*(M159-$R$1)/$R$2+$N$3*(N159-$S$1)/$S$2+$O$3*(O159-$T$1)/$T$2+$P$3*(P159-$U$1)/$U$2)/(SUM($L$3:$P$3))</f>
        <v>-0.66099926850329038</v>
      </c>
      <c r="AL159" s="9">
        <f>($L$3*(Q159-$Q$1)/$Q$2+$M$3*(R159-$R$1)/$R$2+$N$3*(S159-$S$1)/$S$2+$O$3*(T159-$T$1)/$T$2+$P$3*(U159-$U$1)/$U$2)/(SUM($L$3:$P$3))</f>
        <v>-0.11764132303816419</v>
      </c>
      <c r="AM159">
        <f>IF(AVERAGE(AG159:AH159)&gt;9,1,0)+IF(AVERAGE(AG159:AH159)&gt;7,1,0)+IF(AG159&gt;7,1,0)+IF(AH159&gt;7,1,0)+IF(AI159&gt;8,1,0)+IF(AI159&gt;6,1,0)</f>
        <v>0</v>
      </c>
      <c r="AN159" s="6">
        <f>MIN(2,IF(OR(Y159="-",X159&lt;5),0,1+IF(Y159&gt;7,1+IF(X159&gt;7,0.25,0),IF(Y159&gt;4,0.5+IF(X159&gt;7,0.25,0),0+IF(X159&gt;7,0.25))))+IF(Z159="-",0,IF(Z159&gt;9,0.5,IF(Z159&gt;7,0.25,0)))+IF(AA159="-",0,IF(AA159&gt;7,1.1,IF(AA159&gt;4,0.6,0)))+IF(OR(AB159="-",V159&lt;5),0,IF(AB159&gt;7,1+IF(V159&gt;7,0.25,0),IF(AB159&gt;4,0.5+IF(V159&gt;7,0.25,0),0)))+IF(AC159="-",0,IF(AC159&gt;7,1.5,IF(AC159&gt;4,1,0)))+IF(AD159="-",0,IF(AD159&gt;9,0.5,IF(AD159&gt;7,0.25,0)))+IF(AE159="-",0,IF(AE159&gt;7,1.25,IF(AE159&gt;4,0.75,0)))+IF(OR(AF159="-",W159&lt;4),0,IF(AF159&gt;7,1+IF(W159&gt;7,0.15,0),IF(AF159&gt;4,0.5+IF(W159&gt;7,0.15,0),0))))</f>
        <v>1</v>
      </c>
      <c r="AO159" s="9">
        <f>($AK$3*AK159+$AL$3*AL159+$AM$3*AM159+$AN$3*AN159)+$J$3*VLOOKUP(J159,COND!$A$2:$C$7,2,FALSE)+$K$3*VLOOKUP(K159,COND!$A$2:$C$7,3,FALSE)</f>
        <v>8.9222041966917018</v>
      </c>
      <c r="AP159" s="37">
        <f>STANDARDIZE(AO159,AVERAGE($AO$5:$AO$1295),STDEVP($AO$5:$AO$1295))</f>
        <v>-0.24232524334146602</v>
      </c>
      <c r="AQ159" t="str">
        <f>IF(AND(Y159&lt;&gt;"-",X159&gt;1),"C",IF(AA159=MAX(AA159:AC159),"2B",IF(AC159=MAX(AA159:AC159),"SS",IF(OR(AB159=MAX(Z159:AC159),AND(AB159&lt;&gt;"-",AB159&gt;4,V159&gt;5)),"3B",IF(AE159=MAX(AD159:AF159),"CF",IF(AND(AF159=MAX(AD159,AF159),AND(W159&gt;5,AD159&lt;&gt;"-")),"RF",IF(AD159&lt;&gt;"-","LF",IF(Z159&lt;&gt;"-","1B","DH"))))))))</f>
        <v>C</v>
      </c>
      <c r="AR159" t="s">
        <v>35</v>
      </c>
      <c r="AU159" t="str">
        <f>IF(AND($Q159&gt;=6,AVERAGE($S159:$T159)&gt;=6),"Likely",IF(OR($Q159&gt;6,AND($Q159=6,AVERAGE($S159:$T159)&gt;=3),AND($Q159&gt;=5,AVERAGE($S159:$T159)&gt;=5),AVERAGE($Q159,$S159:$T159)&gt;5),"Possible","Unlikely"))</f>
        <v>Unlikely</v>
      </c>
      <c r="AW159" t="str">
        <f>IF(VLOOKUP($B159,'Draft List'!$D$4:$AB$2598,AW$3,FALSE)&lt;&gt;0,VLOOKUP($B159,'Draft List'!$D$4:$AB$2598,AW$3,FALSE),"")</f>
        <v/>
      </c>
      <c r="AX159" t="str">
        <f>IF(VLOOKUP($B159,'Draft List'!$D$4:$AB$2598,AX$3,FALSE)&lt;&gt;0,VLOOKUP($B159,'Draft List'!$D$4:$AB$2598,AX$3,FALSE),"")</f>
        <v/>
      </c>
      <c r="AY159" t="str">
        <f>IF(VLOOKUP($B159,'Draft List'!$D$4:$AB$2598,AY$3,FALSE)&lt;&gt;0,VLOOKUP($B159,'Draft List'!$D$4:$AB$2598,AY$3,FALSE),"")</f>
        <v/>
      </c>
    </row>
    <row r="160" spans="1:51">
      <c r="A160" t="str">
        <f>IF(C160="C","C-",C160)&amp;D160&amp;E160</f>
        <v>LFSean Greene21</v>
      </c>
      <c r="B160">
        <f>VLOOKUP($A160,draft_listing_batters_stats!$A$1:$B$1324,2,FALSE)</f>
        <v>3456</v>
      </c>
      <c r="C160" s="1" t="s">
        <v>2035</v>
      </c>
      <c r="D160" s="1" t="s">
        <v>1306</v>
      </c>
      <c r="E160" s="1">
        <v>21</v>
      </c>
      <c r="F160" s="1" t="s">
        <v>2022</v>
      </c>
      <c r="G160" s="1" t="s">
        <v>2022</v>
      </c>
      <c r="H160" s="1" t="s">
        <v>2033</v>
      </c>
      <c r="I160" s="1" t="s">
        <v>2033</v>
      </c>
      <c r="J160" s="1" t="s">
        <v>2026</v>
      </c>
      <c r="K160" s="1" t="s">
        <v>2025</v>
      </c>
      <c r="L160" s="1">
        <v>3</v>
      </c>
      <c r="M160" s="1">
        <v>5</v>
      </c>
      <c r="N160" s="1">
        <v>1</v>
      </c>
      <c r="O160" s="1">
        <v>2</v>
      </c>
      <c r="P160" s="1">
        <v>2</v>
      </c>
      <c r="Q160" s="1">
        <v>5</v>
      </c>
      <c r="R160" s="1">
        <v>6</v>
      </c>
      <c r="S160" s="1">
        <v>3</v>
      </c>
      <c r="T160" s="1">
        <v>3</v>
      </c>
      <c r="U160" s="1">
        <v>4</v>
      </c>
      <c r="V160" s="1">
        <v>4</v>
      </c>
      <c r="W160" s="1">
        <v>5</v>
      </c>
      <c r="X160" s="1">
        <v>1</v>
      </c>
      <c r="Y160" s="1" t="s">
        <v>2027</v>
      </c>
      <c r="Z160" s="1">
        <v>3</v>
      </c>
      <c r="AA160" s="1" t="s">
        <v>2027</v>
      </c>
      <c r="AB160" s="1" t="s">
        <v>2027</v>
      </c>
      <c r="AC160" s="1" t="s">
        <v>2027</v>
      </c>
      <c r="AD160" s="1">
        <v>5</v>
      </c>
      <c r="AE160" s="1">
        <v>2</v>
      </c>
      <c r="AF160" s="1">
        <v>4</v>
      </c>
      <c r="AG160" s="1">
        <v>5</v>
      </c>
      <c r="AH160" s="1">
        <v>1</v>
      </c>
      <c r="AI160" s="1">
        <v>1</v>
      </c>
      <c r="AJ160" s="52" t="s">
        <v>2029</v>
      </c>
      <c r="AK160" s="9">
        <f>($L$3*(L160-$Q$1)/$Q$2+$M$3*(M160-$R$1)/$R$2+$N$3*(N160-$S$1)/$S$2+$O$3*(O160-$T$1)/$T$2+$P$3*(P160-$U$1)/$U$2)/(SUM($L$3:$P$3))</f>
        <v>-1.1052662691207442</v>
      </c>
      <c r="AL160" s="9">
        <f>($L$3*(Q160-$Q$1)/$Q$2+$M$3*(R160-$R$1)/$R$2+$N$3*(S160-$S$1)/$S$2+$O$3*(T160-$T$1)/$T$2+$P$3*(U160-$U$1)/$U$2)/(SUM($L$3:$P$3))</f>
        <v>-7.322949940514023E-2</v>
      </c>
      <c r="AM160">
        <f>IF(AVERAGE(AG160:AH160)&gt;9,1,0)+IF(AVERAGE(AG160:AH160)&gt;7,1,0)+IF(AG160&gt;7,1,0)+IF(AH160&gt;7,1,0)+IF(AI160&gt;8,1,0)+IF(AI160&gt;6,1,0)</f>
        <v>0</v>
      </c>
      <c r="AN160" s="6">
        <f>MIN(2,IF(OR(Y160="-",X160&lt;5),0,1+IF(Y160&gt;7,1+IF(X160&gt;7,0.25,0),IF(Y160&gt;4,0.5+IF(X160&gt;7,0.25,0),0+IF(X160&gt;7,0.25))))+IF(Z160="-",0,IF(Z160&gt;9,0.5,IF(Z160&gt;7,0.25,0)))+IF(AA160="-",0,IF(AA160&gt;7,1.1,IF(AA160&gt;4,0.6,0)))+IF(OR(AB160="-",V160&lt;5),0,IF(AB160&gt;7,1+IF(V160&gt;7,0.25,0),IF(AB160&gt;4,0.5+IF(V160&gt;7,0.25,0),0)))+IF(AC160="-",0,IF(AC160&gt;7,1.5,IF(AC160&gt;4,1,0)))+IF(AD160="-",0,IF(AD160&gt;9,0.5,IF(AD160&gt;7,0.25,0)))+IF(AE160="-",0,IF(AE160&gt;7,1.25,IF(AE160&gt;4,0.75,0)))+IF(OR(AF160="-",W160&lt;4),0,IF(AF160&gt;7,1+IF(W160&gt;7,0.15,0),IF(AF160&gt;4,0.5+IF(W160&gt;7,0.15,0),0))))</f>
        <v>0</v>
      </c>
      <c r="AO160" s="9">
        <f>($AK$3*AK160+$AL$3*AL160+$AM$3*AM160+$AN$3*AN160)+$J$3*VLOOKUP(J160,COND!$A$2:$C$7,2,FALSE)+$K$3*VLOOKUP(K160,COND!$A$2:$C$7,3,FALSE)</f>
        <v>8.9107193802262437</v>
      </c>
      <c r="AP160" s="37">
        <f>STANDARDIZE(AO160,AVERAGE($AO$5:$AO$1295),STDEVP($AO$5:$AO$1295))</f>
        <v>-0.24392075599759808</v>
      </c>
      <c r="AQ160" t="str">
        <f>IF(AND(Y160&lt;&gt;"-",X160&gt;1),"C",IF(AA160=MAX(AA160:AC160),"2B",IF(AC160=MAX(AA160:AC160),"SS",IF(OR(AB160=MAX(Z160:AC160),AND(AB160&lt;&gt;"-",AB160&gt;4,V160&gt;5)),"3B",IF(AE160=MAX(AD160:AF160),"CF",IF(AND(AF160=MAX(AD160,AF160),AND(W160&gt;5,AD160&lt;&gt;"-")),"RF",IF(AD160&lt;&gt;"-","LF",IF(Z160&lt;&gt;"-","1B","DH"))))))))</f>
        <v>LF</v>
      </c>
      <c r="AR160" t="s">
        <v>35</v>
      </c>
      <c r="AU160" t="str">
        <f>IF(AND($Q160&gt;=6,AVERAGE($S160:$T160)&gt;=6),"Likely",IF(OR($Q160&gt;6,AND($Q160=6,AVERAGE($S160:$T160)&gt;=3),AND($Q160&gt;=5,AVERAGE($S160:$T160)&gt;=5),AVERAGE($Q160,$S160:$T160)&gt;5),"Possible","Unlikely"))</f>
        <v>Unlikely</v>
      </c>
      <c r="AW160" t="str">
        <f>IF(VLOOKUP($B160,'Draft List'!$D$4:$AB$2598,AW$3,FALSE)&lt;&gt;0,VLOOKUP($B160,'Draft List'!$D$4:$AB$2598,AW$3,FALSE),"")</f>
        <v/>
      </c>
      <c r="AX160" t="str">
        <f>IF(VLOOKUP($B160,'Draft List'!$D$4:$AB$2598,AX$3,FALSE)&lt;&gt;0,VLOOKUP($B160,'Draft List'!$D$4:$AB$2598,AX$3,FALSE),"")</f>
        <v/>
      </c>
      <c r="AY160" t="str">
        <f>IF(VLOOKUP($B160,'Draft List'!$D$4:$AB$2598,AY$3,FALSE)&lt;&gt;0,VLOOKUP($B160,'Draft List'!$D$4:$AB$2598,AY$3,FALSE),"")</f>
        <v/>
      </c>
    </row>
    <row r="161" spans="1:51">
      <c r="A161" t="str">
        <f>IF(C161="C","C-",C161)&amp;D161&amp;E161</f>
        <v>C-Dale Schroeder21</v>
      </c>
      <c r="B161">
        <f>VLOOKUP($A161,draft_listing_batters_stats!$A$1:$B$1324,2,FALSE)</f>
        <v>6825</v>
      </c>
      <c r="C161" s="1" t="s">
        <v>2091</v>
      </c>
      <c r="D161" s="1" t="s">
        <v>1210</v>
      </c>
      <c r="E161" s="1">
        <v>21</v>
      </c>
      <c r="F161" s="1" t="s">
        <v>2022</v>
      </c>
      <c r="G161" s="1" t="s">
        <v>2022</v>
      </c>
      <c r="H161" s="1" t="s">
        <v>2033</v>
      </c>
      <c r="I161" s="1" t="s">
        <v>2033</v>
      </c>
      <c r="J161" s="1" t="s">
        <v>2040</v>
      </c>
      <c r="K161" s="1" t="s">
        <v>2030</v>
      </c>
      <c r="L161" s="1">
        <v>3</v>
      </c>
      <c r="M161" s="1">
        <v>4</v>
      </c>
      <c r="N161" s="1">
        <v>1</v>
      </c>
      <c r="O161" s="1">
        <v>4</v>
      </c>
      <c r="P161" s="1">
        <v>2</v>
      </c>
      <c r="Q161" s="1">
        <v>4</v>
      </c>
      <c r="R161" s="1">
        <v>5</v>
      </c>
      <c r="S161" s="1">
        <v>3</v>
      </c>
      <c r="T161" s="1">
        <v>6</v>
      </c>
      <c r="U161" s="1">
        <v>4</v>
      </c>
      <c r="V161" s="1">
        <v>5</v>
      </c>
      <c r="W161" s="1">
        <v>5</v>
      </c>
      <c r="X161" s="1">
        <v>7</v>
      </c>
      <c r="Y161" s="1">
        <v>6</v>
      </c>
      <c r="Z161" s="1">
        <v>1</v>
      </c>
      <c r="AA161" s="1" t="s">
        <v>2027</v>
      </c>
      <c r="AB161" s="1" t="s">
        <v>2027</v>
      </c>
      <c r="AC161" s="1" t="s">
        <v>2027</v>
      </c>
      <c r="AD161" s="1" t="s">
        <v>2027</v>
      </c>
      <c r="AE161" s="1" t="s">
        <v>2027</v>
      </c>
      <c r="AF161" s="1" t="s">
        <v>2027</v>
      </c>
      <c r="AG161" s="1">
        <v>3</v>
      </c>
      <c r="AH161" s="1">
        <v>1</v>
      </c>
      <c r="AI161" s="1">
        <v>1</v>
      </c>
      <c r="AJ161" s="52" t="s">
        <v>2029</v>
      </c>
      <c r="AK161" s="9">
        <f>($L$3*(L161-$Q$1)/$Q$2+$M$3*(M161-$R$1)/$R$2+$N$3*(N161-$S$1)/$S$2+$O$3*(O161-$T$1)/$T$2+$P$3*(P161-$U$1)/$U$2)/(SUM($L$3:$P$3))</f>
        <v>-0.97690704872028544</v>
      </c>
      <c r="AL161" s="9">
        <f>($L$3*(Q161-$Q$1)/$Q$2+$M$3*(R161-$R$1)/$R$2+$N$3*(S161-$S$1)/$S$2+$O$3*(T161-$T$1)/$T$2+$P$3*(U161-$U$1)/$U$2)/(SUM($L$3:$P$3))</f>
        <v>-0.17771656519777529</v>
      </c>
      <c r="AM161">
        <f>IF(AVERAGE(AG161:AH161)&gt;9,1,0)+IF(AVERAGE(AG161:AH161)&gt;7,1,0)+IF(AG161&gt;7,1,0)+IF(AH161&gt;7,1,0)+IF(AI161&gt;8,1,0)+IF(AI161&gt;6,1,0)</f>
        <v>0</v>
      </c>
      <c r="AN161" s="6">
        <f>MIN(2,IF(OR(Y161="-",X161&lt;5),0,1+IF(Y161&gt;7,1+IF(X161&gt;7,0.25,0),IF(Y161&gt;4,0.5+IF(X161&gt;7,0.25,0),0+IF(X161&gt;7,0.25))))+IF(Z161="-",0,IF(Z161&gt;9,0.5,IF(Z161&gt;7,0.25,0)))+IF(AA161="-",0,IF(AA161&gt;7,1.1,IF(AA161&gt;4,0.6,0)))+IF(OR(AB161="-",V161&lt;5),0,IF(AB161&gt;7,1+IF(V161&gt;7,0.25,0),IF(AB161&gt;4,0.5+IF(V161&gt;7,0.25,0),0)))+IF(AC161="-",0,IF(AC161&gt;7,1.5,IF(AC161&gt;4,1,0)))+IF(AD161="-",0,IF(AD161&gt;9,0.5,IF(AD161&gt;7,0.25,0)))+IF(AE161="-",0,IF(AE161&gt;7,1.25,IF(AE161&gt;4,0.75,0)))+IF(OR(AF161="-",W161&lt;4),0,IF(AF161&gt;7,1+IF(W161&gt;7,0.15,0),IF(AF161&gt;4,0.5+IF(W161&gt;7,0.15,0),0))))</f>
        <v>1.5</v>
      </c>
      <c r="AO161" s="9">
        <f>($AK$3*AK161+$AL$3*AL161+$AM$3*AM161+$AN$3*AN161)+$J$3*VLOOKUP(J161,COND!$A$2:$C$7,2,FALSE)+$K$3*VLOOKUP(K161,COND!$A$2:$C$7,3,FALSE)</f>
        <v>8.8697105127546685</v>
      </c>
      <c r="AP161" s="37">
        <f>STANDARDIZE(AO161,AVERAGE($AO$5:$AO$1295),STDEVP($AO$5:$AO$1295))</f>
        <v>-0.24961785766755765</v>
      </c>
      <c r="AQ161" t="str">
        <f>IF(AND(Y161&lt;&gt;"-",X161&gt;1),"C",IF(AA161=MAX(AA161:AC161),"2B",IF(AC161=MAX(AA161:AC161),"SS",IF(OR(AB161=MAX(Z161:AC161),AND(AB161&lt;&gt;"-",AB161&gt;4,V161&gt;5)),"3B",IF(AE161=MAX(AD161:AF161),"CF",IF(AND(AF161=MAX(AD161,AF161),AND(W161&gt;5,AD161&lt;&gt;"-")),"RF",IF(AD161&lt;&gt;"-","LF",IF(Z161&lt;&gt;"-","1B","DH"))))))))</f>
        <v>C</v>
      </c>
      <c r="AR161" t="s">
        <v>35</v>
      </c>
      <c r="AU161" t="str">
        <f>IF(AND($Q161&gt;=6,AVERAGE($S161:$T161)&gt;=6),"Likely",IF(OR($Q161&gt;6,AND($Q161=6,AVERAGE($S161:$T161)&gt;=3),AND($Q161&gt;=5,AVERAGE($S161:$T161)&gt;=5),AVERAGE($Q161,$S161:$T161)&gt;5),"Possible","Unlikely"))</f>
        <v>Unlikely</v>
      </c>
      <c r="AW161" t="str">
        <f>IF(VLOOKUP($B161,'Draft List'!$D$4:$AB$2598,AW$3,FALSE)&lt;&gt;0,VLOOKUP($B161,'Draft List'!$D$4:$AB$2598,AW$3,FALSE),"")</f>
        <v/>
      </c>
      <c r="AX161" t="str">
        <f>IF(VLOOKUP($B161,'Draft List'!$D$4:$AB$2598,AX$3,FALSE)&lt;&gt;0,VLOOKUP($B161,'Draft List'!$D$4:$AB$2598,AX$3,FALSE),"")</f>
        <v/>
      </c>
      <c r="AY161" t="str">
        <f>IF(VLOOKUP($B161,'Draft List'!$D$4:$AB$2598,AY$3,FALSE)&lt;&gt;0,VLOOKUP($B161,'Draft List'!$D$4:$AB$2598,AY$3,FALSE),"")</f>
        <v/>
      </c>
    </row>
    <row r="162" spans="1:51">
      <c r="A162" t="str">
        <f>IF(C162="C","C-",C162)&amp;D162&amp;E162</f>
        <v>CFJack Parkinson21</v>
      </c>
      <c r="B162">
        <f>VLOOKUP($A162,draft_listing_batters_stats!$A$1:$B$1324,2,FALSE)</f>
        <v>7892</v>
      </c>
      <c r="C162" s="1" t="s">
        <v>2079</v>
      </c>
      <c r="D162" s="1" t="s">
        <v>1395</v>
      </c>
      <c r="E162" s="1">
        <v>21</v>
      </c>
      <c r="F162" s="1" t="s">
        <v>2022</v>
      </c>
      <c r="G162" s="1" t="s">
        <v>2022</v>
      </c>
      <c r="H162" s="1" t="s">
        <v>2033</v>
      </c>
      <c r="I162" s="1" t="s">
        <v>2033</v>
      </c>
      <c r="J162" s="1" t="s">
        <v>2040</v>
      </c>
      <c r="K162" s="1" t="s">
        <v>2036</v>
      </c>
      <c r="L162" s="1">
        <v>3</v>
      </c>
      <c r="M162" s="1">
        <v>3</v>
      </c>
      <c r="N162" s="1">
        <v>1</v>
      </c>
      <c r="O162" s="1">
        <v>1</v>
      </c>
      <c r="P162" s="1">
        <v>2</v>
      </c>
      <c r="Q162" s="1">
        <v>5</v>
      </c>
      <c r="R162" s="1">
        <v>4</v>
      </c>
      <c r="S162" s="1">
        <v>2</v>
      </c>
      <c r="T162" s="1">
        <v>5</v>
      </c>
      <c r="U162" s="1">
        <v>4</v>
      </c>
      <c r="V162" s="1">
        <v>1</v>
      </c>
      <c r="W162" s="1">
        <v>8</v>
      </c>
      <c r="X162" s="1">
        <v>1</v>
      </c>
      <c r="Y162" s="1" t="s">
        <v>2027</v>
      </c>
      <c r="Z162" s="1" t="s">
        <v>2027</v>
      </c>
      <c r="AA162" s="1" t="s">
        <v>2027</v>
      </c>
      <c r="AB162" s="1" t="s">
        <v>2027</v>
      </c>
      <c r="AC162" s="1" t="s">
        <v>2027</v>
      </c>
      <c r="AD162" s="1">
        <v>5</v>
      </c>
      <c r="AE162" s="1">
        <v>3</v>
      </c>
      <c r="AF162" s="1">
        <v>4</v>
      </c>
      <c r="AG162" s="1">
        <v>7</v>
      </c>
      <c r="AH162" s="1">
        <v>7</v>
      </c>
      <c r="AI162" s="1">
        <v>7</v>
      </c>
      <c r="AJ162" s="52">
        <v>230000</v>
      </c>
      <c r="AK162" s="9">
        <f>($L$3*(L162-$Q$1)/$Q$2+$M$3*(M162-$R$1)/$R$2+$N$3*(N162-$S$1)/$S$2+$O$3*(O162-$T$1)/$T$2+$P$3*(P162-$U$1)/$U$2)/(SUM($L$3:$P$3))</f>
        <v>-1.297095578367732</v>
      </c>
      <c r="AL162" s="9">
        <f>($L$3*(Q162-$Q$1)/$Q$2+$M$3*(R162-$R$1)/$R$2+$N$3*(S162-$S$1)/$S$2+$O$3*(T162-$T$1)/$T$2+$P$3*(U162-$U$1)/$U$2)/(SUM($L$3:$P$3))</f>
        <v>-7.8991652647286636E-2</v>
      </c>
      <c r="AM162">
        <f>IF(AVERAGE(AG162:AH162)&gt;9,1,0)+IF(AVERAGE(AG162:AH162)&gt;7,1,0)+IF(AG162&gt;7,1,0)+IF(AH162&gt;7,1,0)+IF(AI162&gt;8,1,0)+IF(AI162&gt;6,1,0)</f>
        <v>1</v>
      </c>
      <c r="AN162" s="6">
        <f>MIN(2,IF(OR(Y162="-",X162&lt;5),0,1+IF(Y162&gt;7,1+IF(X162&gt;7,0.25,0),IF(Y162&gt;4,0.5+IF(X162&gt;7,0.25,0),0+IF(X162&gt;7,0.25))))+IF(Z162="-",0,IF(Z162&gt;9,0.5,IF(Z162&gt;7,0.25,0)))+IF(AA162="-",0,IF(AA162&gt;7,1.1,IF(AA162&gt;4,0.6,0)))+IF(OR(AB162="-",V162&lt;5),0,IF(AB162&gt;7,1+IF(V162&gt;7,0.25,0),IF(AB162&gt;4,0.5+IF(V162&gt;7,0.25,0),0)))+IF(AC162="-",0,IF(AC162&gt;7,1.5,IF(AC162&gt;4,1,0)))+IF(AD162="-",0,IF(AD162&gt;9,0.5,IF(AD162&gt;7,0.25,0)))+IF(AE162="-",0,IF(AE162&gt;7,1.25,IF(AE162&gt;4,0.75,0)))+IF(OR(AF162="-",W162&lt;4),0,IF(AF162&gt;7,1+IF(W162&gt;7,0.15,0),IF(AF162&gt;4,0.5+IF(W162&gt;7,0.15,0),0))))</f>
        <v>0</v>
      </c>
      <c r="AO162" s="9">
        <f>($AK$3*AK162+$AL$3*AL162+$AM$3*AM162+$AN$3*AN162)+$J$3*VLOOKUP(J162,COND!$A$2:$C$7,2,FALSE)+$K$3*VLOOKUP(K162,COND!$A$2:$C$7,3,FALSE)</f>
        <v>8.8390572770624534</v>
      </c>
      <c r="AP162" s="37">
        <f>STANDARDIZE(AO162,AVERAGE($AO$5:$AO$1295),STDEVP($AO$5:$AO$1295))</f>
        <v>-0.25387631714276332</v>
      </c>
      <c r="AQ162" t="str">
        <f>IF(AND(Y162&lt;&gt;"-",X162&gt;1),"C",IF(AA162=MAX(AA162:AC162),"2B",IF(AC162=MAX(AA162:AC162),"SS",IF(OR(AB162=MAX(Z162:AC162),AND(AB162&lt;&gt;"-",AB162&gt;4,V162&gt;5)),"3B",IF(AE162=MAX(AD162:AF162),"CF",IF(AND(AF162=MAX(AD162,AF162),AND(W162&gt;5,AD162&lt;&gt;"-")),"RF",IF(AD162&lt;&gt;"-","LF",IF(Z162&lt;&gt;"-","1B","DH"))))))))</f>
        <v>LF</v>
      </c>
      <c r="AR162" t="s">
        <v>35</v>
      </c>
      <c r="AT162" t="s">
        <v>157</v>
      </c>
      <c r="AU162" t="str">
        <f>IF(AND($Q162&gt;=6,AVERAGE($S162:$T162)&gt;=6),"Likely",IF(OR($Q162&gt;6,AND($Q162=6,AVERAGE($S162:$T162)&gt;=3),AND($Q162&gt;=5,AVERAGE($S162:$T162)&gt;=5),AVERAGE($Q162,$S162:$T162)&gt;5),"Possible","Unlikely"))</f>
        <v>Unlikely</v>
      </c>
      <c r="AW162" t="e">
        <f>IF(VLOOKUP($B162,'Draft List'!$D$4:$AB$2598,AW$3,FALSE)&lt;&gt;0,VLOOKUP($B162,'Draft List'!$D$4:$AB$2598,AW$3,FALSE),"")</f>
        <v>#N/A</v>
      </c>
      <c r="AX162" t="e">
        <f>IF(VLOOKUP($B162,'Draft List'!$D$4:$AB$2598,AX$3,FALSE)&lt;&gt;0,VLOOKUP($B162,'Draft List'!$D$4:$AB$2598,AX$3,FALSE),"")</f>
        <v>#N/A</v>
      </c>
      <c r="AY162" t="e">
        <f>IF(VLOOKUP($B162,'Draft List'!$D$4:$AB$2598,AY$3,FALSE)&lt;&gt;0,VLOOKUP($B162,'Draft List'!$D$4:$AB$2598,AY$3,FALSE),"")</f>
        <v>#N/A</v>
      </c>
    </row>
    <row r="163" spans="1:51">
      <c r="A163" t="str">
        <f>IF(C163="C","C-",C163)&amp;D163&amp;E163</f>
        <v>3BBrian Zahn21</v>
      </c>
      <c r="B163">
        <f>VLOOKUP($A163,draft_listing_batters_stats!$A$1:$B$1324,2,FALSE)</f>
        <v>2913</v>
      </c>
      <c r="C163" s="1" t="s">
        <v>2061</v>
      </c>
      <c r="D163" s="1" t="s">
        <v>1266</v>
      </c>
      <c r="E163" s="1">
        <v>21</v>
      </c>
      <c r="F163" s="1" t="s">
        <v>2022</v>
      </c>
      <c r="G163" s="1" t="s">
        <v>2022</v>
      </c>
      <c r="H163" s="1" t="s">
        <v>2033</v>
      </c>
      <c r="I163" s="1" t="s">
        <v>2033</v>
      </c>
      <c r="J163" s="1" t="s">
        <v>2026</v>
      </c>
      <c r="K163" s="1" t="s">
        <v>2026</v>
      </c>
      <c r="L163" s="1">
        <v>4</v>
      </c>
      <c r="M163" s="1">
        <v>3</v>
      </c>
      <c r="N163" s="1">
        <v>2</v>
      </c>
      <c r="O163" s="1">
        <v>2</v>
      </c>
      <c r="P163" s="1">
        <v>2</v>
      </c>
      <c r="Q163" s="1">
        <v>5</v>
      </c>
      <c r="R163" s="1">
        <v>5</v>
      </c>
      <c r="S163" s="1">
        <v>2</v>
      </c>
      <c r="T163" s="1">
        <v>4</v>
      </c>
      <c r="U163" s="1">
        <v>4</v>
      </c>
      <c r="V163" s="1">
        <v>7</v>
      </c>
      <c r="W163" s="1">
        <v>5</v>
      </c>
      <c r="X163" s="1">
        <v>1</v>
      </c>
      <c r="Y163" s="1" t="s">
        <v>2027</v>
      </c>
      <c r="Z163" s="1">
        <v>5</v>
      </c>
      <c r="AA163" s="1">
        <v>1</v>
      </c>
      <c r="AB163" s="1">
        <v>7</v>
      </c>
      <c r="AC163" s="1">
        <v>3</v>
      </c>
      <c r="AD163" s="1" t="s">
        <v>2027</v>
      </c>
      <c r="AE163" s="1" t="s">
        <v>2027</v>
      </c>
      <c r="AF163" s="1" t="s">
        <v>2027</v>
      </c>
      <c r="AG163" s="1">
        <v>4</v>
      </c>
      <c r="AH163" s="1">
        <v>7</v>
      </c>
      <c r="AI163" s="1">
        <v>4</v>
      </c>
      <c r="AJ163" s="52" t="s">
        <v>2029</v>
      </c>
      <c r="AK163" s="9">
        <f>($L$3*(L163-$Q$1)/$Q$2+$M$3*(M163-$R$1)/$R$2+$N$3*(N163-$S$1)/$S$2+$O$3*(O163-$T$1)/$T$2+$P$3*(P163-$U$1)/$U$2)/(SUM($L$3:$P$3))</f>
        <v>-0.80176869813157481</v>
      </c>
      <c r="AL163" s="9">
        <f>($L$3*(Q163-$Q$1)/$Q$2+$M$3*(R163-$R$1)/$R$2+$N$3*(S163-$S$1)/$S$2+$O$3*(T163-$T$1)/$T$2+$P$3*(U163-$U$1)/$U$2)/(SUM($L$3:$P$3))</f>
        <v>-0.11764132303816419</v>
      </c>
      <c r="AM163">
        <f>IF(AVERAGE(AG163:AH163)&gt;9,1,0)+IF(AVERAGE(AG163:AH163)&gt;7,1,0)+IF(AG163&gt;7,1,0)+IF(AH163&gt;7,1,0)+IF(AI163&gt;8,1,0)+IF(AI163&gt;6,1,0)</f>
        <v>0</v>
      </c>
      <c r="AN163" s="6">
        <f>MIN(2,IF(OR(Y163="-",X163&lt;5),0,1+IF(Y163&gt;7,1+IF(X163&gt;7,0.25,0),IF(Y163&gt;4,0.5+IF(X163&gt;7,0.25,0),0+IF(X163&gt;7,0.25))))+IF(Z163="-",0,IF(Z163&gt;9,0.5,IF(Z163&gt;7,0.25,0)))+IF(AA163="-",0,IF(AA163&gt;7,1.1,IF(AA163&gt;4,0.6,0)))+IF(OR(AB163="-",V163&lt;5),0,IF(AB163&gt;7,1+IF(V163&gt;7,0.25,0),IF(AB163&gt;4,0.5+IF(V163&gt;7,0.25,0),0)))+IF(AC163="-",0,IF(AC163&gt;7,1.5,IF(AC163&gt;4,1,0)))+IF(AD163="-",0,IF(AD163&gt;9,0.5,IF(AD163&gt;7,0.25,0)))+IF(AE163="-",0,IF(AE163&gt;7,1.25,IF(AE163&gt;4,0.75,0)))+IF(OR(AF163="-",W163&lt;4),0,IF(AF163&gt;7,1+IF(W163&gt;7,0.15,0),IF(AF163&gt;4,0.5+IF(W163&gt;7,0.15,0),0))))</f>
        <v>0.5</v>
      </c>
      <c r="AO163" s="9">
        <f>($AK$3*AK163+$AL$3*AL163+$AM$3*AM163+$AN$3*AN163)+$J$3*VLOOKUP(J163,COND!$A$2:$C$7,2,FALSE)+$K$3*VLOOKUP(K163,COND!$A$2:$C$7,3,FALSE)</f>
        <v>8.8081272537288733</v>
      </c>
      <c r="AP163" s="37">
        <f>STANDARDIZE(AO163,AVERAGE($AO$5:$AO$1295),STDEVP($AO$5:$AO$1295))</f>
        <v>-0.25817322896818173</v>
      </c>
      <c r="AQ163" t="str">
        <f>IF(AND(Y163&lt;&gt;"-",X163&gt;1),"C",IF(AA163=MAX(AA163:AC163),"2B",IF(AC163=MAX(AA163:AC163),"SS",IF(OR(AB163=MAX(Z163:AC163),AND(AB163&lt;&gt;"-",AB163&gt;4,V163&gt;5)),"3B",IF(AE163=MAX(AD163:AF163),"CF",IF(AND(AF163=MAX(AD163,AF163),AND(W163&gt;5,AD163&lt;&gt;"-")),"RF",IF(AD163&lt;&gt;"-","LF",IF(Z163&lt;&gt;"-","1B","DH"))))))))</f>
        <v>3B</v>
      </c>
      <c r="AR163" t="s">
        <v>35</v>
      </c>
      <c r="AU163" t="str">
        <f>IF(AND($Q163&gt;=6,AVERAGE($S163:$T163)&gt;=6),"Likely",IF(OR($Q163&gt;6,AND($Q163=6,AVERAGE($S163:$T163)&gt;=3),AND($Q163&gt;=5,AVERAGE($S163:$T163)&gt;=5),AVERAGE($Q163,$S163:$T163)&gt;5),"Possible","Unlikely"))</f>
        <v>Unlikely</v>
      </c>
      <c r="AW163" t="str">
        <f>IF(VLOOKUP($B163,'Draft List'!$D$4:$AB$2598,AW$3,FALSE)&lt;&gt;0,VLOOKUP($B163,'Draft List'!$D$4:$AB$2598,AW$3,FALSE),"")</f>
        <v/>
      </c>
      <c r="AX163" t="str">
        <f>IF(VLOOKUP($B163,'Draft List'!$D$4:$AB$2598,AX$3,FALSE)&lt;&gt;0,VLOOKUP($B163,'Draft List'!$D$4:$AB$2598,AX$3,FALSE),"")</f>
        <v/>
      </c>
      <c r="AY163" t="str">
        <f>IF(VLOOKUP($B163,'Draft List'!$D$4:$AB$2598,AY$3,FALSE)&lt;&gt;0,VLOOKUP($B163,'Draft List'!$D$4:$AB$2598,AY$3,FALSE),"")</f>
        <v/>
      </c>
    </row>
    <row r="164" spans="1:51">
      <c r="A164" t="str">
        <f>IF(C164="C","C-",C164)&amp;D164&amp;E164</f>
        <v>SSDavid Henderson21</v>
      </c>
      <c r="B164">
        <f>VLOOKUP($A164,draft_listing_batters_stats!$A$1:$B$1324,2,FALSE)</f>
        <v>9107</v>
      </c>
      <c r="C164" s="1" t="s">
        <v>2074</v>
      </c>
      <c r="D164" s="1" t="s">
        <v>1310</v>
      </c>
      <c r="E164" s="1">
        <v>21</v>
      </c>
      <c r="F164" s="1" t="s">
        <v>2022</v>
      </c>
      <c r="G164" s="1" t="s">
        <v>2022</v>
      </c>
      <c r="H164" s="1" t="s">
        <v>2033</v>
      </c>
      <c r="I164" s="1" t="s">
        <v>2033</v>
      </c>
      <c r="J164" s="1" t="s">
        <v>2030</v>
      </c>
      <c r="K164" s="1" t="s">
        <v>2036</v>
      </c>
      <c r="L164" s="1">
        <v>3</v>
      </c>
      <c r="M164" s="1">
        <v>5</v>
      </c>
      <c r="N164" s="1">
        <v>1</v>
      </c>
      <c r="O164" s="1">
        <v>2</v>
      </c>
      <c r="P164" s="1">
        <v>2</v>
      </c>
      <c r="Q164" s="1">
        <v>4</v>
      </c>
      <c r="R164" s="1">
        <v>8</v>
      </c>
      <c r="S164" s="1">
        <v>4</v>
      </c>
      <c r="T164" s="1">
        <v>4</v>
      </c>
      <c r="U164" s="1">
        <v>4</v>
      </c>
      <c r="V164" s="1">
        <v>8</v>
      </c>
      <c r="W164" s="1">
        <v>3</v>
      </c>
      <c r="X164" s="1">
        <v>1</v>
      </c>
      <c r="Y164" s="1" t="s">
        <v>2027</v>
      </c>
      <c r="Z164" s="1" t="s">
        <v>2027</v>
      </c>
      <c r="AA164" s="1">
        <v>2</v>
      </c>
      <c r="AB164" s="1">
        <v>4</v>
      </c>
      <c r="AC164" s="1">
        <v>2</v>
      </c>
      <c r="AD164" s="1" t="s">
        <v>2027</v>
      </c>
      <c r="AE164" s="1" t="s">
        <v>2027</v>
      </c>
      <c r="AF164" s="1" t="s">
        <v>2027</v>
      </c>
      <c r="AG164" s="1">
        <v>6</v>
      </c>
      <c r="AH164" s="1">
        <v>5</v>
      </c>
      <c r="AI164" s="1">
        <v>5</v>
      </c>
      <c r="AJ164" s="52" t="s">
        <v>2029</v>
      </c>
      <c r="AK164" s="9">
        <f>($L$3*(L164-$Q$1)/$Q$2+$M$3*(M164-$R$1)/$R$2+$N$3*(N164-$S$1)/$S$2+$O$3*(O164-$T$1)/$T$2+$P$3*(P164-$U$1)/$U$2)/(SUM($L$3:$P$3))</f>
        <v>-1.1052662691207442</v>
      </c>
      <c r="AL164" s="9">
        <f>($L$3*(Q164-$Q$1)/$Q$2+$M$3*(R164-$R$1)/$R$2+$N$3*(S164-$S$1)/$S$2+$O$3*(T164-$T$1)/$T$2+$P$3*(U164-$U$1)/$U$2)/(SUM($L$3:$P$3))</f>
        <v>-0.12089453233692538</v>
      </c>
      <c r="AM164">
        <f>IF(AVERAGE(AG164:AH164)&gt;9,1,0)+IF(AVERAGE(AG164:AH164)&gt;7,1,0)+IF(AG164&gt;7,1,0)+IF(AH164&gt;7,1,0)+IF(AI164&gt;8,1,0)+IF(AI164&gt;6,1,0)</f>
        <v>0</v>
      </c>
      <c r="AN164" s="6">
        <f>MIN(2,IF(OR(Y164="-",X164&lt;5),0,1+IF(Y164&gt;7,1+IF(X164&gt;7,0.25,0),IF(Y164&gt;4,0.5+IF(X164&gt;7,0.25,0),0+IF(X164&gt;7,0.25))))+IF(Z164="-",0,IF(Z164&gt;9,0.5,IF(Z164&gt;7,0.25,0)))+IF(AA164="-",0,IF(AA164&gt;7,1.1,IF(AA164&gt;4,0.6,0)))+IF(OR(AB164="-",V164&lt;5),0,IF(AB164&gt;7,1+IF(V164&gt;7,0.25,0),IF(AB164&gt;4,0.5+IF(V164&gt;7,0.25,0),0)))+IF(AC164="-",0,IF(AC164&gt;7,1.5,IF(AC164&gt;4,1,0)))+IF(AD164="-",0,IF(AD164&gt;9,0.5,IF(AD164&gt;7,0.25,0)))+IF(AE164="-",0,IF(AE164&gt;7,1.25,IF(AE164&gt;4,0.75,0)))+IF(OR(AF164="-",W164&lt;4),0,IF(AF164&gt;7,1+IF(W164&gt;7,0.15,0),IF(AF164&gt;4,0.5+IF(W164&gt;7,0.15,0),0))))</f>
        <v>0</v>
      </c>
      <c r="AO164" s="9">
        <f>($AK$3*AK164+$AL$3*AL164+$AM$3*AM164+$AN$3*AN164)+$J$3*VLOOKUP(J164,COND!$A$2:$C$7,2,FALSE)+$K$3*VLOOKUP(K164,COND!$A$2:$C$7,3,FALSE)</f>
        <v>8.7887389850448212</v>
      </c>
      <c r="AP164" s="37">
        <f>STANDARDIZE(AO164,AVERAGE($AO$5:$AO$1295),STDEVP($AO$5:$AO$1295))</f>
        <v>-0.26086671807694828</v>
      </c>
      <c r="AQ164" t="str">
        <f>IF(AND(Y164&lt;&gt;"-",X164&gt;1),"C",IF(AA164=MAX(AA164:AC164),"2B",IF(AC164=MAX(AA164:AC164),"SS",IF(OR(AB164=MAX(Z164:AC164),AND(AB164&lt;&gt;"-",AB164&gt;4,V164&gt;5)),"3B",IF(AE164=MAX(AD164:AF164),"CF",IF(AND(AF164=MAX(AD164,AF164),AND(W164&gt;5,AD164&lt;&gt;"-")),"RF",IF(AD164&lt;&gt;"-","LF",IF(Z164&lt;&gt;"-","1B","DH"))))))))</f>
        <v>3B</v>
      </c>
      <c r="AR164" t="s">
        <v>35</v>
      </c>
      <c r="AU164" t="str">
        <f>IF(AND($Q164&gt;=6,AVERAGE($S164:$T164)&gt;=6),"Likely",IF(OR($Q164&gt;6,AND($Q164=6,AVERAGE($S164:$T164)&gt;=3),AND($Q164&gt;=5,AVERAGE($S164:$T164)&gt;=5),AVERAGE($Q164,$S164:$T164)&gt;5),"Possible","Unlikely"))</f>
        <v>Unlikely</v>
      </c>
      <c r="AW164" t="str">
        <f>IF(VLOOKUP($B164,'Draft List'!$D$4:$AB$2598,AW$3,FALSE)&lt;&gt;0,VLOOKUP($B164,'Draft List'!$D$4:$AB$2598,AW$3,FALSE),"")</f>
        <v/>
      </c>
      <c r="AX164" t="str">
        <f>IF(VLOOKUP($B164,'Draft List'!$D$4:$AB$2598,AX$3,FALSE)&lt;&gt;0,VLOOKUP($B164,'Draft List'!$D$4:$AB$2598,AX$3,FALSE),"")</f>
        <v/>
      </c>
      <c r="AY164" t="str">
        <f>IF(VLOOKUP($B164,'Draft List'!$D$4:$AB$2598,AY$3,FALSE)&lt;&gt;0,VLOOKUP($B164,'Draft List'!$D$4:$AB$2598,AY$3,FALSE),"")</f>
        <v/>
      </c>
    </row>
    <row r="165" spans="1:51">
      <c r="A165" t="str">
        <f>IF(C165="C","C-",C165)&amp;D165&amp;E165</f>
        <v>CFDave McCall18</v>
      </c>
      <c r="B165">
        <f>VLOOKUP($A165,draft_listing_batters_stats!$A$1:$B$1324,2,FALSE)</f>
        <v>1806</v>
      </c>
      <c r="C165" s="1" t="s">
        <v>2079</v>
      </c>
      <c r="D165" s="1" t="s">
        <v>1362</v>
      </c>
      <c r="E165" s="1">
        <v>18</v>
      </c>
      <c r="F165" s="1" t="s">
        <v>2049</v>
      </c>
      <c r="G165" s="1" t="s">
        <v>2022</v>
      </c>
      <c r="H165" s="1" t="s">
        <v>2033</v>
      </c>
      <c r="I165" s="1" t="s">
        <v>2033</v>
      </c>
      <c r="J165" s="1" t="s">
        <v>2030</v>
      </c>
      <c r="K165" s="1" t="s">
        <v>2025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5</v>
      </c>
      <c r="R165" s="1">
        <v>4</v>
      </c>
      <c r="S165" s="1">
        <v>2</v>
      </c>
      <c r="T165" s="1">
        <v>4</v>
      </c>
      <c r="U165" s="1">
        <v>4</v>
      </c>
      <c r="V165" s="1">
        <v>1</v>
      </c>
      <c r="W165" s="1">
        <v>5</v>
      </c>
      <c r="X165" s="1">
        <v>1</v>
      </c>
      <c r="Y165" s="1" t="s">
        <v>2027</v>
      </c>
      <c r="Z165" s="1" t="s">
        <v>2027</v>
      </c>
      <c r="AA165" s="1" t="s">
        <v>2027</v>
      </c>
      <c r="AB165" s="1" t="s">
        <v>2027</v>
      </c>
      <c r="AC165" s="1" t="s">
        <v>2027</v>
      </c>
      <c r="AD165" s="1">
        <v>1</v>
      </c>
      <c r="AE165" s="1">
        <v>1</v>
      </c>
      <c r="AF165" s="1">
        <v>1</v>
      </c>
      <c r="AG165" s="1">
        <v>8</v>
      </c>
      <c r="AH165" s="1">
        <v>9</v>
      </c>
      <c r="AI165" s="1">
        <v>9</v>
      </c>
      <c r="AJ165" s="52" t="s">
        <v>2029</v>
      </c>
      <c r="AK165" s="9">
        <f>($L$3*(L165-$Q$1)/$Q$2+$M$3*(M165-$R$1)/$R$2+$N$3*(N165-$S$1)/$S$2+$O$3*(O165-$T$1)/$T$2+$P$3*(P165-$U$1)/$U$2)/(SUM($L$3:$P$3))</f>
        <v>-2.0843433498275723</v>
      </c>
      <c r="AL165" s="9">
        <f>($L$3*(Q165-$Q$1)/$Q$2+$M$3*(R165-$R$1)/$R$2+$N$3*(S165-$S$1)/$S$2+$O$3*(T165-$T$1)/$T$2+$P$3*(U165-$U$1)/$U$2)/(SUM($L$3:$P$3))</f>
        <v>-0.16870120265686769</v>
      </c>
      <c r="AM165">
        <f>IF(AVERAGE(AG165:AH165)&gt;9,1,0)+IF(AVERAGE(AG165:AH165)&gt;7,1,0)+IF(AG165&gt;7,1,0)+IF(AH165&gt;7,1,0)+IF(AI165&gt;8,1,0)+IF(AI165&gt;6,1,0)</f>
        <v>5</v>
      </c>
      <c r="AN165" s="6">
        <f>MIN(2,IF(OR(Y165="-",X165&lt;5),0,1+IF(Y165&gt;7,1+IF(X165&gt;7,0.25,0),IF(Y165&gt;4,0.5+IF(X165&gt;7,0.25,0),0+IF(X165&gt;7,0.25))))+IF(Z165="-",0,IF(Z165&gt;9,0.5,IF(Z165&gt;7,0.25,0)))+IF(AA165="-",0,IF(AA165&gt;7,1.1,IF(AA165&gt;4,0.6,0)))+IF(OR(AB165="-",V165&lt;5),0,IF(AB165&gt;7,1+IF(V165&gt;7,0.25,0),IF(AB165&gt;4,0.5+IF(V165&gt;7,0.25,0),0)))+IF(AC165="-",0,IF(AC165&gt;7,1.5,IF(AC165&gt;4,1,0)))+IF(AD165="-",0,IF(AD165&gt;9,0.5,IF(AD165&gt;7,0.25,0)))+IF(AE165="-",0,IF(AE165&gt;7,1.25,IF(AE165&gt;4,0.75,0)))+IF(OR(AF165="-",W165&lt;4),0,IF(AF165&gt;7,1+IF(W165&gt;7,0.15,0),IF(AF165&gt;4,0.5+IF(W165&gt;7,0.15,0),0))))</f>
        <v>0</v>
      </c>
      <c r="AO165" s="9">
        <f>($AK$3*AK165+$AL$3*AL165+$AM$3*AM165+$AN$3*AN165)+$J$3*VLOOKUP(J165,COND!$A$2:$C$7,2,FALSE)+$K$3*VLOOKUP(K165,COND!$A$2:$C$7,3,FALSE)</f>
        <v>8.7004845664681625</v>
      </c>
      <c r="AP165" s="37">
        <f>STANDARDIZE(AO165,AVERAGE($AO$5:$AO$1295),STDEVP($AO$5:$AO$1295))</f>
        <v>-0.27312734428914248</v>
      </c>
      <c r="AQ165" t="str">
        <f>IF(AND(Y165&lt;&gt;"-",X165&gt;1),"C",IF(AA165=MAX(AA165:AC165),"2B",IF(AC165=MAX(AA165:AC165),"SS",IF(OR(AB165=MAX(Z165:AC165),AND(AB165&lt;&gt;"-",AB165&gt;4,V165&gt;5)),"3B",IF(AE165=MAX(AD165:AF165),"CF",IF(AND(AF165=MAX(AD165,AF165),AND(W165&gt;5,AD165&lt;&gt;"-")),"RF",IF(AD165&lt;&gt;"-","LF",IF(Z165&lt;&gt;"-","1B","DH"))))))))</f>
        <v>CF</v>
      </c>
      <c r="AR165" t="s">
        <v>35</v>
      </c>
      <c r="AU165" t="str">
        <f>IF(AND($Q165&gt;=6,AVERAGE($S165:$T165)&gt;=6),"Likely",IF(OR($Q165&gt;6,AND($Q165=6,AVERAGE($S165:$T165)&gt;=3),AND($Q165&gt;=5,AVERAGE($S165:$T165)&gt;=5),AVERAGE($Q165,$S165:$T165)&gt;5),"Possible","Unlikely"))</f>
        <v>Unlikely</v>
      </c>
      <c r="AW165" t="str">
        <f>IF(VLOOKUP($B165,'Draft List'!$D$4:$AB$2598,AW$3,FALSE)&lt;&gt;0,VLOOKUP($B165,'Draft List'!$D$4:$AB$2598,AW$3,FALSE),"")</f>
        <v/>
      </c>
      <c r="AX165" t="str">
        <f>IF(VLOOKUP($B165,'Draft List'!$D$4:$AB$2598,AX$3,FALSE)&lt;&gt;0,VLOOKUP($B165,'Draft List'!$D$4:$AB$2598,AX$3,FALSE),"")</f>
        <v/>
      </c>
      <c r="AY165" t="str">
        <f>IF(VLOOKUP($B165,'Draft List'!$D$4:$AB$2598,AY$3,FALSE)&lt;&gt;0,VLOOKUP($B165,'Draft List'!$D$4:$AB$2598,AY$3,FALSE),"")</f>
        <v/>
      </c>
    </row>
    <row r="166" spans="1:51">
      <c r="A166" t="str">
        <f>IF(C166="C","C-",C166)&amp;D166&amp;E166</f>
        <v>1BWillie Clark21</v>
      </c>
      <c r="B166">
        <f>VLOOKUP($A166,draft_listing_batters_stats!$A$1:$B$1324,2,FALSE)</f>
        <v>7323</v>
      </c>
      <c r="C166" s="1" t="s">
        <v>2092</v>
      </c>
      <c r="D166" s="1" t="s">
        <v>1473</v>
      </c>
      <c r="E166" s="1">
        <v>21</v>
      </c>
      <c r="F166" s="1" t="s">
        <v>2022</v>
      </c>
      <c r="G166" s="1" t="s">
        <v>2022</v>
      </c>
      <c r="H166" s="1" t="s">
        <v>2033</v>
      </c>
      <c r="I166" s="1" t="s">
        <v>2033</v>
      </c>
      <c r="J166" s="1" t="s">
        <v>2025</v>
      </c>
      <c r="K166" s="1" t="s">
        <v>2030</v>
      </c>
      <c r="L166" s="1">
        <v>4</v>
      </c>
      <c r="M166" s="1">
        <v>5</v>
      </c>
      <c r="N166" s="1">
        <v>2</v>
      </c>
      <c r="O166" s="1">
        <v>3</v>
      </c>
      <c r="P166" s="1">
        <v>3</v>
      </c>
      <c r="Q166" s="1">
        <v>5</v>
      </c>
      <c r="R166" s="1">
        <v>5</v>
      </c>
      <c r="S166" s="1">
        <v>3</v>
      </c>
      <c r="T166" s="1">
        <v>3</v>
      </c>
      <c r="U166" s="1">
        <v>4</v>
      </c>
      <c r="V166" s="1">
        <v>4</v>
      </c>
      <c r="W166" s="1">
        <v>1</v>
      </c>
      <c r="X166" s="1">
        <v>1</v>
      </c>
      <c r="Y166" s="1" t="s">
        <v>2027</v>
      </c>
      <c r="Z166" s="1">
        <v>4</v>
      </c>
      <c r="AA166" s="1" t="s">
        <v>2027</v>
      </c>
      <c r="AB166" s="1" t="s">
        <v>2027</v>
      </c>
      <c r="AC166" s="1" t="s">
        <v>2027</v>
      </c>
      <c r="AD166" s="1" t="s">
        <v>2027</v>
      </c>
      <c r="AE166" s="1" t="s">
        <v>2027</v>
      </c>
      <c r="AF166" s="1" t="s">
        <v>2027</v>
      </c>
      <c r="AG166" s="1">
        <v>2</v>
      </c>
      <c r="AH166" s="1">
        <v>3</v>
      </c>
      <c r="AI166" s="1">
        <v>2</v>
      </c>
      <c r="AJ166" s="52" t="s">
        <v>2029</v>
      </c>
      <c r="AK166" s="9">
        <f>($L$3*(L166-$Q$1)/$Q$2+$M$3*(M166-$R$1)/$R$2+$N$3*(N166-$S$1)/$S$2+$O$3*(O166-$T$1)/$T$2+$P$3*(P166-$U$1)/$U$2)/(SUM($L$3:$P$3))</f>
        <v>-0.56992304906750335</v>
      </c>
      <c r="AL166" s="9">
        <f>($L$3*(Q166-$Q$1)/$Q$2+$M$3*(R166-$R$1)/$R$2+$N$3*(S166-$S$1)/$S$2+$O$3*(T166-$T$1)/$T$2+$P$3*(U166-$U$1)/$U$2)/(SUM($L$3:$P$3))</f>
        <v>-0.12428937902384372</v>
      </c>
      <c r="AM166">
        <f>IF(AVERAGE(AG166:AH166)&gt;9,1,0)+IF(AVERAGE(AG166:AH166)&gt;7,1,0)+IF(AG166&gt;7,1,0)+IF(AH166&gt;7,1,0)+IF(AI166&gt;8,1,0)+IF(AI166&gt;6,1,0)</f>
        <v>0</v>
      </c>
      <c r="AN166" s="6">
        <f>MIN(2,IF(OR(Y166="-",X166&lt;5),0,1+IF(Y166&gt;7,1+IF(X166&gt;7,0.25,0),IF(Y166&gt;4,0.5+IF(X166&gt;7,0.25,0),0+IF(X166&gt;7,0.25))))+IF(Z166="-",0,IF(Z166&gt;9,0.5,IF(Z166&gt;7,0.25,0)))+IF(AA166="-",0,IF(AA166&gt;7,1.1,IF(AA166&gt;4,0.6,0)))+IF(OR(AB166="-",V166&lt;5),0,IF(AB166&gt;7,1+IF(V166&gt;7,0.25,0),IF(AB166&gt;4,0.5+IF(V166&gt;7,0.25,0),0)))+IF(AC166="-",0,IF(AC166&gt;7,1.5,IF(AC166&gt;4,1,0)))+IF(AD166="-",0,IF(AD166&gt;9,0.5,IF(AD166&gt;7,0.25,0)))+IF(AE166="-",0,IF(AE166&gt;7,1.25,IF(AE166&gt;4,0.75,0)))+IF(OR(AF166="-",W166&lt;4),0,IF(AF166&gt;7,1+IF(W166&gt;7,0.15,0),IF(AF166&gt;4,0.5+IF(W166&gt;7,0.15,0),0))))</f>
        <v>0</v>
      </c>
      <c r="AO166" s="9">
        <f>($AK$3*AK166+$AL$3*AL166+$AM$3*AM166+$AN$3*AN166)+$J$3*VLOOKUP(J166,COND!$A$2:$C$7,2,FALSE)+$K$3*VLOOKUP(K166,COND!$A$2:$C$7,3,FALSE)</f>
        <v>8.5515351468071241</v>
      </c>
      <c r="AP166" s="37">
        <f>STANDARDIZE(AO166,AVERAGE($AO$5:$AO$1295),STDEVP($AO$5:$AO$1295))</f>
        <v>-0.29381994176403237</v>
      </c>
      <c r="AQ166" t="str">
        <f>IF(AND(Y166&lt;&gt;"-",X166&gt;1),"C",IF(AA166=MAX(AA166:AC166),"2B",IF(AC166=MAX(AA166:AC166),"SS",IF(OR(AB166=MAX(Z166:AC166),AND(AB166&lt;&gt;"-",AB166&gt;4,V166&gt;5)),"3B",IF(AE166=MAX(AD166:AF166),"CF",IF(AND(AF166=MAX(AD166,AF166),AND(W166&gt;5,AD166&lt;&gt;"-")),"RF",IF(AD166&lt;&gt;"-","LF",IF(Z166&lt;&gt;"-","1B","DH"))))))))</f>
        <v>1B</v>
      </c>
      <c r="AR166" t="s">
        <v>35</v>
      </c>
      <c r="AU166" t="str">
        <f>IF(AND($Q166&gt;=6,AVERAGE($S166:$T166)&gt;=6),"Likely",IF(OR($Q166&gt;6,AND($Q166=6,AVERAGE($S166:$T166)&gt;=3),AND($Q166&gt;=5,AVERAGE($S166:$T166)&gt;=5),AVERAGE($Q166,$S166:$T166)&gt;5),"Possible","Unlikely"))</f>
        <v>Unlikely</v>
      </c>
      <c r="AW166" t="str">
        <f>IF(VLOOKUP($B166,'Draft List'!$D$4:$AB$2598,AW$3,FALSE)&lt;&gt;0,VLOOKUP($B166,'Draft List'!$D$4:$AB$2598,AW$3,FALSE),"")</f>
        <v/>
      </c>
      <c r="AX166" t="str">
        <f>IF(VLOOKUP($B166,'Draft List'!$D$4:$AB$2598,AX$3,FALSE)&lt;&gt;0,VLOOKUP($B166,'Draft List'!$D$4:$AB$2598,AX$3,FALSE),"")</f>
        <v/>
      </c>
      <c r="AY166" t="str">
        <f>IF(VLOOKUP($B166,'Draft List'!$D$4:$AB$2598,AY$3,FALSE)&lt;&gt;0,VLOOKUP($B166,'Draft List'!$D$4:$AB$2598,AY$3,FALSE),"")</f>
        <v/>
      </c>
    </row>
    <row r="167" spans="1:51">
      <c r="A167" t="str">
        <f>IF(C167="C","C-",C167)&amp;D167&amp;E167</f>
        <v>1BBartolo Espinoza21</v>
      </c>
      <c r="B167">
        <f>VLOOKUP($A167,draft_listing_batters_stats!$A$1:$B$1324,2,FALSE)</f>
        <v>9436</v>
      </c>
      <c r="C167" s="1" t="s">
        <v>2092</v>
      </c>
      <c r="D167" s="1" t="s">
        <v>1491</v>
      </c>
      <c r="E167" s="1">
        <v>21</v>
      </c>
      <c r="F167" s="1" t="s">
        <v>2038</v>
      </c>
      <c r="G167" s="1" t="s">
        <v>2038</v>
      </c>
      <c r="H167" s="1" t="s">
        <v>2033</v>
      </c>
      <c r="I167" s="1" t="s">
        <v>2033</v>
      </c>
      <c r="J167" s="1" t="s">
        <v>2030</v>
      </c>
      <c r="K167" s="1" t="s">
        <v>2040</v>
      </c>
      <c r="L167" s="1">
        <v>4</v>
      </c>
      <c r="M167" s="1">
        <v>4</v>
      </c>
      <c r="N167" s="1">
        <v>1</v>
      </c>
      <c r="O167" s="1">
        <v>3</v>
      </c>
      <c r="P167" s="1">
        <v>2</v>
      </c>
      <c r="Q167" s="1">
        <v>5</v>
      </c>
      <c r="R167" s="1">
        <v>4</v>
      </c>
      <c r="S167" s="1">
        <v>3</v>
      </c>
      <c r="T167" s="1">
        <v>4</v>
      </c>
      <c r="U167" s="1">
        <v>4</v>
      </c>
      <c r="V167" s="1">
        <v>4</v>
      </c>
      <c r="W167" s="1">
        <v>4</v>
      </c>
      <c r="X167" s="1">
        <v>1</v>
      </c>
      <c r="Y167" s="1" t="s">
        <v>2027</v>
      </c>
      <c r="Z167" s="1">
        <v>3</v>
      </c>
      <c r="AA167" s="1" t="s">
        <v>2027</v>
      </c>
      <c r="AB167" s="1" t="s">
        <v>2027</v>
      </c>
      <c r="AC167" s="1" t="s">
        <v>2027</v>
      </c>
      <c r="AD167" s="1" t="s">
        <v>2027</v>
      </c>
      <c r="AE167" s="1" t="s">
        <v>2027</v>
      </c>
      <c r="AF167" s="1" t="s">
        <v>2027</v>
      </c>
      <c r="AG167" s="1">
        <v>2</v>
      </c>
      <c r="AH167" s="1">
        <v>1</v>
      </c>
      <c r="AI167" s="1">
        <v>1</v>
      </c>
      <c r="AJ167" s="52" t="s">
        <v>2029</v>
      </c>
      <c r="AK167" s="9">
        <f>($L$3*(L167-$Q$1)/$Q$2+$M$3*(M167-$R$1)/$R$2+$N$3*(N167-$S$1)/$S$2+$O$3*(O167-$T$1)/$T$2+$P$3*(P167-$U$1)/$U$2)/(SUM($L$3:$P$3))</f>
        <v>-0.74406076252719189</v>
      </c>
      <c r="AL167" s="9">
        <f>($L$3*(Q167-$Q$1)/$Q$2+$M$3*(R167-$R$1)/$R$2+$N$3*(S167-$S$1)/$S$2+$O$3*(T167-$T$1)/$T$2+$P$3*(U167-$U$1)/$U$2)/(SUM($L$3:$P$3))</f>
        <v>-8.5639708632966174E-2</v>
      </c>
      <c r="AM167">
        <f>IF(AVERAGE(AG167:AH167)&gt;9,1,0)+IF(AVERAGE(AG167:AH167)&gt;7,1,0)+IF(AG167&gt;7,1,0)+IF(AH167&gt;7,1,0)+IF(AI167&gt;8,1,0)+IF(AI167&gt;6,1,0)</f>
        <v>0</v>
      </c>
      <c r="AN167" s="6">
        <f>MIN(2,IF(OR(Y167="-",X167&lt;5),0,1+IF(Y167&gt;7,1+IF(X167&gt;7,0.25,0),IF(Y167&gt;4,0.5+IF(X167&gt;7,0.25,0),0+IF(X167&gt;7,0.25))))+IF(Z167="-",0,IF(Z167&gt;9,0.5,IF(Z167&gt;7,0.25,0)))+IF(AA167="-",0,IF(AA167&gt;7,1.1,IF(AA167&gt;4,0.6,0)))+IF(OR(AB167="-",V167&lt;5),0,IF(AB167&gt;7,1+IF(V167&gt;7,0.25,0),IF(AB167&gt;4,0.5+IF(V167&gt;7,0.25,0),0)))+IF(AC167="-",0,IF(AC167&gt;7,1.5,IF(AC167&gt;4,1,0)))+IF(AD167="-",0,IF(AD167&gt;9,0.5,IF(AD167&gt;7,0.25,0)))+IF(AE167="-",0,IF(AE167&gt;7,1.25,IF(AE167&gt;4,0.75,0)))+IF(OR(AF167="-",W167&lt;4),0,IF(AF167&gt;7,1+IF(W167&gt;7,0.15,0),IF(AF167&gt;4,0.5+IF(W167&gt;7,0.15,0),0))))</f>
        <v>0</v>
      </c>
      <c r="AO167" s="9">
        <f>($AK$3*AK167+$AL$3*AL167+$AM$3*AM167+$AN$3*AN167)+$J$3*VLOOKUP(J167,COND!$A$2:$C$7,2,FALSE)+$K$3*VLOOKUP(K167,COND!$A$2:$C$7,3,FALSE)</f>
        <v>8.4979174201516869</v>
      </c>
      <c r="AP167" s="37">
        <f>STANDARDIZE(AO167,AVERAGE($AO$5:$AO$1295),STDEVP($AO$5:$AO$1295))</f>
        <v>-0.30126871221056706</v>
      </c>
      <c r="AQ167" t="str">
        <f>IF(AND(Y167&lt;&gt;"-",X167&gt;1),"C",IF(AA167=MAX(AA167:AC167),"2B",IF(AC167=MAX(AA167:AC167),"SS",IF(OR(AB167=MAX(Z167:AC167),AND(AB167&lt;&gt;"-",AB167&gt;4,V167&gt;5)),"3B",IF(AE167=MAX(AD167:AF167),"CF",IF(AND(AF167=MAX(AD167,AF167),AND(W167&gt;5,AD167&lt;&gt;"-")),"RF",IF(AD167&lt;&gt;"-","LF",IF(Z167&lt;&gt;"-","1B","DH"))))))))</f>
        <v>1B</v>
      </c>
      <c r="AR167" t="s">
        <v>35</v>
      </c>
      <c r="AU167" t="str">
        <f>IF(AND($Q167&gt;=6,AVERAGE($S167:$T167)&gt;=6),"Likely",IF(OR($Q167&gt;6,AND($Q167=6,AVERAGE($S167:$T167)&gt;=3),AND($Q167&gt;=5,AVERAGE($S167:$T167)&gt;=5),AVERAGE($Q167,$S167:$T167)&gt;5),"Possible","Unlikely"))</f>
        <v>Unlikely</v>
      </c>
      <c r="AW167" t="str">
        <f>IF(VLOOKUP($B167,'Draft List'!$D$4:$AB$2598,AW$3,FALSE)&lt;&gt;0,VLOOKUP($B167,'Draft List'!$D$4:$AB$2598,AW$3,FALSE),"")</f>
        <v/>
      </c>
      <c r="AX167" t="str">
        <f>IF(VLOOKUP($B167,'Draft List'!$D$4:$AB$2598,AX$3,FALSE)&lt;&gt;0,VLOOKUP($B167,'Draft List'!$D$4:$AB$2598,AX$3,FALSE),"")</f>
        <v/>
      </c>
      <c r="AY167" t="str">
        <f>IF(VLOOKUP($B167,'Draft List'!$D$4:$AB$2598,AY$3,FALSE)&lt;&gt;0,VLOOKUP($B167,'Draft List'!$D$4:$AB$2598,AY$3,FALSE),"")</f>
        <v/>
      </c>
    </row>
    <row r="168" spans="1:51">
      <c r="A168" t="str">
        <f>IF(C168="C","C-",C168)&amp;D168&amp;E168</f>
        <v>CFJuan Garza20</v>
      </c>
      <c r="B168">
        <f>VLOOKUP($A168,draft_listing_batters_stats!$A$1:$B$1324,2,FALSE)</f>
        <v>7936</v>
      </c>
      <c r="C168" s="1" t="s">
        <v>2079</v>
      </c>
      <c r="D168" s="1" t="s">
        <v>1296</v>
      </c>
      <c r="E168" s="1">
        <v>20</v>
      </c>
      <c r="F168" s="1" t="s">
        <v>2038</v>
      </c>
      <c r="G168" s="1" t="s">
        <v>2038</v>
      </c>
      <c r="H168" s="1" t="s">
        <v>2033</v>
      </c>
      <c r="I168" s="1" t="s">
        <v>2033</v>
      </c>
      <c r="J168" s="1" t="s">
        <v>2026</v>
      </c>
      <c r="K168" s="1" t="s">
        <v>2030</v>
      </c>
      <c r="L168" s="1">
        <v>2</v>
      </c>
      <c r="M168" s="1">
        <v>3</v>
      </c>
      <c r="N168" s="1">
        <v>2</v>
      </c>
      <c r="O168" s="1">
        <v>3</v>
      </c>
      <c r="P168" s="1">
        <v>2</v>
      </c>
      <c r="Q168" s="1">
        <v>5</v>
      </c>
      <c r="R168" s="1">
        <v>3</v>
      </c>
      <c r="S168" s="1">
        <v>2</v>
      </c>
      <c r="T168" s="1">
        <v>4</v>
      </c>
      <c r="U168" s="1">
        <v>5</v>
      </c>
      <c r="V168" s="1">
        <v>1</v>
      </c>
      <c r="W168" s="1">
        <v>6</v>
      </c>
      <c r="X168" s="1">
        <v>1</v>
      </c>
      <c r="Y168" s="1" t="s">
        <v>2027</v>
      </c>
      <c r="Z168" s="1" t="s">
        <v>2027</v>
      </c>
      <c r="AA168" s="1" t="s">
        <v>2027</v>
      </c>
      <c r="AB168" s="1" t="s">
        <v>2027</v>
      </c>
      <c r="AC168" s="1" t="s">
        <v>2027</v>
      </c>
      <c r="AD168" s="1">
        <v>3</v>
      </c>
      <c r="AE168" s="1">
        <v>4</v>
      </c>
      <c r="AF168" s="1">
        <v>4</v>
      </c>
      <c r="AG168" s="1">
        <v>7</v>
      </c>
      <c r="AH168" s="1">
        <v>10</v>
      </c>
      <c r="AI168" s="1">
        <v>10</v>
      </c>
      <c r="AJ168" s="52">
        <v>190000</v>
      </c>
      <c r="AK168" s="9">
        <f>($L$3*(L168-$Q$1)/$Q$2+$M$3*(M168-$R$1)/$R$2+$N$3*(N168-$S$1)/$S$2+$O$3*(O168-$T$1)/$T$2+$P$3*(P168-$U$1)/$U$2)/(SUM($L$3:$P$3))</f>
        <v>-1.3571708205273432</v>
      </c>
      <c r="AL168" s="9">
        <f>($L$3*(Q168-$Q$1)/$Q$2+$M$3*(R168-$R$1)/$R$2+$N$3*(S168-$S$1)/$S$2+$O$3*(T168-$T$1)/$T$2+$P$3*(U168-$U$1)/$U$2)/(SUM($L$3:$P$3))</f>
        <v>-0.17974474245848773</v>
      </c>
      <c r="AM168">
        <f>IF(AVERAGE(AG168:AH168)&gt;9,1,0)+IF(AVERAGE(AG168:AH168)&gt;7,1,0)+IF(AG168&gt;7,1,0)+IF(AH168&gt;7,1,0)+IF(AI168&gt;8,1,0)+IF(AI168&gt;6,1,0)</f>
        <v>4</v>
      </c>
      <c r="AN168" s="6">
        <f>MIN(2,IF(OR(Y168="-",X168&lt;5),0,1+IF(Y168&gt;7,1+IF(X168&gt;7,0.25,0),IF(Y168&gt;4,0.5+IF(X168&gt;7,0.25,0),0+IF(X168&gt;7,0.25))))+IF(Z168="-",0,IF(Z168&gt;9,0.5,IF(Z168&gt;7,0.25,0)))+IF(AA168="-",0,IF(AA168&gt;7,1.1,IF(AA168&gt;4,0.6,0)))+IF(OR(AB168="-",V168&lt;5),0,IF(AB168&gt;7,1+IF(V168&gt;7,0.25,0),IF(AB168&gt;4,0.5+IF(V168&gt;7,0.25,0),0)))+IF(AC168="-",0,IF(AC168&gt;7,1.5,IF(AC168&gt;4,1,0)))+IF(AD168="-",0,IF(AD168&gt;9,0.5,IF(AD168&gt;7,0.25,0)))+IF(AE168="-",0,IF(AE168&gt;7,1.25,IF(AE168&gt;4,0.75,0)))+IF(OR(AF168="-",W168&lt;4),0,IF(AF168&gt;7,1+IF(W168&gt;7,0.15,0),IF(AF168&gt;4,0.5+IF(W168&gt;7,0.15,0),0))))</f>
        <v>0</v>
      </c>
      <c r="AO168" s="9">
        <f>($AK$3*AK168+$AL$3*AL168+$AM$3*AM168+$AN$3*AN168)+$J$3*VLOOKUP(J168,COND!$A$2:$C$7,2,FALSE)+$K$3*VLOOKUP(K168,COND!$A$2:$C$7,3,FALSE)</f>
        <v>8.3740126751120787</v>
      </c>
      <c r="AP168" s="37">
        <f>STANDARDIZE(AO168,AVERAGE($AO$5:$AO$1295),STDEVP($AO$5:$AO$1295))</f>
        <v>-0.31848201200165127</v>
      </c>
      <c r="AQ168" t="str">
        <f>IF(AND(Y168&lt;&gt;"-",X168&gt;1),"C",IF(AA168=MAX(AA168:AC168),"2B",IF(AC168=MAX(AA168:AC168),"SS",IF(OR(AB168=MAX(Z168:AC168),AND(AB168&lt;&gt;"-",AB168&gt;4,V168&gt;5)),"3B",IF(AE168=MAX(AD168:AF168),"CF",IF(AND(AF168=MAX(AD168,AF168),AND(W168&gt;5,AD168&lt;&gt;"-")),"RF",IF(AD168&lt;&gt;"-","LF",IF(Z168&lt;&gt;"-","1B","DH"))))))))</f>
        <v>CF</v>
      </c>
      <c r="AR168" t="s">
        <v>35</v>
      </c>
      <c r="AT168" t="s">
        <v>155</v>
      </c>
      <c r="AU168" t="str">
        <f>IF(AND($Q168&gt;=6,AVERAGE($S168:$T168)&gt;=6),"Likely",IF(OR($Q168&gt;6,AND($Q168=6,AVERAGE($S168:$T168)&gt;=3),AND($Q168&gt;=5,AVERAGE($S168:$T168)&gt;=5),AVERAGE($Q168,$S168:$T168)&gt;5),"Possible","Unlikely"))</f>
        <v>Unlikely</v>
      </c>
      <c r="AW168" t="str">
        <f>IF(VLOOKUP($B168,'Draft List'!$D$4:$AB$2598,AW$3,FALSE)&lt;&gt;0,VLOOKUP($B168,'Draft List'!$D$4:$AB$2598,AW$3,FALSE),"")</f>
        <v/>
      </c>
      <c r="AX168" t="str">
        <f>IF(VLOOKUP($B168,'Draft List'!$D$4:$AB$2598,AX$3,FALSE)&lt;&gt;0,VLOOKUP($B168,'Draft List'!$D$4:$AB$2598,AX$3,FALSE),"")</f>
        <v/>
      </c>
      <c r="AY168" t="str">
        <f>IF(VLOOKUP($B168,'Draft List'!$D$4:$AB$2598,AY$3,FALSE)&lt;&gt;0,VLOOKUP($B168,'Draft List'!$D$4:$AB$2598,AY$3,FALSE),"")</f>
        <v/>
      </c>
    </row>
    <row r="169" spans="1:51">
      <c r="A169" t="str">
        <f>IF(C169="C","C-",C169)&amp;D169&amp;E169</f>
        <v>C-Martin Spencer21</v>
      </c>
      <c r="B169">
        <f>VLOOKUP($A169,draft_listing_batters_stats!$A$1:$B$1324,2,FALSE)</f>
        <v>4365</v>
      </c>
      <c r="C169" s="1" t="s">
        <v>2091</v>
      </c>
      <c r="D169" s="1" t="s">
        <v>1221</v>
      </c>
      <c r="E169" s="1">
        <v>21</v>
      </c>
      <c r="F169" s="1" t="s">
        <v>2038</v>
      </c>
      <c r="G169" s="1" t="s">
        <v>2022</v>
      </c>
      <c r="H169" s="1" t="s">
        <v>2033</v>
      </c>
      <c r="I169" s="1" t="s">
        <v>2033</v>
      </c>
      <c r="J169" s="1" t="s">
        <v>2026</v>
      </c>
      <c r="K169" s="1" t="s">
        <v>2040</v>
      </c>
      <c r="L169" s="1">
        <v>4</v>
      </c>
      <c r="M169" s="1">
        <v>5</v>
      </c>
      <c r="N169" s="1">
        <v>2</v>
      </c>
      <c r="O169" s="1">
        <v>4</v>
      </c>
      <c r="P169" s="1">
        <v>2</v>
      </c>
      <c r="Q169" s="1">
        <v>4</v>
      </c>
      <c r="R169" s="1">
        <v>7</v>
      </c>
      <c r="S169" s="1">
        <v>3</v>
      </c>
      <c r="T169" s="1">
        <v>4</v>
      </c>
      <c r="U169" s="1">
        <v>4</v>
      </c>
      <c r="V169" s="1">
        <v>4</v>
      </c>
      <c r="W169" s="1">
        <v>4</v>
      </c>
      <c r="X169" s="1">
        <v>10</v>
      </c>
      <c r="Y169" s="1">
        <v>8</v>
      </c>
      <c r="Z169" s="1" t="s">
        <v>2027</v>
      </c>
      <c r="AA169" s="1" t="s">
        <v>2027</v>
      </c>
      <c r="AB169" s="1" t="s">
        <v>2027</v>
      </c>
      <c r="AC169" s="1" t="s">
        <v>2027</v>
      </c>
      <c r="AD169" s="1" t="s">
        <v>2027</v>
      </c>
      <c r="AE169" s="1" t="s">
        <v>2027</v>
      </c>
      <c r="AF169" s="1" t="s">
        <v>2027</v>
      </c>
      <c r="AG169" s="1">
        <v>4</v>
      </c>
      <c r="AH169" s="1">
        <v>5</v>
      </c>
      <c r="AI169" s="1">
        <v>4</v>
      </c>
      <c r="AJ169" s="52" t="s">
        <v>2029</v>
      </c>
      <c r="AK169" s="9">
        <f>($L$3*(L169-$Q$1)/$Q$2+$M$3*(M169-$R$1)/$R$2+$N$3*(N169-$S$1)/$S$2+$O$3*(O169-$T$1)/$T$2+$P$3*(P169-$U$1)/$U$2)/(SUM($L$3:$P$3))</f>
        <v>-0.52022983887500585</v>
      </c>
      <c r="AL169" s="9">
        <f>($L$3*(Q169-$Q$1)/$Q$2+$M$3*(R169-$R$1)/$R$2+$N$3*(S169-$S$1)/$S$2+$O$3*(T169-$T$1)/$T$2+$P$3*(U169-$U$1)/$U$2)/(SUM($L$3:$P$3))</f>
        <v>-0.25501590597953039</v>
      </c>
      <c r="AM169">
        <f>IF(AVERAGE(AG169:AH169)&gt;9,1,0)+IF(AVERAGE(AG169:AH169)&gt;7,1,0)+IF(AG169&gt;7,1,0)+IF(AH169&gt;7,1,0)+IF(AI169&gt;8,1,0)+IF(AI169&gt;6,1,0)</f>
        <v>0</v>
      </c>
      <c r="AN169" s="6">
        <f>MIN(2,IF(OR(Y169="-",X169&lt;5),0,1+IF(Y169&gt;7,1+IF(X169&gt;7,0.25,0),IF(Y169&gt;4,0.5+IF(X169&gt;7,0.25,0),0+IF(X169&gt;7,0.25))))+IF(Z169="-",0,IF(Z169&gt;9,0.5,IF(Z169&gt;7,0.25,0)))+IF(AA169="-",0,IF(AA169&gt;7,1.1,IF(AA169&gt;4,0.6,0)))+IF(OR(AB169="-",V169&lt;5),0,IF(AB169&gt;7,1+IF(V169&gt;7,0.25,0),IF(AB169&gt;4,0.5+IF(V169&gt;7,0.25,0),0)))+IF(AC169="-",0,IF(AC169&gt;7,1.5,IF(AC169&gt;4,1,0)))+IF(AD169="-",0,IF(AD169&gt;9,0.5,IF(AD169&gt;7,0.25,0)))+IF(AE169="-",0,IF(AE169&gt;7,1.25,IF(AE169&gt;4,0.75,0)))+IF(OR(AF169="-",W169&lt;4),0,IF(AF169&gt;7,1+IF(W169&gt;7,0.15,0),IF(AF169&gt;4,0.5+IF(W169&gt;7,0.15,0),0))))</f>
        <v>2</v>
      </c>
      <c r="AO169" s="9">
        <f>($AK$3*AK169+$AL$3*AL169+$AM$3*AM169+$AN$3*AN169)+$J$3*VLOOKUP(J169,COND!$A$2:$C$7,2,FALSE)+$K$3*VLOOKUP(K169,COND!$A$2:$C$7,3,FALSE)</f>
        <v>8.2877861443581349</v>
      </c>
      <c r="AP169" s="37">
        <f>STANDARDIZE(AO169,AVERAGE($AO$5:$AO$1295),STDEVP($AO$5:$AO$1295))</f>
        <v>-0.33046091662986643</v>
      </c>
      <c r="AQ169" t="str">
        <f>IF(AND(Y169&lt;&gt;"-",X169&gt;1),"C",IF(AA169=MAX(AA169:AC169),"2B",IF(AC169=MAX(AA169:AC169),"SS",IF(OR(AB169=MAX(Z169:AC169),AND(AB169&lt;&gt;"-",AB169&gt;4,V169&gt;5)),"3B",IF(AE169=MAX(AD169:AF169),"CF",IF(AND(AF169=MAX(AD169,AF169),AND(W169&gt;5,AD169&lt;&gt;"-")),"RF",IF(AD169&lt;&gt;"-","LF",IF(Z169&lt;&gt;"-","1B","DH"))))))))</f>
        <v>C</v>
      </c>
      <c r="AR169" t="s">
        <v>35</v>
      </c>
      <c r="AU169" t="str">
        <f>IF(AND($Q169&gt;=6,AVERAGE($S169:$T169)&gt;=6),"Likely",IF(OR($Q169&gt;6,AND($Q169=6,AVERAGE($S169:$T169)&gt;=3),AND($Q169&gt;=5,AVERAGE($S169:$T169)&gt;=5),AVERAGE($Q169,$S169:$T169)&gt;5),"Possible","Unlikely"))</f>
        <v>Unlikely</v>
      </c>
      <c r="AW169" t="str">
        <f>IF(VLOOKUP($B169,'Draft List'!$D$4:$AB$2598,AW$3,FALSE)&lt;&gt;0,VLOOKUP($B169,'Draft List'!$D$4:$AB$2598,AW$3,FALSE),"")</f>
        <v/>
      </c>
      <c r="AX169" t="str">
        <f>IF(VLOOKUP($B169,'Draft List'!$D$4:$AB$2598,AX$3,FALSE)&lt;&gt;0,VLOOKUP($B169,'Draft List'!$D$4:$AB$2598,AX$3,FALSE),"")</f>
        <v/>
      </c>
      <c r="AY169" t="str">
        <f>IF(VLOOKUP($B169,'Draft List'!$D$4:$AB$2598,AY$3,FALSE)&lt;&gt;0,VLOOKUP($B169,'Draft List'!$D$4:$AB$2598,AY$3,FALSE),"")</f>
        <v/>
      </c>
    </row>
    <row r="170" spans="1:51">
      <c r="A170" t="str">
        <f>IF(C170="C","C-",C170)&amp;D170&amp;E170</f>
        <v>SSBob Stumberg18</v>
      </c>
      <c r="B170">
        <f>VLOOKUP($A170,draft_listing_batters_stats!$A$1:$B$1324,2,FALSE)</f>
        <v>13773</v>
      </c>
      <c r="C170" s="1" t="s">
        <v>2074</v>
      </c>
      <c r="D170" s="1" t="s">
        <v>1226</v>
      </c>
      <c r="E170" s="1">
        <v>18</v>
      </c>
      <c r="F170" s="1" t="s">
        <v>2022</v>
      </c>
      <c r="G170" s="1" t="s">
        <v>2022</v>
      </c>
      <c r="H170" s="1" t="s">
        <v>2033</v>
      </c>
      <c r="I170" s="1" t="s">
        <v>2033</v>
      </c>
      <c r="J170" s="1" t="s">
        <v>2025</v>
      </c>
      <c r="K170" s="1" t="s">
        <v>2025</v>
      </c>
      <c r="L170" s="1">
        <v>1</v>
      </c>
      <c r="M170" s="1">
        <v>3</v>
      </c>
      <c r="N170" s="1">
        <v>1</v>
      </c>
      <c r="O170" s="1">
        <v>2</v>
      </c>
      <c r="P170" s="1">
        <v>1</v>
      </c>
      <c r="Q170" s="1">
        <v>4</v>
      </c>
      <c r="R170" s="1">
        <v>8</v>
      </c>
      <c r="S170" s="1">
        <v>2</v>
      </c>
      <c r="T170" s="1">
        <v>5</v>
      </c>
      <c r="U170" s="1">
        <v>4</v>
      </c>
      <c r="V170" s="1">
        <v>7</v>
      </c>
      <c r="W170" s="1">
        <v>3</v>
      </c>
      <c r="X170" s="1">
        <v>1</v>
      </c>
      <c r="Y170" s="1" t="s">
        <v>2027</v>
      </c>
      <c r="Z170" s="1">
        <v>1</v>
      </c>
      <c r="AA170" s="1">
        <v>1</v>
      </c>
      <c r="AB170" s="1" t="s">
        <v>2027</v>
      </c>
      <c r="AC170" s="1">
        <v>3</v>
      </c>
      <c r="AD170" s="1" t="s">
        <v>2027</v>
      </c>
      <c r="AE170" s="1" t="s">
        <v>2027</v>
      </c>
      <c r="AF170" s="1" t="s">
        <v>2027</v>
      </c>
      <c r="AG170" s="1">
        <v>8</v>
      </c>
      <c r="AH170" s="1">
        <v>10</v>
      </c>
      <c r="AI170" s="1">
        <v>10</v>
      </c>
      <c r="AJ170" s="52" t="s">
        <v>2029</v>
      </c>
      <c r="AK170" s="9">
        <f>($L$3*(L170-$Q$1)/$Q$2+$M$3*(M170-$R$1)/$R$2+$N$3*(N170-$S$1)/$S$2+$O$3*(O170-$T$1)/$T$2+$P$3*(P170-$U$1)/$U$2)/(SUM($L$3:$P$3))</f>
        <v>-1.8925140405805838</v>
      </c>
      <c r="AL170" s="9">
        <f>($L$3*(Q170-$Q$1)/$Q$2+$M$3*(R170-$R$1)/$R$2+$N$3*(S170-$S$1)/$S$2+$O$3*(T170-$T$1)/$T$2+$P$3*(U170-$U$1)/$U$2)/(SUM($L$3:$P$3))</f>
        <v>-0.19730797037514733</v>
      </c>
      <c r="AM170">
        <f>IF(AVERAGE(AG170:AH170)&gt;9,1,0)+IF(AVERAGE(AG170:AH170)&gt;7,1,0)+IF(AG170&gt;7,1,0)+IF(AH170&gt;7,1,0)+IF(AI170&gt;8,1,0)+IF(AI170&gt;6,1,0)</f>
        <v>5</v>
      </c>
      <c r="AN170" s="6">
        <f>MIN(2,IF(OR(Y170="-",X170&lt;5),0,1+IF(Y170&gt;7,1+IF(X170&gt;7,0.25,0),IF(Y170&gt;4,0.5+IF(X170&gt;7,0.25,0),0+IF(X170&gt;7,0.25))))+IF(Z170="-",0,IF(Z170&gt;9,0.5,IF(Z170&gt;7,0.25,0)))+IF(AA170="-",0,IF(AA170&gt;7,1.1,IF(AA170&gt;4,0.6,0)))+IF(OR(AB170="-",V170&lt;5),0,IF(AB170&gt;7,1+IF(V170&gt;7,0.25,0),IF(AB170&gt;4,0.5+IF(V170&gt;7,0.25,0),0)))+IF(AC170="-",0,IF(AC170&gt;7,1.5,IF(AC170&gt;4,1,0)))+IF(AD170="-",0,IF(AD170&gt;9,0.5,IF(AD170&gt;7,0.25,0)))+IF(AE170="-",0,IF(AE170&gt;7,1.25,IF(AE170&gt;4,0.75,0)))+IF(OR(AF170="-",W170&lt;4),0,IF(AF170&gt;7,1+IF(W170&gt;7,0.15,0),IF(AF170&gt;4,0.5+IF(W170&gt;7,0.15,0),0))))</f>
        <v>0</v>
      </c>
      <c r="AO170" s="9">
        <f>($AK$3*AK170+$AL$3*AL170+$AM$3*AM170+$AN$3*AN170)+$J$3*VLOOKUP(J170,COND!$A$2:$C$7,2,FALSE)+$K$3*VLOOKUP(K170,COND!$A$2:$C$7,3,FALSE)</f>
        <v>8.2763862847735066</v>
      </c>
      <c r="AP170" s="37">
        <f>STANDARDIZE(AO170,AVERAGE($AO$5:$AO$1295),STDEVP($AO$5:$AO$1295))</f>
        <v>-0.33204462676577562</v>
      </c>
      <c r="AQ170" t="str">
        <f>IF(AND(Y170&lt;&gt;"-",X170&gt;1),"C",IF(AA170=MAX(AA170:AC170),"2B",IF(AC170=MAX(AA170:AC170),"SS",IF(OR(AB170=MAX(Z170:AC170),AND(AB170&lt;&gt;"-",AB170&gt;4,V170&gt;5)),"3B",IF(AE170=MAX(AD170:AF170),"CF",IF(AND(AF170=MAX(AD170,AF170),AND(W170&gt;5,AD170&lt;&gt;"-")),"RF",IF(AD170&lt;&gt;"-","LF",IF(Z170&lt;&gt;"-","1B","DH"))))))))</f>
        <v>SS</v>
      </c>
      <c r="AR170" t="s">
        <v>35</v>
      </c>
      <c r="AU170" t="str">
        <f>IF(AND($Q170&gt;=6,AVERAGE($S170:$T170)&gt;=6),"Likely",IF(OR($Q170&gt;6,AND($Q170=6,AVERAGE($S170:$T170)&gt;=3),AND($Q170&gt;=5,AVERAGE($S170:$T170)&gt;=5),AVERAGE($Q170,$S170:$T170)&gt;5),"Possible","Unlikely"))</f>
        <v>Unlikely</v>
      </c>
      <c r="AW170" t="str">
        <f>IF(VLOOKUP($B170,'Draft List'!$D$4:$AB$2598,AW$3,FALSE)&lt;&gt;0,VLOOKUP($B170,'Draft List'!$D$4:$AB$2598,AW$3,FALSE),"")</f>
        <v/>
      </c>
      <c r="AX170" t="str">
        <f>IF(VLOOKUP($B170,'Draft List'!$D$4:$AB$2598,AX$3,FALSE)&lt;&gt;0,VLOOKUP($B170,'Draft List'!$D$4:$AB$2598,AX$3,FALSE),"")</f>
        <v/>
      </c>
      <c r="AY170" t="str">
        <f>IF(VLOOKUP($B170,'Draft List'!$D$4:$AB$2598,AY$3,FALSE)&lt;&gt;0,VLOOKUP($B170,'Draft List'!$D$4:$AB$2598,AY$3,FALSE),"")</f>
        <v/>
      </c>
    </row>
    <row r="171" spans="1:51">
      <c r="A171" t="str">
        <f>IF(C171="C","C-",C171)&amp;D171&amp;E171</f>
        <v>3BJim Fitter21</v>
      </c>
      <c r="B171">
        <f>VLOOKUP($A171,draft_listing_batters_stats!$A$1:$B$1324,2,FALSE)</f>
        <v>3336</v>
      </c>
      <c r="C171" s="1" t="s">
        <v>2061</v>
      </c>
      <c r="D171" s="1" t="s">
        <v>1494</v>
      </c>
      <c r="E171" s="1">
        <v>21</v>
      </c>
      <c r="F171" s="1" t="s">
        <v>2022</v>
      </c>
      <c r="G171" s="1" t="s">
        <v>2022</v>
      </c>
      <c r="H171" s="1" t="s">
        <v>2033</v>
      </c>
      <c r="I171" s="1" t="s">
        <v>2033</v>
      </c>
      <c r="J171" s="1" t="s">
        <v>2040</v>
      </c>
      <c r="K171" s="1" t="s">
        <v>2030</v>
      </c>
      <c r="L171" s="1">
        <v>4</v>
      </c>
      <c r="M171" s="1">
        <v>3</v>
      </c>
      <c r="N171" s="1">
        <v>1</v>
      </c>
      <c r="O171" s="1">
        <v>2</v>
      </c>
      <c r="P171" s="1">
        <v>2</v>
      </c>
      <c r="Q171" s="1">
        <v>5</v>
      </c>
      <c r="R171" s="1">
        <v>4</v>
      </c>
      <c r="S171" s="1">
        <v>2</v>
      </c>
      <c r="T171" s="1">
        <v>4</v>
      </c>
      <c r="U171" s="1">
        <v>4</v>
      </c>
      <c r="V171" s="1">
        <v>8</v>
      </c>
      <c r="W171" s="1">
        <v>2</v>
      </c>
      <c r="X171" s="1">
        <v>1</v>
      </c>
      <c r="Y171" s="1" t="s">
        <v>2027</v>
      </c>
      <c r="Z171" s="1" t="s">
        <v>2027</v>
      </c>
      <c r="AA171" s="1">
        <v>1</v>
      </c>
      <c r="AB171" s="1">
        <v>6</v>
      </c>
      <c r="AC171" s="1">
        <v>1</v>
      </c>
      <c r="AD171" s="1" t="s">
        <v>2027</v>
      </c>
      <c r="AE171" s="1" t="s">
        <v>2027</v>
      </c>
      <c r="AF171" s="1" t="s">
        <v>2027</v>
      </c>
      <c r="AG171" s="1">
        <v>4</v>
      </c>
      <c r="AH171" s="1">
        <v>1</v>
      </c>
      <c r="AI171" s="1">
        <v>1</v>
      </c>
      <c r="AJ171" s="52" t="s">
        <v>2029</v>
      </c>
      <c r="AK171" s="9">
        <f>($L$3*(L171-$Q$1)/$Q$2+$M$3*(M171-$R$1)/$R$2+$N$3*(N171-$S$1)/$S$2+$O$3*(O171-$T$1)/$T$2+$P$3*(P171-$U$1)/$U$2)/(SUM($L$3:$P$3))</f>
        <v>-0.88483019215547631</v>
      </c>
      <c r="AL171" s="9">
        <f>($L$3*(Q171-$Q$1)/$Q$2+$M$3*(R171-$R$1)/$R$2+$N$3*(S171-$S$1)/$S$2+$O$3*(T171-$T$1)/$T$2+$P$3*(U171-$U$1)/$U$2)/(SUM($L$3:$P$3))</f>
        <v>-0.16870120265686769</v>
      </c>
      <c r="AM171">
        <f>IF(AVERAGE(AG171:AH171)&gt;9,1,0)+IF(AVERAGE(AG171:AH171)&gt;7,1,0)+IF(AG171&gt;7,1,0)+IF(AH171&gt;7,1,0)+IF(AI171&gt;8,1,0)+IF(AI171&gt;6,1,0)</f>
        <v>0</v>
      </c>
      <c r="AN171" s="6">
        <f>MIN(2,IF(OR(Y171="-",X171&lt;5),0,1+IF(Y171&gt;7,1+IF(X171&gt;7,0.25,0),IF(Y171&gt;4,0.5+IF(X171&gt;7,0.25,0),0+IF(X171&gt;7,0.25))))+IF(Z171="-",0,IF(Z171&gt;9,0.5,IF(Z171&gt;7,0.25,0)))+IF(AA171="-",0,IF(AA171&gt;7,1.1,IF(AA171&gt;4,0.6,0)))+IF(OR(AB171="-",V171&lt;5),0,IF(AB171&gt;7,1+IF(V171&gt;7,0.25,0),IF(AB171&gt;4,0.5+IF(V171&gt;7,0.25,0),0)))+IF(AC171="-",0,IF(AC171&gt;7,1.5,IF(AC171&gt;4,1,0)))+IF(AD171="-",0,IF(AD171&gt;9,0.5,IF(AD171&gt;7,0.25,0)))+IF(AE171="-",0,IF(AE171&gt;7,1.25,IF(AE171&gt;4,0.75,0)))+IF(OR(AF171="-",W171&lt;4),0,IF(AF171&gt;7,1+IF(W171&gt;7,0.15,0),IF(AF171&gt;4,0.5+IF(W171&gt;7,0.15,0),0))))</f>
        <v>0.75</v>
      </c>
      <c r="AO171" s="9">
        <f>($AK$3*AK171+$AL$3*AL171+$AM$3*AM171+$AN$3*AN171)+$J$3*VLOOKUP(J171,COND!$A$2:$C$7,2,FALSE)+$K$3*VLOOKUP(K171,COND!$A$2:$C$7,3,FALSE)</f>
        <v>8.2371025489020404</v>
      </c>
      <c r="AP171" s="37">
        <f>STANDARDIZE(AO171,AVERAGE($AO$5:$AO$1295),STDEVP($AO$5:$AO$1295))</f>
        <v>-0.33750206685213519</v>
      </c>
      <c r="AQ171" t="str">
        <f>IF(AND(Y171&lt;&gt;"-",X171&gt;1),"C",IF(AA171=MAX(AA171:AC171),"2B",IF(AC171=MAX(AA171:AC171),"SS",IF(OR(AB171=MAX(Z171:AC171),AND(AB171&lt;&gt;"-",AB171&gt;4,V171&gt;5)),"3B",IF(AE171=MAX(AD171:AF171),"CF",IF(AND(AF171=MAX(AD171,AF171),AND(W171&gt;5,AD171&lt;&gt;"-")),"RF",IF(AD171&lt;&gt;"-","LF",IF(Z171&lt;&gt;"-","1B","DH"))))))))</f>
        <v>3B</v>
      </c>
      <c r="AR171" t="s">
        <v>35</v>
      </c>
      <c r="AU171" t="str">
        <f>IF(AND($Q171&gt;=6,AVERAGE($S171:$T171)&gt;=6),"Likely",IF(OR($Q171&gt;6,AND($Q171=6,AVERAGE($S171:$T171)&gt;=3),AND($Q171&gt;=5,AVERAGE($S171:$T171)&gt;=5),AVERAGE($Q171,$S171:$T171)&gt;5),"Possible","Unlikely"))</f>
        <v>Unlikely</v>
      </c>
      <c r="AW171" t="str">
        <f>IF(VLOOKUP($B171,'Draft List'!$D$4:$AB$2598,AW$3,FALSE)&lt;&gt;0,VLOOKUP($B171,'Draft List'!$D$4:$AB$2598,AW$3,FALSE),"")</f>
        <v/>
      </c>
      <c r="AX171" t="str">
        <f>IF(VLOOKUP($B171,'Draft List'!$D$4:$AB$2598,AX$3,FALSE)&lt;&gt;0,VLOOKUP($B171,'Draft List'!$D$4:$AB$2598,AX$3,FALSE),"")</f>
        <v/>
      </c>
      <c r="AY171" t="str">
        <f>IF(VLOOKUP($B171,'Draft List'!$D$4:$AB$2598,AY$3,FALSE)&lt;&gt;0,VLOOKUP($B171,'Draft List'!$D$4:$AB$2598,AY$3,FALSE),"")</f>
        <v/>
      </c>
    </row>
    <row r="172" spans="1:51">
      <c r="A172" t="str">
        <f>IF(C172="C","C-",C172)&amp;D172&amp;E172</f>
        <v>3BArchie Green18</v>
      </c>
      <c r="B172">
        <f>VLOOKUP($A172,draft_listing_batters_stats!$A$1:$B$1324,2,FALSE)</f>
        <v>13755</v>
      </c>
      <c r="C172" s="1" t="s">
        <v>2061</v>
      </c>
      <c r="D172" s="1" t="s">
        <v>1305</v>
      </c>
      <c r="E172" s="1">
        <v>18</v>
      </c>
      <c r="F172" s="1" t="s">
        <v>2022</v>
      </c>
      <c r="G172" s="1" t="s">
        <v>2022</v>
      </c>
      <c r="H172" s="1" t="s">
        <v>2033</v>
      </c>
      <c r="I172" s="1" t="s">
        <v>2033</v>
      </c>
      <c r="J172" s="1" t="s">
        <v>2026</v>
      </c>
      <c r="K172" s="1" t="s">
        <v>2025</v>
      </c>
      <c r="L172" s="1">
        <v>1</v>
      </c>
      <c r="M172" s="1">
        <v>2</v>
      </c>
      <c r="N172" s="1">
        <v>1</v>
      </c>
      <c r="O172" s="1">
        <v>1</v>
      </c>
      <c r="P172" s="1">
        <v>1</v>
      </c>
      <c r="Q172" s="1">
        <v>5</v>
      </c>
      <c r="R172" s="1">
        <v>5</v>
      </c>
      <c r="S172" s="1">
        <v>3</v>
      </c>
      <c r="T172" s="1">
        <v>3</v>
      </c>
      <c r="U172" s="1">
        <v>4</v>
      </c>
      <c r="V172" s="1">
        <v>10</v>
      </c>
      <c r="W172" s="1">
        <v>3</v>
      </c>
      <c r="X172" s="1">
        <v>1</v>
      </c>
      <c r="Y172" s="1" t="s">
        <v>2027</v>
      </c>
      <c r="Z172" s="1">
        <v>2</v>
      </c>
      <c r="AA172" s="1">
        <v>1</v>
      </c>
      <c r="AB172" s="1">
        <v>4</v>
      </c>
      <c r="AC172" s="1">
        <v>1</v>
      </c>
      <c r="AD172" s="1">
        <v>1</v>
      </c>
      <c r="AE172" s="1" t="s">
        <v>2027</v>
      </c>
      <c r="AF172" s="1" t="s">
        <v>2027</v>
      </c>
      <c r="AG172" s="1">
        <v>4</v>
      </c>
      <c r="AH172" s="1">
        <v>3</v>
      </c>
      <c r="AI172" s="1">
        <v>4</v>
      </c>
      <c r="AJ172" s="52" t="s">
        <v>2029</v>
      </c>
      <c r="AK172" s="9">
        <f>($L$3*(L172-$Q$1)/$Q$2+$M$3*(M172-$R$1)/$R$2+$N$3*(N172-$S$1)/$S$2+$O$3*(O172-$T$1)/$T$2+$P$3*(P172-$U$1)/$U$2)/(SUM($L$3:$P$3))</f>
        <v>-2.0332834702088682</v>
      </c>
      <c r="AL172" s="9">
        <f>($L$3*(Q172-$Q$1)/$Q$2+$M$3*(R172-$R$1)/$R$2+$N$3*(S172-$S$1)/$S$2+$O$3*(T172-$T$1)/$T$2+$P$3*(U172-$U$1)/$U$2)/(SUM($L$3:$P$3))</f>
        <v>-0.12428937902384372</v>
      </c>
      <c r="AM172">
        <f>IF(AVERAGE(AG172:AH172)&gt;9,1,0)+IF(AVERAGE(AG172:AH172)&gt;7,1,0)+IF(AG172&gt;7,1,0)+IF(AH172&gt;7,1,0)+IF(AI172&gt;8,1,0)+IF(AI172&gt;6,1,0)</f>
        <v>0</v>
      </c>
      <c r="AN172" s="6">
        <f>MIN(2,IF(OR(Y172="-",X172&lt;5),0,1+IF(Y172&gt;7,1+IF(X172&gt;7,0.25,0),IF(Y172&gt;4,0.5+IF(X172&gt;7,0.25,0),0+IF(X172&gt;7,0.25))))+IF(Z172="-",0,IF(Z172&gt;9,0.5,IF(Z172&gt;7,0.25,0)))+IF(AA172="-",0,IF(AA172&gt;7,1.1,IF(AA172&gt;4,0.6,0)))+IF(OR(AB172="-",V172&lt;5),0,IF(AB172&gt;7,1+IF(V172&gt;7,0.25,0),IF(AB172&gt;4,0.5+IF(V172&gt;7,0.25,0),0)))+IF(AC172="-",0,IF(AC172&gt;7,1.5,IF(AC172&gt;4,1,0)))+IF(AD172="-",0,IF(AD172&gt;9,0.5,IF(AD172&gt;7,0.25,0)))+IF(AE172="-",0,IF(AE172&gt;7,1.25,IF(AE172&gt;4,0.75,0)))+IF(OR(AF172="-",W172&lt;4),0,IF(AF172&gt;7,1+IF(W172&gt;7,0.15,0),IF(AF172&gt;4,0.5+IF(W172&gt;7,0.15,0),0))))</f>
        <v>0</v>
      </c>
      <c r="AO172" s="9">
        <f>($AK$3*AK172+$AL$3*AL172+$AM$3*AM172+$AN$3*AN172)+$J$3*VLOOKUP(J172,COND!$A$2:$C$7,2,FALSE)+$K$3*VLOOKUP(K172,COND!$A$2:$C$7,3,FALSE)</f>
        <v>8.2051991046929889</v>
      </c>
      <c r="AP172" s="37">
        <f>STANDARDIZE(AO172,AVERAGE($AO$5:$AO$1295),STDEVP($AO$5:$AO$1295))</f>
        <v>-0.34193420986137169</v>
      </c>
      <c r="AQ172" t="str">
        <f>IF(AND(Y172&lt;&gt;"-",X172&gt;1),"C",IF(AA172=MAX(AA172:AC172),"2B",IF(AC172=MAX(AA172:AC172),"SS",IF(OR(AB172=MAX(Z172:AC172),AND(AB172&lt;&gt;"-",AB172&gt;4,V172&gt;5)),"3B",IF(AE172=MAX(AD172:AF172),"CF",IF(AND(AF172=MAX(AD172,AF172),AND(W172&gt;5,AD172&lt;&gt;"-")),"RF",IF(AD172&lt;&gt;"-","LF",IF(Z172&lt;&gt;"-","1B","DH"))))))))</f>
        <v>3B</v>
      </c>
      <c r="AR172" t="s">
        <v>35</v>
      </c>
      <c r="AU172" t="str">
        <f>IF(AND($Q172&gt;=6,AVERAGE($S172:$T172)&gt;=6),"Likely",IF(OR($Q172&gt;6,AND($Q172=6,AVERAGE($S172:$T172)&gt;=3),AND($Q172&gt;=5,AVERAGE($S172:$T172)&gt;=5),AVERAGE($Q172,$S172:$T172)&gt;5),"Possible","Unlikely"))</f>
        <v>Unlikely</v>
      </c>
      <c r="AW172" t="str">
        <f>IF(VLOOKUP($B172,'Draft List'!$D$4:$AB$2598,AW$3,FALSE)&lt;&gt;0,VLOOKUP($B172,'Draft List'!$D$4:$AB$2598,AW$3,FALSE),"")</f>
        <v/>
      </c>
      <c r="AX172" t="str">
        <f>IF(VLOOKUP($B172,'Draft List'!$D$4:$AB$2598,AX$3,FALSE)&lt;&gt;0,VLOOKUP($B172,'Draft List'!$D$4:$AB$2598,AX$3,FALSE),"")</f>
        <v/>
      </c>
      <c r="AY172" t="str">
        <f>IF(VLOOKUP($B172,'Draft List'!$D$4:$AB$2598,AY$3,FALSE)&lt;&gt;0,VLOOKUP($B172,'Draft List'!$D$4:$AB$2598,AY$3,FALSE),"")</f>
        <v/>
      </c>
    </row>
    <row r="173" spans="1:51">
      <c r="A173" t="str">
        <f>IF(C173="C","C-",C173)&amp;D173&amp;E173</f>
        <v>3BPyeong-chu Kim21</v>
      </c>
      <c r="B173">
        <f>VLOOKUP($A173,draft_listing_batters_stats!$A$1:$B$1324,2,FALSE)</f>
        <v>4397</v>
      </c>
      <c r="C173" s="1" t="s">
        <v>2061</v>
      </c>
      <c r="D173" s="1" t="s">
        <v>1336</v>
      </c>
      <c r="E173" s="1">
        <v>21</v>
      </c>
      <c r="F173" s="1" t="s">
        <v>2022</v>
      </c>
      <c r="G173" s="1" t="s">
        <v>2022</v>
      </c>
      <c r="H173" s="1" t="s">
        <v>2033</v>
      </c>
      <c r="I173" s="1" t="s">
        <v>2033</v>
      </c>
      <c r="J173" s="1" t="s">
        <v>2025</v>
      </c>
      <c r="K173" s="1" t="s">
        <v>2025</v>
      </c>
      <c r="L173" s="1">
        <v>3</v>
      </c>
      <c r="M173" s="1">
        <v>4</v>
      </c>
      <c r="N173" s="1">
        <v>3</v>
      </c>
      <c r="O173" s="1">
        <v>3</v>
      </c>
      <c r="P173" s="1">
        <v>2</v>
      </c>
      <c r="Q173" s="1">
        <v>4</v>
      </c>
      <c r="R173" s="1">
        <v>5</v>
      </c>
      <c r="S173" s="1">
        <v>4</v>
      </c>
      <c r="T173" s="1">
        <v>4</v>
      </c>
      <c r="U173" s="1">
        <v>4</v>
      </c>
      <c r="V173" s="1">
        <v>8</v>
      </c>
      <c r="W173" s="1">
        <v>2</v>
      </c>
      <c r="X173" s="1">
        <v>1</v>
      </c>
      <c r="Y173" s="1" t="s">
        <v>2027</v>
      </c>
      <c r="Z173" s="1">
        <v>5</v>
      </c>
      <c r="AA173" s="1" t="s">
        <v>2027</v>
      </c>
      <c r="AB173" s="1">
        <v>7</v>
      </c>
      <c r="AC173" s="1" t="s">
        <v>2027</v>
      </c>
      <c r="AD173" s="1" t="s">
        <v>2027</v>
      </c>
      <c r="AE173" s="1" t="s">
        <v>2027</v>
      </c>
      <c r="AF173" s="1" t="s">
        <v>2027</v>
      </c>
      <c r="AG173" s="1">
        <v>8</v>
      </c>
      <c r="AH173" s="1">
        <v>9</v>
      </c>
      <c r="AI173" s="1">
        <v>9</v>
      </c>
      <c r="AJ173" s="52" t="s">
        <v>2029</v>
      </c>
      <c r="AK173" s="9">
        <f>($L$3*(L173-$Q$1)/$Q$2+$M$3*(M173-$R$1)/$R$2+$N$3*(N173-$S$1)/$S$2+$O$3*(O173-$T$1)/$T$2+$P$3*(P173-$U$1)/$U$2)/(SUM($L$3:$P$3))</f>
        <v>-0.90049361068206368</v>
      </c>
      <c r="AL173" s="9">
        <f>($L$3*(Q173-$Q$1)/$Q$2+$M$3*(R173-$R$1)/$R$2+$N$3*(S173-$S$1)/$S$2+$O$3*(T173-$T$1)/$T$2+$P$3*(U173-$U$1)/$U$2)/(SUM($L$3:$P$3))</f>
        <v>-0.2740741711930359</v>
      </c>
      <c r="AM173">
        <f>IF(AVERAGE(AG173:AH173)&gt;9,1,0)+IF(AVERAGE(AG173:AH173)&gt;7,1,0)+IF(AG173&gt;7,1,0)+IF(AH173&gt;7,1,0)+IF(AI173&gt;8,1,0)+IF(AI173&gt;6,1,0)</f>
        <v>5</v>
      </c>
      <c r="AN173" s="6">
        <f>MIN(2,IF(OR(Y173="-",X173&lt;5),0,1+IF(Y173&gt;7,1+IF(X173&gt;7,0.25,0),IF(Y173&gt;4,0.5+IF(X173&gt;7,0.25,0),0+IF(X173&gt;7,0.25))))+IF(Z173="-",0,IF(Z173&gt;9,0.5,IF(Z173&gt;7,0.25,0)))+IF(AA173="-",0,IF(AA173&gt;7,1.1,IF(AA173&gt;4,0.6,0)))+IF(OR(AB173="-",V173&lt;5),0,IF(AB173&gt;7,1+IF(V173&gt;7,0.25,0),IF(AB173&gt;4,0.5+IF(V173&gt;7,0.25,0),0)))+IF(AC173="-",0,IF(AC173&gt;7,1.5,IF(AC173&gt;4,1,0)))+IF(AD173="-",0,IF(AD173&gt;9,0.5,IF(AD173&gt;7,0.25,0)))+IF(AE173="-",0,IF(AE173&gt;7,1.25,IF(AE173&gt;4,0.75,0)))+IF(OR(AF173="-",W173&lt;4),0,IF(AF173&gt;7,1+IF(W173&gt;7,0.15,0),IF(AF173&gt;4,0.5+IF(W173&gt;7,0.15,0),0))))</f>
        <v>0.75</v>
      </c>
      <c r="AO173" s="9">
        <f>($AK$3*AK173+$AL$3*AL173+$AM$3*AM173+$AN$3*AN173)+$J$3*VLOOKUP(J173,COND!$A$2:$C$7,2,FALSE)+$K$3*VLOOKUP(K173,COND!$A$2:$C$7,3,FALSE)</f>
        <v>8.2043939179486962</v>
      </c>
      <c r="AP173" s="37">
        <f>STANDARDIZE(AO173,AVERAGE($AO$5:$AO$1295),STDEVP($AO$5:$AO$1295))</f>
        <v>-0.34204606934514603</v>
      </c>
      <c r="AQ173" t="str">
        <f>IF(AND(Y173&lt;&gt;"-",X173&gt;1),"C",IF(AA173=MAX(AA173:AC173),"2B",IF(AC173=MAX(AA173:AC173),"SS",IF(OR(AB173=MAX(Z173:AC173),AND(AB173&lt;&gt;"-",AB173&gt;4,V173&gt;5)),"3B",IF(AE173=MAX(AD173:AF173),"CF",IF(AND(AF173=MAX(AD173,AF173),AND(W173&gt;5,AD173&lt;&gt;"-")),"RF",IF(AD173&lt;&gt;"-","LF",IF(Z173&lt;&gt;"-","1B","DH"))))))))</f>
        <v>3B</v>
      </c>
      <c r="AR173" t="s">
        <v>35</v>
      </c>
      <c r="AU173" t="str">
        <f>IF(AND($Q173&gt;=6,AVERAGE($S173:$T173)&gt;=6),"Likely",IF(OR($Q173&gt;6,AND($Q173=6,AVERAGE($S173:$T173)&gt;=3),AND($Q173&gt;=5,AVERAGE($S173:$T173)&gt;=5),AVERAGE($Q173,$S173:$T173)&gt;5),"Possible","Unlikely"))</f>
        <v>Unlikely</v>
      </c>
      <c r="AW173" t="str">
        <f>IF(VLOOKUP($B173,'Draft List'!$D$4:$AB$2598,AW$3,FALSE)&lt;&gt;0,VLOOKUP($B173,'Draft List'!$D$4:$AB$2598,AW$3,FALSE),"")</f>
        <v/>
      </c>
      <c r="AX173" t="str">
        <f>IF(VLOOKUP($B173,'Draft List'!$D$4:$AB$2598,AX$3,FALSE)&lt;&gt;0,VLOOKUP($B173,'Draft List'!$D$4:$AB$2598,AX$3,FALSE),"")</f>
        <v/>
      </c>
      <c r="AY173" t="str">
        <f>IF(VLOOKUP($B173,'Draft List'!$D$4:$AB$2598,AY$3,FALSE)&lt;&gt;0,VLOOKUP($B173,'Draft List'!$D$4:$AB$2598,AY$3,FALSE),"")</f>
        <v/>
      </c>
    </row>
    <row r="174" spans="1:51">
      <c r="A174" t="str">
        <f>IF(C174="C","C-",C174)&amp;D174&amp;E174</f>
        <v>LFRoland Smith18</v>
      </c>
      <c r="B174">
        <f>VLOOKUP($A174,draft_listing_batters_stats!$A$1:$B$1324,2,FALSE)</f>
        <v>1389</v>
      </c>
      <c r="C174" s="1" t="s">
        <v>2035</v>
      </c>
      <c r="D174" s="1" t="s">
        <v>1216</v>
      </c>
      <c r="E174" s="1">
        <v>18</v>
      </c>
      <c r="F174" s="1" t="s">
        <v>2022</v>
      </c>
      <c r="G174" s="1" t="s">
        <v>2022</v>
      </c>
      <c r="H174" s="1" t="s">
        <v>2033</v>
      </c>
      <c r="I174" s="1" t="s">
        <v>2033</v>
      </c>
      <c r="J174" s="1" t="s">
        <v>2030</v>
      </c>
      <c r="K174" s="1" t="s">
        <v>2025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v>5</v>
      </c>
      <c r="R174" s="1">
        <v>3</v>
      </c>
      <c r="S174" s="1">
        <v>4</v>
      </c>
      <c r="T174" s="1">
        <v>3</v>
      </c>
      <c r="U174" s="1">
        <v>4</v>
      </c>
      <c r="V174" s="1">
        <v>6</v>
      </c>
      <c r="W174" s="1">
        <v>7</v>
      </c>
      <c r="X174" s="1">
        <v>1</v>
      </c>
      <c r="Y174" s="1" t="s">
        <v>2027</v>
      </c>
      <c r="Z174" s="1" t="s">
        <v>2027</v>
      </c>
      <c r="AA174" s="1" t="s">
        <v>2027</v>
      </c>
      <c r="AB174" s="1" t="s">
        <v>2027</v>
      </c>
      <c r="AC174" s="1" t="s">
        <v>2027</v>
      </c>
      <c r="AD174" s="1">
        <v>1</v>
      </c>
      <c r="AE174" s="1">
        <v>1</v>
      </c>
      <c r="AF174" s="1">
        <v>1</v>
      </c>
      <c r="AG174" s="1">
        <v>6</v>
      </c>
      <c r="AH174" s="1">
        <v>5</v>
      </c>
      <c r="AI174" s="1">
        <v>3</v>
      </c>
      <c r="AJ174" s="52" t="s">
        <v>2029</v>
      </c>
      <c r="AK174" s="9">
        <f>($L$3*(L174-$Q$1)/$Q$2+$M$3*(M174-$R$1)/$R$2+$N$3*(N174-$S$1)/$S$2+$O$3*(O174-$T$1)/$T$2+$P$3*(P174-$U$1)/$U$2)/(SUM($L$3:$P$3))</f>
        <v>-2.0843433498275723</v>
      </c>
      <c r="AL174" s="9">
        <f>($L$3*(Q174-$Q$1)/$Q$2+$M$3*(R174-$R$1)/$R$2+$N$3*(S174-$S$1)/$S$2+$O$3*(T174-$T$1)/$T$2+$P$3*(U174-$U$1)/$U$2)/(SUM($L$3:$P$3))</f>
        <v>-0.14334764423734922</v>
      </c>
      <c r="AM174">
        <f>IF(AVERAGE(AG174:AH174)&gt;9,1,0)+IF(AVERAGE(AG174:AH174)&gt;7,1,0)+IF(AG174&gt;7,1,0)+IF(AH174&gt;7,1,0)+IF(AI174&gt;8,1,0)+IF(AI174&gt;6,1,0)</f>
        <v>0</v>
      </c>
      <c r="AN174" s="6">
        <f>MIN(2,IF(OR(Y174="-",X174&lt;5),0,1+IF(Y174&gt;7,1+IF(X174&gt;7,0.25,0),IF(Y174&gt;4,0.5+IF(X174&gt;7,0.25,0),0+IF(X174&gt;7,0.25))))+IF(Z174="-",0,IF(Z174&gt;9,0.5,IF(Z174&gt;7,0.25,0)))+IF(AA174="-",0,IF(AA174&gt;7,1.1,IF(AA174&gt;4,0.6,0)))+IF(OR(AB174="-",V174&lt;5),0,IF(AB174&gt;7,1+IF(V174&gt;7,0.25,0),IF(AB174&gt;4,0.5+IF(V174&gt;7,0.25,0),0)))+IF(AC174="-",0,IF(AC174&gt;7,1.5,IF(AC174&gt;4,1,0)))+IF(AD174="-",0,IF(AD174&gt;9,0.5,IF(AD174&gt;7,0.25,0)))+IF(AE174="-",0,IF(AE174&gt;7,1.25,IF(AE174&gt;4,0.75,0)))+IF(OR(AF174="-",W174&lt;4),0,IF(AF174&gt;7,1+IF(W174&gt;7,0.15,0),IF(AF174&gt;4,0.5+IF(W174&gt;7,0.15,0),0))))</f>
        <v>0</v>
      </c>
      <c r="AO174" s="9">
        <f>($AK$3*AK174+$AL$3*AL174+$AM$3*AM174+$AN$3*AN174)+$J$3*VLOOKUP(J174,COND!$A$2:$C$7,2,FALSE)+$K$3*VLOOKUP(K174,COND!$A$2:$C$7,3,FALSE)</f>
        <v>8.1713939341690516</v>
      </c>
      <c r="AP174" s="37">
        <f>STANDARDIZE(AO174,AVERAGE($AO$5:$AO$1295),STDEVP($AO$5:$AO$1295))</f>
        <v>-0.3466305476370658</v>
      </c>
      <c r="AQ174" t="str">
        <f>IF(AND(Y174&lt;&gt;"-",X174&gt;1),"C",IF(AA174=MAX(AA174:AC174),"2B",IF(AC174=MAX(AA174:AC174),"SS",IF(OR(AB174=MAX(Z174:AC174),AND(AB174&lt;&gt;"-",AB174&gt;4,V174&gt;5)),"3B",IF(AE174=MAX(AD174:AF174),"CF",IF(AND(AF174=MAX(AD174,AF174),AND(W174&gt;5,AD174&lt;&gt;"-")),"RF",IF(AD174&lt;&gt;"-","LF",IF(Z174&lt;&gt;"-","1B","DH"))))))))</f>
        <v>CF</v>
      </c>
      <c r="AR174" t="s">
        <v>35</v>
      </c>
      <c r="AU174" t="str">
        <f>IF(AND($Q174&gt;=6,AVERAGE($S174:$T174)&gt;=6),"Likely",IF(OR($Q174&gt;6,AND($Q174=6,AVERAGE($S174:$T174)&gt;=3),AND($Q174&gt;=5,AVERAGE($S174:$T174)&gt;=5),AVERAGE($Q174,$S174:$T174)&gt;5),"Possible","Unlikely"))</f>
        <v>Unlikely</v>
      </c>
      <c r="AW174" t="str">
        <f>IF(VLOOKUP($B174,'Draft List'!$D$4:$AB$2598,AW$3,FALSE)&lt;&gt;0,VLOOKUP($B174,'Draft List'!$D$4:$AB$2598,AW$3,FALSE),"")</f>
        <v/>
      </c>
      <c r="AX174" t="str">
        <f>IF(VLOOKUP($B174,'Draft List'!$D$4:$AB$2598,AX$3,FALSE)&lt;&gt;0,VLOOKUP($B174,'Draft List'!$D$4:$AB$2598,AX$3,FALSE),"")</f>
        <v/>
      </c>
      <c r="AY174" t="str">
        <f>IF(VLOOKUP($B174,'Draft List'!$D$4:$AB$2598,AY$3,FALSE)&lt;&gt;0,VLOOKUP($B174,'Draft List'!$D$4:$AB$2598,AY$3,FALSE),"")</f>
        <v/>
      </c>
    </row>
    <row r="175" spans="1:51">
      <c r="A175" t="str">
        <f>IF(C175="C","C-",C175)&amp;D175&amp;E175</f>
        <v>C-Adam Hutchinson21</v>
      </c>
      <c r="B175">
        <f>VLOOKUP($A175,draft_listing_batters_stats!$A$1:$B$1324,2,FALSE)</f>
        <v>5871</v>
      </c>
      <c r="C175" s="1" t="s">
        <v>2091</v>
      </c>
      <c r="D175" s="1" t="s">
        <v>1318</v>
      </c>
      <c r="E175" s="1">
        <v>21</v>
      </c>
      <c r="F175" s="1" t="s">
        <v>2022</v>
      </c>
      <c r="G175" s="1" t="s">
        <v>2022</v>
      </c>
      <c r="H175" s="1" t="s">
        <v>2033</v>
      </c>
      <c r="I175" s="1" t="s">
        <v>2033</v>
      </c>
      <c r="J175" s="1" t="s">
        <v>2040</v>
      </c>
      <c r="K175" s="1" t="s">
        <v>2026</v>
      </c>
      <c r="L175" s="1">
        <v>3</v>
      </c>
      <c r="M175" s="1">
        <v>2</v>
      </c>
      <c r="N175" s="1">
        <v>1</v>
      </c>
      <c r="O175" s="1">
        <v>3</v>
      </c>
      <c r="P175" s="1">
        <v>2</v>
      </c>
      <c r="Q175" s="1">
        <v>5</v>
      </c>
      <c r="R175" s="1">
        <v>3</v>
      </c>
      <c r="S175" s="1">
        <v>2</v>
      </c>
      <c r="T175" s="1">
        <v>4</v>
      </c>
      <c r="U175" s="1">
        <v>4</v>
      </c>
      <c r="V175" s="1">
        <v>5</v>
      </c>
      <c r="W175" s="1">
        <v>5</v>
      </c>
      <c r="X175" s="1">
        <v>7</v>
      </c>
      <c r="Y175" s="1">
        <v>5</v>
      </c>
      <c r="Z175" s="1" t="s">
        <v>2027</v>
      </c>
      <c r="AA175" s="1" t="s">
        <v>2027</v>
      </c>
      <c r="AB175" s="1" t="s">
        <v>2027</v>
      </c>
      <c r="AC175" s="1" t="s">
        <v>2027</v>
      </c>
      <c r="AD175" s="1" t="s">
        <v>2027</v>
      </c>
      <c r="AE175" s="1" t="s">
        <v>2027</v>
      </c>
      <c r="AF175" s="1" t="s">
        <v>2027</v>
      </c>
      <c r="AG175" s="1">
        <v>1</v>
      </c>
      <c r="AH175" s="1">
        <v>2</v>
      </c>
      <c r="AI175" s="1">
        <v>1</v>
      </c>
      <c r="AJ175" s="52" t="s">
        <v>2029</v>
      </c>
      <c r="AK175" s="9">
        <f>($L$3*(L175-$Q$1)/$Q$2+$M$3*(M175-$R$1)/$R$2+$N$3*(N175-$S$1)/$S$2+$O$3*(O175-$T$1)/$T$2+$P$3*(P175-$U$1)/$U$2)/(SUM($L$3:$P$3))</f>
        <v>-1.1687363579672738</v>
      </c>
      <c r="AL175" s="9">
        <f>($L$3*(Q175-$Q$1)/$Q$2+$M$3*(R175-$R$1)/$R$2+$N$3*(S175-$S$1)/$S$2+$O$3*(T175-$T$1)/$T$2+$P$3*(U175-$U$1)/$U$2)/(SUM($L$3:$P$3))</f>
        <v>-0.2197610822755712</v>
      </c>
      <c r="AM175">
        <f>IF(AVERAGE(AG175:AH175)&gt;9,1,0)+IF(AVERAGE(AG175:AH175)&gt;7,1,0)+IF(AG175&gt;7,1,0)+IF(AH175&gt;7,1,0)+IF(AI175&gt;8,1,0)+IF(AI175&gt;6,1,0)</f>
        <v>0</v>
      </c>
      <c r="AN175" s="6">
        <f>MIN(2,IF(OR(Y175="-",X175&lt;5),0,1+IF(Y175&gt;7,1+IF(X175&gt;7,0.25,0),IF(Y175&gt;4,0.5+IF(X175&gt;7,0.25,0),0+IF(X175&gt;7,0.25))))+IF(Z175="-",0,IF(Z175&gt;9,0.5,IF(Z175&gt;7,0.25,0)))+IF(AA175="-",0,IF(AA175&gt;7,1.1,IF(AA175&gt;4,0.6,0)))+IF(OR(AB175="-",V175&lt;5),0,IF(AB175&gt;7,1+IF(V175&gt;7,0.25,0),IF(AB175&gt;4,0.5+IF(V175&gt;7,0.25,0),0)))+IF(AC175="-",0,IF(AC175&gt;7,1.5,IF(AC175&gt;4,1,0)))+IF(AD175="-",0,IF(AD175&gt;9,0.5,IF(AD175&gt;7,0.25,0)))+IF(AE175="-",0,IF(AE175&gt;7,1.25,IF(AE175&gt;4,0.75,0)))+IF(OR(AF175="-",W175&lt;4),0,IF(AF175&gt;7,1+IF(W175&gt;7,0.15,0),IF(AF175&gt;4,0.5+IF(W175&gt;7,0.15,0),0))))</f>
        <v>1.5</v>
      </c>
      <c r="AO175" s="9">
        <f>($AK$3*AK175+$AL$3*AL175+$AM$3*AM175+$AN$3*AN175)+$J$3*VLOOKUP(J175,COND!$A$2:$C$7,2,FALSE)+$K$3*VLOOKUP(K175,COND!$A$2:$C$7,3,FALSE)</f>
        <v>8.1459933768964188</v>
      </c>
      <c r="AP175" s="37">
        <f>STANDARDIZE(AO175,AVERAGE($AO$5:$AO$1295),STDEVP($AO$5:$AO$1295))</f>
        <v>-0.35015928583877604</v>
      </c>
      <c r="AQ175" t="str">
        <f>IF(AND(Y175&lt;&gt;"-",X175&gt;1),"C",IF(AA175=MAX(AA175:AC175),"2B",IF(AC175=MAX(AA175:AC175),"SS",IF(OR(AB175=MAX(Z175:AC175),AND(AB175&lt;&gt;"-",AB175&gt;4,V175&gt;5)),"3B",IF(AE175=MAX(AD175:AF175),"CF",IF(AND(AF175=MAX(AD175,AF175),AND(W175&gt;5,AD175&lt;&gt;"-")),"RF",IF(AD175&lt;&gt;"-","LF",IF(Z175&lt;&gt;"-","1B","DH"))))))))</f>
        <v>C</v>
      </c>
      <c r="AR175" t="s">
        <v>35</v>
      </c>
      <c r="AU175" t="str">
        <f>IF(AND($Q175&gt;=6,AVERAGE($S175:$T175)&gt;=6),"Likely",IF(OR($Q175&gt;6,AND($Q175=6,AVERAGE($S175:$T175)&gt;=3),AND($Q175&gt;=5,AVERAGE($S175:$T175)&gt;=5),AVERAGE($Q175,$S175:$T175)&gt;5),"Possible","Unlikely"))</f>
        <v>Unlikely</v>
      </c>
      <c r="AW175" t="str">
        <f>IF(VLOOKUP($B175,'Draft List'!$D$4:$AB$2598,AW$3,FALSE)&lt;&gt;0,VLOOKUP($B175,'Draft List'!$D$4:$AB$2598,AW$3,FALSE),"")</f>
        <v/>
      </c>
      <c r="AX175" t="str">
        <f>IF(VLOOKUP($B175,'Draft List'!$D$4:$AB$2598,AX$3,FALSE)&lt;&gt;0,VLOOKUP($B175,'Draft List'!$D$4:$AB$2598,AX$3,FALSE),"")</f>
        <v/>
      </c>
      <c r="AY175" t="str">
        <f>IF(VLOOKUP($B175,'Draft List'!$D$4:$AB$2598,AY$3,FALSE)&lt;&gt;0,VLOOKUP($B175,'Draft List'!$D$4:$AB$2598,AY$3,FALSE),"")</f>
        <v/>
      </c>
    </row>
    <row r="176" spans="1:51">
      <c r="A176" t="str">
        <f>IF(C176="C","C-",C176)&amp;D176&amp;E176</f>
        <v>RFGeorge Hicks18</v>
      </c>
      <c r="B176">
        <f>VLOOKUP($A176,draft_listing_batters_stats!$A$1:$B$1324,2,FALSE)</f>
        <v>13780</v>
      </c>
      <c r="C176" s="1" t="s">
        <v>2057</v>
      </c>
      <c r="D176" s="1" t="s">
        <v>1313</v>
      </c>
      <c r="E176" s="1">
        <v>18</v>
      </c>
      <c r="F176" s="1" t="s">
        <v>2022</v>
      </c>
      <c r="G176" s="1" t="s">
        <v>2022</v>
      </c>
      <c r="H176" s="1" t="s">
        <v>2033</v>
      </c>
      <c r="I176" s="1" t="s">
        <v>2033</v>
      </c>
      <c r="J176" s="1" t="s">
        <v>2026</v>
      </c>
      <c r="K176" s="1" t="s">
        <v>2025</v>
      </c>
      <c r="L176" s="1">
        <v>1</v>
      </c>
      <c r="M176" s="1">
        <v>2</v>
      </c>
      <c r="N176" s="1">
        <v>1</v>
      </c>
      <c r="O176" s="1">
        <v>1</v>
      </c>
      <c r="P176" s="1">
        <v>1</v>
      </c>
      <c r="Q176" s="1">
        <v>5</v>
      </c>
      <c r="R176" s="1">
        <v>5</v>
      </c>
      <c r="S176" s="1">
        <v>3</v>
      </c>
      <c r="T176" s="1">
        <v>2</v>
      </c>
      <c r="U176" s="1">
        <v>4</v>
      </c>
      <c r="V176" s="1">
        <v>1</v>
      </c>
      <c r="W176" s="1">
        <v>5</v>
      </c>
      <c r="X176" s="1">
        <v>1</v>
      </c>
      <c r="Y176" s="1" t="s">
        <v>2027</v>
      </c>
      <c r="Z176" s="1" t="s">
        <v>2027</v>
      </c>
      <c r="AA176" s="1" t="s">
        <v>2027</v>
      </c>
      <c r="AB176" s="1" t="s">
        <v>2027</v>
      </c>
      <c r="AC176" s="1" t="s">
        <v>2027</v>
      </c>
      <c r="AD176" s="1">
        <v>2</v>
      </c>
      <c r="AE176" s="1">
        <v>1</v>
      </c>
      <c r="AF176" s="1">
        <v>5</v>
      </c>
      <c r="AG176" s="1">
        <v>7</v>
      </c>
      <c r="AH176" s="1">
        <v>8</v>
      </c>
      <c r="AI176" s="1">
        <v>8</v>
      </c>
      <c r="AJ176" s="52">
        <v>2800000</v>
      </c>
      <c r="AK176" s="9">
        <f>($L$3*(L176-$Q$1)/$Q$2+$M$3*(M176-$R$1)/$R$2+$N$3*(N176-$S$1)/$S$2+$O$3*(O176-$T$1)/$T$2+$P$3*(P176-$U$1)/$U$2)/(SUM($L$3:$P$3))</f>
        <v>-2.0332834702088682</v>
      </c>
      <c r="AL176" s="9">
        <f>($L$3*(Q176-$Q$1)/$Q$2+$M$3*(R176-$R$1)/$R$2+$N$3*(S176-$S$1)/$S$2+$O$3*(T176-$T$1)/$T$2+$P$3*(U176-$U$1)/$U$2)/(SUM($L$3:$P$3))</f>
        <v>-0.21399892903342477</v>
      </c>
      <c r="AM176">
        <f>IF(AVERAGE(AG176:AH176)&gt;9,1,0)+IF(AVERAGE(AG176:AH176)&gt;7,1,0)+IF(AG176&gt;7,1,0)+IF(AH176&gt;7,1,0)+IF(AI176&gt;8,1,0)+IF(AI176&gt;6,1,0)</f>
        <v>3</v>
      </c>
      <c r="AN176" s="6">
        <f>MIN(2,IF(OR(Y176="-",X176&lt;5),0,1+IF(Y176&gt;7,1+IF(X176&gt;7,0.25,0),IF(Y176&gt;4,0.5+IF(X176&gt;7,0.25,0),0+IF(X176&gt;7,0.25))))+IF(Z176="-",0,IF(Z176&gt;9,0.5,IF(Z176&gt;7,0.25,0)))+IF(AA176="-",0,IF(AA176&gt;7,1.1,IF(AA176&gt;4,0.6,0)))+IF(OR(AB176="-",V176&lt;5),0,IF(AB176&gt;7,1+IF(V176&gt;7,0.25,0),IF(AB176&gt;4,0.5+IF(V176&gt;7,0.25,0),0)))+IF(AC176="-",0,IF(AC176&gt;7,1.5,IF(AC176&gt;4,1,0)))+IF(AD176="-",0,IF(AD176&gt;9,0.5,IF(AD176&gt;7,0.25,0)))+IF(AE176="-",0,IF(AE176&gt;7,1.25,IF(AE176&gt;4,0.75,0)))+IF(OR(AF176="-",W176&lt;4),0,IF(AF176&gt;7,1+IF(W176&gt;7,0.15,0),IF(AF176&gt;4,0.5+IF(W176&gt;7,0.15,0),0))))</f>
        <v>0.5</v>
      </c>
      <c r="AO176" s="9">
        <f>($AK$3*AK176+$AL$3*AL176+$AM$3*AM176+$AN$3*AN176)+$J$3*VLOOKUP(J176,COND!$A$2:$C$7,2,FALSE)+$K$3*VLOOKUP(K176,COND!$A$2:$C$7,3,FALSE)</f>
        <v>8.1286845045780165</v>
      </c>
      <c r="AP176" s="37">
        <f>STANDARDIZE(AO176,AVERAGE($AO$5:$AO$1295),STDEVP($AO$5:$AO$1295))</f>
        <v>-0.35256389760862406</v>
      </c>
      <c r="AQ176" t="str">
        <f>IF(AND(Y176&lt;&gt;"-",X176&gt;1),"C",IF(AA176=MAX(AA176:AC176),"2B",IF(AC176=MAX(AA176:AC176),"SS",IF(OR(AB176=MAX(Z176:AC176),AND(AB176&lt;&gt;"-",AB176&gt;4,V176&gt;5)),"3B",IF(AE176=MAX(AD176:AF176),"CF",IF(AND(AF176=MAX(AD176,AF176),AND(W176&gt;5,AD176&lt;&gt;"-")),"RF",IF(AD176&lt;&gt;"-","LF",IF(Z176&lt;&gt;"-","1B","DH"))))))))</f>
        <v>LF</v>
      </c>
      <c r="AR176" t="s">
        <v>35</v>
      </c>
      <c r="AT176" t="s">
        <v>155</v>
      </c>
      <c r="AU176" t="str">
        <f>IF(AND($Q176&gt;=6,AVERAGE($S176:$T176)&gt;=6),"Likely",IF(OR($Q176&gt;6,AND($Q176=6,AVERAGE($S176:$T176)&gt;=3),AND($Q176&gt;=5,AVERAGE($S176:$T176)&gt;=5),AVERAGE($Q176,$S176:$T176)&gt;5),"Possible","Unlikely"))</f>
        <v>Unlikely</v>
      </c>
      <c r="AW176" t="str">
        <f>IF(VLOOKUP($B176,'Draft List'!$D$4:$AB$2598,AW$3,FALSE)&lt;&gt;0,VLOOKUP($B176,'Draft List'!$D$4:$AB$2598,AW$3,FALSE),"")</f>
        <v/>
      </c>
      <c r="AX176" t="str">
        <f>IF(VLOOKUP($B176,'Draft List'!$D$4:$AB$2598,AX$3,FALSE)&lt;&gt;0,VLOOKUP($B176,'Draft List'!$D$4:$AB$2598,AX$3,FALSE),"")</f>
        <v/>
      </c>
      <c r="AY176" t="str">
        <f>IF(VLOOKUP($B176,'Draft List'!$D$4:$AB$2598,AY$3,FALSE)&lt;&gt;0,VLOOKUP($B176,'Draft List'!$D$4:$AB$2598,AY$3,FALSE),"")</f>
        <v/>
      </c>
    </row>
    <row r="177" spans="1:51">
      <c r="A177" t="str">
        <f>IF(C177="C","C-",C177)&amp;D177&amp;E177</f>
        <v>CFJacob Gaines18</v>
      </c>
      <c r="B177">
        <f>VLOOKUP($A177,draft_listing_batters_stats!$A$1:$B$1324,2,FALSE)</f>
        <v>1070</v>
      </c>
      <c r="C177" s="1" t="s">
        <v>2079</v>
      </c>
      <c r="D177" s="1" t="s">
        <v>1499</v>
      </c>
      <c r="E177" s="1">
        <v>18</v>
      </c>
      <c r="F177" s="1" t="s">
        <v>2022</v>
      </c>
      <c r="G177" s="1" t="s">
        <v>2022</v>
      </c>
      <c r="H177" s="1" t="s">
        <v>2033</v>
      </c>
      <c r="I177" s="1" t="s">
        <v>2033</v>
      </c>
      <c r="J177" s="1" t="s">
        <v>2026</v>
      </c>
      <c r="K177" s="1" t="s">
        <v>2036</v>
      </c>
      <c r="L177" s="1">
        <v>1</v>
      </c>
      <c r="M177" s="1">
        <v>1</v>
      </c>
      <c r="N177" s="1">
        <v>1</v>
      </c>
      <c r="O177" s="1">
        <v>1</v>
      </c>
      <c r="P177" s="1">
        <v>1</v>
      </c>
      <c r="Q177" s="1">
        <v>5</v>
      </c>
      <c r="R177" s="1">
        <v>6</v>
      </c>
      <c r="S177" s="1">
        <v>1</v>
      </c>
      <c r="T177" s="1">
        <v>2</v>
      </c>
      <c r="U177" s="1">
        <v>6</v>
      </c>
      <c r="V177" s="1">
        <v>1</v>
      </c>
      <c r="W177" s="1">
        <v>7</v>
      </c>
      <c r="X177" s="1">
        <v>1</v>
      </c>
      <c r="Y177" s="1" t="s">
        <v>2027</v>
      </c>
      <c r="Z177" s="1" t="s">
        <v>2027</v>
      </c>
      <c r="AA177" s="1" t="s">
        <v>2027</v>
      </c>
      <c r="AB177" s="1" t="s">
        <v>2027</v>
      </c>
      <c r="AC177" s="1" t="s">
        <v>2027</v>
      </c>
      <c r="AD177" s="1">
        <v>2</v>
      </c>
      <c r="AE177" s="1">
        <v>3</v>
      </c>
      <c r="AF177" s="1">
        <v>2</v>
      </c>
      <c r="AG177" s="1">
        <v>10</v>
      </c>
      <c r="AH177" s="1">
        <v>10</v>
      </c>
      <c r="AI177" s="1">
        <v>9</v>
      </c>
      <c r="AJ177" s="52" t="s">
        <v>2029</v>
      </c>
      <c r="AK177" s="9">
        <f>($L$3*(L177-$Q$1)/$Q$2+$M$3*(M177-$R$1)/$R$2+$N$3*(N177-$S$1)/$S$2+$O$3*(O177-$T$1)/$T$2+$P$3*(P177-$U$1)/$U$2)/(SUM($L$3:$P$3))</f>
        <v>-2.0843433498275723</v>
      </c>
      <c r="AL177" s="9">
        <f>($L$3*(Q177-$Q$1)/$Q$2+$M$3*(R177-$R$1)/$R$2+$N$3*(S177-$S$1)/$S$2+$O$3*(T177-$T$1)/$T$2+$P$3*(U177-$U$1)/$U$2)/(SUM($L$3:$P$3))</f>
        <v>-0.24902935782835742</v>
      </c>
      <c r="AM177">
        <f>IF(AVERAGE(AG177:AH177)&gt;9,1,0)+IF(AVERAGE(AG177:AH177)&gt;7,1,0)+IF(AG177&gt;7,1,0)+IF(AH177&gt;7,1,0)+IF(AI177&gt;8,1,0)+IF(AI177&gt;6,1,0)</f>
        <v>6</v>
      </c>
      <c r="AN177" s="6">
        <f>MIN(2,IF(OR(Y177="-",X177&lt;5),0,1+IF(Y177&gt;7,1+IF(X177&gt;7,0.25,0),IF(Y177&gt;4,0.5+IF(X177&gt;7,0.25,0),0+IF(X177&gt;7,0.25))))+IF(Z177="-",0,IF(Z177&gt;9,0.5,IF(Z177&gt;7,0.25,0)))+IF(AA177="-",0,IF(AA177&gt;7,1.1,IF(AA177&gt;4,0.6,0)))+IF(OR(AB177="-",V177&lt;5),0,IF(AB177&gt;7,1+IF(V177&gt;7,0.25,0),IF(AB177&gt;4,0.5+IF(V177&gt;7,0.25,0),0)))+IF(AC177="-",0,IF(AC177&gt;7,1.5,IF(AC177&gt;4,1,0)))+IF(AD177="-",0,IF(AD177&gt;9,0.5,IF(AD177&gt;7,0.25,0)))+IF(AE177="-",0,IF(AE177&gt;7,1.25,IF(AE177&gt;4,0.75,0)))+IF(OR(AF177="-",W177&lt;4),0,IF(AF177&gt;7,1+IF(W177&gt;7,0.15,0),IF(AF177&gt;4,0.5+IF(W177&gt;7,0.15,0),0))))</f>
        <v>0</v>
      </c>
      <c r="AO177" s="9">
        <f>($AK$3*AK177+$AL$3*AL177+$AM$3*AM177+$AN$3*AN177)+$J$3*VLOOKUP(J177,COND!$A$2:$C$7,2,FALSE)+$K$3*VLOOKUP(K177,COND!$A$2:$C$7,3,FALSE)</f>
        <v>7.9532133710769539</v>
      </c>
      <c r="AP177" s="37">
        <f>STANDARDIZE(AO177,AVERAGE($AO$5:$AO$1295),STDEVP($AO$5:$AO$1295))</f>
        <v>-0.3769409884510258</v>
      </c>
      <c r="AQ177" t="str">
        <f>IF(AND(Y177&lt;&gt;"-",X177&gt;1),"C",IF(AA177=MAX(AA177:AC177),"2B",IF(AC177=MAX(AA177:AC177),"SS",IF(OR(AB177=MAX(Z177:AC177),AND(AB177&lt;&gt;"-",AB177&gt;4,V177&gt;5)),"3B",IF(AE177=MAX(AD177:AF177),"CF",IF(AND(AF177=MAX(AD177,AF177),AND(W177&gt;5,AD177&lt;&gt;"-")),"RF",IF(AD177&lt;&gt;"-","LF",IF(Z177&lt;&gt;"-","1B","DH"))))))))</f>
        <v>CF</v>
      </c>
      <c r="AR177" t="s">
        <v>35</v>
      </c>
      <c r="AU177" t="str">
        <f>IF(AND($Q177&gt;=6,AVERAGE($S177:$T177)&gt;=6),"Likely",IF(OR($Q177&gt;6,AND($Q177=6,AVERAGE($S177:$T177)&gt;=3),AND($Q177&gt;=5,AVERAGE($S177:$T177)&gt;=5),AVERAGE($Q177,$S177:$T177)&gt;5),"Possible","Unlikely"))</f>
        <v>Unlikely</v>
      </c>
      <c r="AW177" t="str">
        <f>IF(VLOOKUP($B177,'Draft List'!$D$4:$AB$2598,AW$3,FALSE)&lt;&gt;0,VLOOKUP($B177,'Draft List'!$D$4:$AB$2598,AW$3,FALSE),"")</f>
        <v/>
      </c>
      <c r="AX177" t="str">
        <f>IF(VLOOKUP($B177,'Draft List'!$D$4:$AB$2598,AX$3,FALSE)&lt;&gt;0,VLOOKUP($B177,'Draft List'!$D$4:$AB$2598,AX$3,FALSE),"")</f>
        <v/>
      </c>
      <c r="AY177" t="str">
        <f>IF(VLOOKUP($B177,'Draft List'!$D$4:$AB$2598,AY$3,FALSE)&lt;&gt;0,VLOOKUP($B177,'Draft List'!$D$4:$AB$2598,AY$3,FALSE),"")</f>
        <v/>
      </c>
    </row>
    <row r="178" spans="1:51">
      <c r="A178" t="str">
        <f>IF(C178="C","C-",C178)&amp;D178&amp;E178</f>
        <v>2BAlfredo Chávez18</v>
      </c>
      <c r="B178" t="e">
        <f>VLOOKUP($A178,draft_listing_batters_stats!$A$1:$B$1324,2,FALSE)</f>
        <v>#N/A</v>
      </c>
      <c r="C178" s="1" t="s">
        <v>2069</v>
      </c>
      <c r="D178" s="1" t="s">
        <v>1471</v>
      </c>
      <c r="E178" s="1">
        <v>18</v>
      </c>
      <c r="F178" s="1" t="s">
        <v>2022</v>
      </c>
      <c r="G178" s="1" t="s">
        <v>2022</v>
      </c>
      <c r="H178" s="1" t="s">
        <v>2033</v>
      </c>
      <c r="I178" s="1" t="s">
        <v>2033</v>
      </c>
      <c r="J178" s="1" t="s">
        <v>2040</v>
      </c>
      <c r="K178" s="1" t="s">
        <v>2026</v>
      </c>
      <c r="L178" s="1">
        <v>1</v>
      </c>
      <c r="M178" s="1">
        <v>1</v>
      </c>
      <c r="N178" s="1">
        <v>1</v>
      </c>
      <c r="O178" s="1">
        <v>1</v>
      </c>
      <c r="P178" s="1">
        <v>1</v>
      </c>
      <c r="Q178" s="1">
        <v>5</v>
      </c>
      <c r="R178" s="1">
        <v>6</v>
      </c>
      <c r="S178" s="1">
        <v>2</v>
      </c>
      <c r="T178" s="1">
        <v>3</v>
      </c>
      <c r="U178" s="1">
        <v>5</v>
      </c>
      <c r="V178" s="1">
        <v>8</v>
      </c>
      <c r="W178" s="1">
        <v>1</v>
      </c>
      <c r="X178" s="1">
        <v>2</v>
      </c>
      <c r="Y178" s="1" t="s">
        <v>2027</v>
      </c>
      <c r="Z178" s="1">
        <v>2</v>
      </c>
      <c r="AA178" s="1">
        <v>3</v>
      </c>
      <c r="AB178" s="1">
        <v>1</v>
      </c>
      <c r="AC178" s="1">
        <v>1</v>
      </c>
      <c r="AD178" s="1" t="s">
        <v>2027</v>
      </c>
      <c r="AE178" s="1" t="s">
        <v>2027</v>
      </c>
      <c r="AF178" s="1" t="s">
        <v>2027</v>
      </c>
      <c r="AG178" s="1">
        <v>4</v>
      </c>
      <c r="AH178" s="1">
        <v>5</v>
      </c>
      <c r="AI178" s="1">
        <v>4</v>
      </c>
      <c r="AJ178" s="52" t="s">
        <v>2029</v>
      </c>
      <c r="AK178" s="9">
        <f>($L$3*(L178-$Q$1)/$Q$2+$M$3*(M178-$R$1)/$R$2+$N$3*(N178-$S$1)/$S$2+$O$3*(O178-$T$1)/$T$2+$P$3*(P178-$U$1)/$U$2)/(SUM($L$3:$P$3))</f>
        <v>-2.0843433498275723</v>
      </c>
      <c r="AL178" s="9">
        <f>($L$3*(Q178-$Q$1)/$Q$2+$M$3*(R178-$R$1)/$R$2+$N$3*(S178-$S$1)/$S$2+$O$3*(T178-$T$1)/$T$2+$P$3*(U178-$U$1)/$U$2)/(SUM($L$3:$P$3))</f>
        <v>-0.1162746536119583</v>
      </c>
      <c r="AM178">
        <f>IF(AVERAGE(AG178:AH178)&gt;9,1,0)+IF(AVERAGE(AG178:AH178)&gt;7,1,0)+IF(AG178&gt;7,1,0)+IF(AH178&gt;7,1,0)+IF(AI178&gt;8,1,0)+IF(AI178&gt;6,1,0)</f>
        <v>0</v>
      </c>
      <c r="AN178" s="6">
        <f>MIN(2,IF(OR(Y178="-",X178&lt;5),0,1+IF(Y178&gt;7,1+IF(X178&gt;7,0.25,0),IF(Y178&gt;4,0.5+IF(X178&gt;7,0.25,0),0+IF(X178&gt;7,0.25))))+IF(Z178="-",0,IF(Z178&gt;9,0.5,IF(Z178&gt;7,0.25,0)))+IF(AA178="-",0,IF(AA178&gt;7,1.1,IF(AA178&gt;4,0.6,0)))+IF(OR(AB178="-",V178&lt;5),0,IF(AB178&gt;7,1+IF(V178&gt;7,0.25,0),IF(AB178&gt;4,0.5+IF(V178&gt;7,0.25,0),0)))+IF(AC178="-",0,IF(AC178&gt;7,1.5,IF(AC178&gt;4,1,0)))+IF(AD178="-",0,IF(AD178&gt;9,0.5,IF(AD178&gt;7,0.25,0)))+IF(AE178="-",0,IF(AE178&gt;7,1.25,IF(AE178&gt;4,0.75,0)))+IF(OR(AF178="-",W178&lt;4),0,IF(AF178&gt;7,1+IF(W178&gt;7,0.15,0),IF(AF178&gt;4,0.5+IF(W178&gt;7,0.15,0),0))))</f>
        <v>0</v>
      </c>
      <c r="AO178" s="9">
        <f>($AK$3*AK178+$AL$3*AL178+$AM$3*AM178+$AN$3*AN178)+$J$3*VLOOKUP(J178,COND!$A$2:$C$7,2,FALSE)+$K$3*VLOOKUP(K178,COND!$A$2:$C$7,3,FALSE)</f>
        <v>7.7962698216737438</v>
      </c>
      <c r="AP178" s="37">
        <f>STANDARDIZE(AO178,AVERAGE($AO$5:$AO$1295),STDEVP($AO$5:$AO$1295))</f>
        <v>-0.3987441596313604</v>
      </c>
      <c r="AQ178" t="str">
        <f>IF(AND(Y178&lt;&gt;"-",X178&gt;1),"C",IF(AA178=MAX(AA178:AC178),"2B",IF(AC178=MAX(AA178:AC178),"SS",IF(OR(AB178=MAX(Z178:AC178),AND(AB178&lt;&gt;"-",AB178&gt;4,V178&gt;5)),"3B",IF(AE178=MAX(AD178:AF178),"CF",IF(AND(AF178=MAX(AD178,AF178),AND(W178&gt;5,AD178&lt;&gt;"-")),"RF",IF(AD178&lt;&gt;"-","LF",IF(Z178&lt;&gt;"-","1B","DH"))))))))</f>
        <v>2B</v>
      </c>
      <c r="AR178" t="s">
        <v>35</v>
      </c>
      <c r="AU178" t="str">
        <f>IF(AND($Q178&gt;=6,AVERAGE($S178:$T178)&gt;=6),"Likely",IF(OR($Q178&gt;6,AND($Q178=6,AVERAGE($S178:$T178)&gt;=3),AND($Q178&gt;=5,AVERAGE($S178:$T178)&gt;=5),AVERAGE($Q178,$S178:$T178)&gt;5),"Possible","Unlikely"))</f>
        <v>Unlikely</v>
      </c>
      <c r="AW178" t="e">
        <f>IF(VLOOKUP($B178,'Draft List'!$D$4:$AB$2598,AW$3,FALSE)&lt;&gt;0,VLOOKUP($B178,'Draft List'!$D$4:$AB$2598,AW$3,FALSE),"")</f>
        <v>#N/A</v>
      </c>
      <c r="AX178" t="e">
        <f>IF(VLOOKUP($B178,'Draft List'!$D$4:$AB$2598,AX$3,FALSE)&lt;&gt;0,VLOOKUP($B178,'Draft List'!$D$4:$AB$2598,AX$3,FALSE),"")</f>
        <v>#N/A</v>
      </c>
      <c r="AY178" t="e">
        <f>IF(VLOOKUP($B178,'Draft List'!$D$4:$AB$2598,AY$3,FALSE)&lt;&gt;0,VLOOKUP($B178,'Draft List'!$D$4:$AB$2598,AY$3,FALSE),"")</f>
        <v>#N/A</v>
      </c>
    </row>
    <row r="179" spans="1:51">
      <c r="A179" t="str">
        <f>IF(C179="C","C-",C179)&amp;D179&amp;E179</f>
        <v>CFPhillip McDonald18</v>
      </c>
      <c r="B179">
        <f>VLOOKUP($A179,draft_listing_batters_stats!$A$1:$B$1324,2,FALSE)</f>
        <v>13800</v>
      </c>
      <c r="C179" s="1" t="s">
        <v>2079</v>
      </c>
      <c r="D179" s="1" t="s">
        <v>1365</v>
      </c>
      <c r="E179" s="1">
        <v>18</v>
      </c>
      <c r="F179" s="1" t="s">
        <v>2038</v>
      </c>
      <c r="G179" s="1" t="s">
        <v>2038</v>
      </c>
      <c r="H179" s="1" t="s">
        <v>2033</v>
      </c>
      <c r="I179" s="1" t="s">
        <v>2033</v>
      </c>
      <c r="J179" s="1" t="s">
        <v>2026</v>
      </c>
      <c r="K179" s="1" t="s">
        <v>2025</v>
      </c>
      <c r="L179" s="1">
        <v>1</v>
      </c>
      <c r="M179" s="1">
        <v>2</v>
      </c>
      <c r="N179" s="1">
        <v>1</v>
      </c>
      <c r="O179" s="1">
        <v>1</v>
      </c>
      <c r="P179" s="1">
        <v>1</v>
      </c>
      <c r="Q179" s="1">
        <v>5</v>
      </c>
      <c r="R179" s="1">
        <v>5</v>
      </c>
      <c r="S179" s="1">
        <v>3</v>
      </c>
      <c r="T179" s="1">
        <v>2</v>
      </c>
      <c r="U179" s="1">
        <v>4</v>
      </c>
      <c r="V179" s="1">
        <v>1</v>
      </c>
      <c r="W179" s="1">
        <v>8</v>
      </c>
      <c r="X179" s="1">
        <v>1</v>
      </c>
      <c r="Y179" s="1" t="s">
        <v>2027</v>
      </c>
      <c r="Z179" s="1" t="s">
        <v>2027</v>
      </c>
      <c r="AA179" s="1" t="s">
        <v>2027</v>
      </c>
      <c r="AB179" s="1" t="s">
        <v>2027</v>
      </c>
      <c r="AC179" s="1" t="s">
        <v>2027</v>
      </c>
      <c r="AD179" s="1">
        <v>1</v>
      </c>
      <c r="AE179" s="1">
        <v>1</v>
      </c>
      <c r="AF179" s="1">
        <v>2</v>
      </c>
      <c r="AG179" s="1">
        <v>8</v>
      </c>
      <c r="AH179" s="1">
        <v>8</v>
      </c>
      <c r="AI179" s="1">
        <v>7</v>
      </c>
      <c r="AJ179" s="52" t="s">
        <v>2029</v>
      </c>
      <c r="AK179" s="9">
        <f>($L$3*(L179-$Q$1)/$Q$2+$M$3*(M179-$R$1)/$R$2+$N$3*(N179-$S$1)/$S$2+$O$3*(O179-$T$1)/$T$2+$P$3*(P179-$U$1)/$U$2)/(SUM($L$3:$P$3))</f>
        <v>-2.0332834702088682</v>
      </c>
      <c r="AL179" s="9">
        <f>($L$3*(Q179-$Q$1)/$Q$2+$M$3*(R179-$R$1)/$R$2+$N$3*(S179-$S$1)/$S$2+$O$3*(T179-$T$1)/$T$2+$P$3*(U179-$U$1)/$U$2)/(SUM($L$3:$P$3))</f>
        <v>-0.21399892903342477</v>
      </c>
      <c r="AM179">
        <f>IF(AVERAGE(AG179:AH179)&gt;9,1,0)+IF(AVERAGE(AG179:AH179)&gt;7,1,0)+IF(AG179&gt;7,1,0)+IF(AH179&gt;7,1,0)+IF(AI179&gt;8,1,0)+IF(AI179&gt;6,1,0)</f>
        <v>4</v>
      </c>
      <c r="AN179" s="6">
        <f>MIN(2,IF(OR(Y179="-",X179&lt;5),0,1+IF(Y179&gt;7,1+IF(X179&gt;7,0.25,0),IF(Y179&gt;4,0.5+IF(X179&gt;7,0.25,0),0+IF(X179&gt;7,0.25))))+IF(Z179="-",0,IF(Z179&gt;9,0.5,IF(Z179&gt;7,0.25,0)))+IF(AA179="-",0,IF(AA179&gt;7,1.1,IF(AA179&gt;4,0.6,0)))+IF(OR(AB179="-",V179&lt;5),0,IF(AB179&gt;7,1+IF(V179&gt;7,0.25,0),IF(AB179&gt;4,0.5+IF(V179&gt;7,0.25,0),0)))+IF(AC179="-",0,IF(AC179&gt;7,1.5,IF(AC179&gt;4,1,0)))+IF(AD179="-",0,IF(AD179&gt;9,0.5,IF(AD179&gt;7,0.25,0)))+IF(AE179="-",0,IF(AE179&gt;7,1.25,IF(AE179&gt;4,0.75,0)))+IF(OR(AF179="-",W179&lt;4),0,IF(AF179&gt;7,1+IF(W179&gt;7,0.15,0),IF(AF179&gt;4,0.5+IF(W179&gt;7,0.15,0),0))))</f>
        <v>0</v>
      </c>
      <c r="AO179" s="9">
        <f>($AK$3*AK179+$AL$3*AL179+$AM$3*AM179+$AN$3*AN179)+$J$3*VLOOKUP(J179,COND!$A$2:$C$7,2,FALSE)+$K$3*VLOOKUP(K179,COND!$A$2:$C$7,3,FALSE)</f>
        <v>7.7953511712446826</v>
      </c>
      <c r="AP179" s="37">
        <f>STANDARDIZE(AO179,AVERAGE($AO$5:$AO$1295),STDEVP($AO$5:$AO$1295))</f>
        <v>-0.39887178190469291</v>
      </c>
      <c r="AQ179" t="str">
        <f>IF(AND(Y179&lt;&gt;"-",X179&gt;1),"C",IF(AA179=MAX(AA179:AC179),"2B",IF(AC179=MAX(AA179:AC179),"SS",IF(OR(AB179=MAX(Z179:AC179),AND(AB179&lt;&gt;"-",AB179&gt;4,V179&gt;5)),"3B",IF(AE179=MAX(AD179:AF179),"CF",IF(AND(AF179=MAX(AD179,AF179),AND(W179&gt;5,AD179&lt;&gt;"-")),"RF",IF(AD179&lt;&gt;"-","LF",IF(Z179&lt;&gt;"-","1B","DH"))))))))</f>
        <v>RF</v>
      </c>
      <c r="AR179" t="s">
        <v>35</v>
      </c>
      <c r="AU179" t="str">
        <f>IF(AND($Q179&gt;=6,AVERAGE($S179:$T179)&gt;=6),"Likely",IF(OR($Q179&gt;6,AND($Q179=6,AVERAGE($S179:$T179)&gt;=3),AND($Q179&gt;=5,AVERAGE($S179:$T179)&gt;=5),AVERAGE($Q179,$S179:$T179)&gt;5),"Possible","Unlikely"))</f>
        <v>Unlikely</v>
      </c>
      <c r="AW179" t="e">
        <f>IF(VLOOKUP($B179,'Draft List'!$D$4:$AB$2598,AW$3,FALSE)&lt;&gt;0,VLOOKUP($B179,'Draft List'!$D$4:$AB$2598,AW$3,FALSE),"")</f>
        <v>#N/A</v>
      </c>
      <c r="AX179" t="e">
        <f>IF(VLOOKUP($B179,'Draft List'!$D$4:$AB$2598,AX$3,FALSE)&lt;&gt;0,VLOOKUP($B179,'Draft List'!$D$4:$AB$2598,AX$3,FALSE),"")</f>
        <v>#N/A</v>
      </c>
      <c r="AY179" t="e">
        <f>IF(VLOOKUP($B179,'Draft List'!$D$4:$AB$2598,AY$3,FALSE)&lt;&gt;0,VLOOKUP($B179,'Draft List'!$D$4:$AB$2598,AY$3,FALSE),"")</f>
        <v>#N/A</v>
      </c>
    </row>
    <row r="180" spans="1:51">
      <c r="A180" t="str">
        <f>IF(C180="C","C-",C180)&amp;D180&amp;E180</f>
        <v>C-Carlos Flores18</v>
      </c>
      <c r="B180">
        <f>VLOOKUP($A180,draft_listing_batters_stats!$A$1:$B$1324,2,FALSE)</f>
        <v>13764</v>
      </c>
      <c r="C180" s="1" t="s">
        <v>2091</v>
      </c>
      <c r="D180" s="1" t="s">
        <v>1497</v>
      </c>
      <c r="E180" s="1">
        <v>18</v>
      </c>
      <c r="F180" s="1" t="s">
        <v>2022</v>
      </c>
      <c r="G180" s="1" t="s">
        <v>2022</v>
      </c>
      <c r="H180" s="1" t="s">
        <v>2033</v>
      </c>
      <c r="I180" s="1" t="s">
        <v>2033</v>
      </c>
      <c r="J180" s="1" t="s">
        <v>2025</v>
      </c>
      <c r="K180" s="1" t="s">
        <v>2025</v>
      </c>
      <c r="L180" s="1">
        <v>1</v>
      </c>
      <c r="M180" s="1">
        <v>2</v>
      </c>
      <c r="N180" s="1">
        <v>1</v>
      </c>
      <c r="O180" s="1">
        <v>1</v>
      </c>
      <c r="P180" s="1">
        <v>1</v>
      </c>
      <c r="Q180" s="1">
        <v>5</v>
      </c>
      <c r="R180" s="1">
        <v>5</v>
      </c>
      <c r="S180" s="1">
        <v>1</v>
      </c>
      <c r="T180" s="1">
        <v>3</v>
      </c>
      <c r="U180" s="1">
        <v>4</v>
      </c>
      <c r="V180" s="1">
        <v>5</v>
      </c>
      <c r="W180" s="1">
        <v>5</v>
      </c>
      <c r="X180" s="1">
        <v>8</v>
      </c>
      <c r="Y180" s="1">
        <v>3</v>
      </c>
      <c r="Z180" s="1">
        <v>1</v>
      </c>
      <c r="AA180" s="1" t="s">
        <v>2027</v>
      </c>
      <c r="AB180" s="1" t="s">
        <v>2027</v>
      </c>
      <c r="AC180" s="1" t="s">
        <v>2027</v>
      </c>
      <c r="AD180" s="1" t="s">
        <v>2027</v>
      </c>
      <c r="AE180" s="1" t="s">
        <v>2027</v>
      </c>
      <c r="AF180" s="1" t="s">
        <v>2027</v>
      </c>
      <c r="AG180" s="1">
        <v>8</v>
      </c>
      <c r="AH180" s="1">
        <v>5</v>
      </c>
      <c r="AI180" s="1">
        <v>4</v>
      </c>
      <c r="AJ180" s="52" t="s">
        <v>2029</v>
      </c>
      <c r="AK180" s="9">
        <f>($L$3*(L180-$Q$1)/$Q$2+$M$3*(M180-$R$1)/$R$2+$N$3*(N180-$S$1)/$S$2+$O$3*(O180-$T$1)/$T$2+$P$3*(P180-$U$1)/$U$2)/(SUM($L$3:$P$3))</f>
        <v>-2.0332834702088682</v>
      </c>
      <c r="AL180" s="9">
        <f>($L$3*(Q180-$Q$1)/$Q$2+$M$3*(R180-$R$1)/$R$2+$N$3*(S180-$S$1)/$S$2+$O$3*(T180-$T$1)/$T$2+$P$3*(U180-$U$1)/$U$2)/(SUM($L$3:$P$3))</f>
        <v>-0.29041236707164669</v>
      </c>
      <c r="AM180">
        <f>IF(AVERAGE(AG180:AH180)&gt;9,1,0)+IF(AVERAGE(AG180:AH180)&gt;7,1,0)+IF(AG180&gt;7,1,0)+IF(AH180&gt;7,1,0)+IF(AI180&gt;8,1,0)+IF(AI180&gt;6,1,0)</f>
        <v>1</v>
      </c>
      <c r="AN180" s="6">
        <f>MIN(2,IF(OR(Y180="-",X180&lt;5),0,1+IF(Y180&gt;7,1+IF(X180&gt;7,0.25,0),IF(Y180&gt;4,0.5+IF(X180&gt;7,0.25,0),0+IF(X180&gt;7,0.25))))+IF(Z180="-",0,IF(Z180&gt;9,0.5,IF(Z180&gt;7,0.25,0)))+IF(AA180="-",0,IF(AA180&gt;7,1.1,IF(AA180&gt;4,0.6,0)))+IF(OR(AB180="-",V180&lt;5),0,IF(AB180&gt;7,1+IF(V180&gt;7,0.25,0),IF(AB180&gt;4,0.5+IF(V180&gt;7,0.25,0),0)))+IF(AC180="-",0,IF(AC180&gt;7,1.5,IF(AC180&gt;4,1,0)))+IF(AD180="-",0,IF(AD180&gt;9,0.5,IF(AD180&gt;7,0.25,0)))+IF(AE180="-",0,IF(AE180&gt;7,1.25,IF(AE180&gt;4,0.75,0)))+IF(OR(AF180="-",W180&lt;4),0,IF(AF180&gt;7,1+IF(W180&gt;7,0.15,0),IF(AF180&gt;4,0.5+IF(W180&gt;7,0.15,0),0))))</f>
        <v>1.25</v>
      </c>
      <c r="AO180" s="9">
        <f>($AK$3*AK180+$AL$3*AL180+$AM$3*AM180+$AN$3*AN180)+$J$3*VLOOKUP(J180,COND!$A$2:$C$7,2,FALSE)+$K$3*VLOOKUP(K180,COND!$A$2:$C$7,3,FALSE)</f>
        <v>7.7283899147860193</v>
      </c>
      <c r="AP180" s="37">
        <f>STANDARDIZE(AO180,AVERAGE($AO$5:$AO$1295),STDEVP($AO$5:$AO$1295))</f>
        <v>-0.40817428425391444</v>
      </c>
      <c r="AQ180" t="str">
        <f>IF(AND(Y180&lt;&gt;"-",X180&gt;1),"C",IF(AA180=MAX(AA180:AC180),"2B",IF(AC180=MAX(AA180:AC180),"SS",IF(OR(AB180=MAX(Z180:AC180),AND(AB180&lt;&gt;"-",AB180&gt;4,V180&gt;5)),"3B",IF(AE180=MAX(AD180:AF180),"CF",IF(AND(AF180=MAX(AD180,AF180),AND(W180&gt;5,AD180&lt;&gt;"-")),"RF",IF(AD180&lt;&gt;"-","LF",IF(Z180&lt;&gt;"-","1B","DH"))))))))</f>
        <v>C</v>
      </c>
      <c r="AR180" t="s">
        <v>35</v>
      </c>
      <c r="AU180" t="str">
        <f>IF(AND($Q180&gt;=6,AVERAGE($S180:$T180)&gt;=6),"Likely",IF(OR($Q180&gt;6,AND($Q180=6,AVERAGE($S180:$T180)&gt;=3),AND($Q180&gt;=5,AVERAGE($S180:$T180)&gt;=5),AVERAGE($Q180,$S180:$T180)&gt;5),"Possible","Unlikely"))</f>
        <v>Unlikely</v>
      </c>
      <c r="AW180" t="str">
        <f>IF(VLOOKUP($B180,'Draft List'!$D$4:$AB$2598,AW$3,FALSE)&lt;&gt;0,VLOOKUP($B180,'Draft List'!$D$4:$AB$2598,AW$3,FALSE),"")</f>
        <v/>
      </c>
      <c r="AX180" t="str">
        <f>IF(VLOOKUP($B180,'Draft List'!$D$4:$AB$2598,AX$3,FALSE)&lt;&gt;0,VLOOKUP($B180,'Draft List'!$D$4:$AB$2598,AX$3,FALSE),"")</f>
        <v/>
      </c>
      <c r="AY180" t="str">
        <f>IF(VLOOKUP($B180,'Draft List'!$D$4:$AB$2598,AY$3,FALSE)&lt;&gt;0,VLOOKUP($B180,'Draft List'!$D$4:$AB$2598,AY$3,FALSE),"")</f>
        <v/>
      </c>
    </row>
    <row r="181" spans="1:51">
      <c r="A181" t="str">
        <f>IF(C181="C","C-",C181)&amp;D181&amp;E181</f>
        <v>LFSalvador Velásquez18</v>
      </c>
      <c r="B181" t="e">
        <f>VLOOKUP($A181,draft_listing_batters_stats!$A$1:$B$1324,2,FALSE)</f>
        <v>#N/A</v>
      </c>
      <c r="C181" s="1" t="s">
        <v>2035</v>
      </c>
      <c r="D181" s="1" t="s">
        <v>1238</v>
      </c>
      <c r="E181" s="1">
        <v>18</v>
      </c>
      <c r="F181" s="1" t="s">
        <v>2038</v>
      </c>
      <c r="G181" s="1" t="s">
        <v>2038</v>
      </c>
      <c r="H181" s="1" t="s">
        <v>2033</v>
      </c>
      <c r="I181" s="1" t="s">
        <v>2033</v>
      </c>
      <c r="J181" s="1" t="s">
        <v>2040</v>
      </c>
      <c r="K181" s="1" t="s">
        <v>2040</v>
      </c>
      <c r="L181" s="1">
        <v>1</v>
      </c>
      <c r="M181" s="1">
        <v>2</v>
      </c>
      <c r="N181" s="1">
        <v>1</v>
      </c>
      <c r="O181" s="1">
        <v>1</v>
      </c>
      <c r="P181" s="1">
        <v>1</v>
      </c>
      <c r="Q181" s="1">
        <v>5</v>
      </c>
      <c r="R181" s="1">
        <v>4</v>
      </c>
      <c r="S181" s="1">
        <v>3</v>
      </c>
      <c r="T181" s="1">
        <v>3</v>
      </c>
      <c r="U181" s="1">
        <v>4</v>
      </c>
      <c r="V181" s="1">
        <v>1</v>
      </c>
      <c r="W181" s="1">
        <v>6</v>
      </c>
      <c r="X181" s="1">
        <v>1</v>
      </c>
      <c r="Y181" s="1" t="s">
        <v>2027</v>
      </c>
      <c r="Z181" s="1" t="s">
        <v>2027</v>
      </c>
      <c r="AA181" s="1" t="s">
        <v>2027</v>
      </c>
      <c r="AB181" s="1" t="s">
        <v>2027</v>
      </c>
      <c r="AC181" s="1" t="s">
        <v>2027</v>
      </c>
      <c r="AD181" s="1">
        <v>3</v>
      </c>
      <c r="AE181" s="1" t="s">
        <v>2027</v>
      </c>
      <c r="AF181" s="1">
        <v>1</v>
      </c>
      <c r="AG181" s="1">
        <v>10</v>
      </c>
      <c r="AH181" s="1">
        <v>10</v>
      </c>
      <c r="AI181" s="1">
        <v>10</v>
      </c>
      <c r="AJ181" s="52" t="s">
        <v>2029</v>
      </c>
      <c r="AK181" s="9">
        <f>($L$3*(L181-$Q$1)/$Q$2+$M$3*(M181-$R$1)/$R$2+$N$3*(N181-$S$1)/$S$2+$O$3*(O181-$T$1)/$T$2+$P$3*(P181-$U$1)/$U$2)/(SUM($L$3:$P$3))</f>
        <v>-2.0332834702088682</v>
      </c>
      <c r="AL181" s="9">
        <f>($L$3*(Q181-$Q$1)/$Q$2+$M$3*(R181-$R$1)/$R$2+$N$3*(S181-$S$1)/$S$2+$O$3*(T181-$T$1)/$T$2+$P$3*(U181-$U$1)/$U$2)/(SUM($L$3:$P$3))</f>
        <v>-0.17534925864254722</v>
      </c>
      <c r="AM181">
        <f>IF(AVERAGE(AG181:AH181)&gt;9,1,0)+IF(AVERAGE(AG181:AH181)&gt;7,1,0)+IF(AG181&gt;7,1,0)+IF(AH181&gt;7,1,0)+IF(AI181&gt;8,1,0)+IF(AI181&gt;6,1,0)</f>
        <v>6</v>
      </c>
      <c r="AN181" s="6">
        <f>MIN(2,IF(OR(Y181="-",X181&lt;5),0,1+IF(Y181&gt;7,1+IF(X181&gt;7,0.25,0),IF(Y181&gt;4,0.5+IF(X181&gt;7,0.25,0),0+IF(X181&gt;7,0.25))))+IF(Z181="-",0,IF(Z181&gt;9,0.5,IF(Z181&gt;7,0.25,0)))+IF(AA181="-",0,IF(AA181&gt;7,1.1,IF(AA181&gt;4,0.6,0)))+IF(OR(AB181="-",V181&lt;5),0,IF(AB181&gt;7,1+IF(V181&gt;7,0.25,0),IF(AB181&gt;4,0.5+IF(V181&gt;7,0.25,0),0)))+IF(AC181="-",0,IF(AC181&gt;7,1.5,IF(AC181&gt;4,1,0)))+IF(AD181="-",0,IF(AD181&gt;9,0.5,IF(AD181&gt;7,0.25,0)))+IF(AE181="-",0,IF(AE181&gt;7,1.25,IF(AE181&gt;4,0.75,0)))+IF(OR(AF181="-",W181&lt;4),0,IF(AF181&gt;7,1+IF(W181&gt;7,0.15,0),IF(AF181&gt;4,0.5+IF(W181&gt;7,0.15,0),0))))</f>
        <v>0</v>
      </c>
      <c r="AO181" s="9">
        <f>($AK$3*AK181+$AL$3*AL181+$AM$3*AM181+$AN$3*AN181)+$J$3*VLOOKUP(J181,COND!$A$2:$C$7,2,FALSE)+$K$3*VLOOKUP(K181,COND!$A$2:$C$7,3,FALSE)</f>
        <v>7.6924805492685469</v>
      </c>
      <c r="AP181" s="37">
        <f>STANDARDIZE(AO181,AVERAGE($AO$5:$AO$1295),STDEVP($AO$5:$AO$1295))</f>
        <v>-0.41316294448449953</v>
      </c>
      <c r="AQ181" t="str">
        <f>IF(AND(Y181&lt;&gt;"-",X181&gt;1),"C",IF(AA181=MAX(AA181:AC181),"2B",IF(AC181=MAX(AA181:AC181),"SS",IF(OR(AB181=MAX(Z181:AC181),AND(AB181&lt;&gt;"-",AB181&gt;4,V181&gt;5)),"3B",IF(AE181=MAX(AD181:AF181),"CF",IF(AND(AF181=MAX(AD181,AF181),AND(W181&gt;5,AD181&lt;&gt;"-")),"RF",IF(AD181&lt;&gt;"-","LF",IF(Z181&lt;&gt;"-","1B","DH"))))))))</f>
        <v>LF</v>
      </c>
      <c r="AR181" t="s">
        <v>35</v>
      </c>
      <c r="AU181" t="str">
        <f>IF(AND($Q181&gt;=6,AVERAGE($S181:$T181)&gt;=6),"Likely",IF(OR($Q181&gt;6,AND($Q181=6,AVERAGE($S181:$T181)&gt;=3),AND($Q181&gt;=5,AVERAGE($S181:$T181)&gt;=5),AVERAGE($Q181,$S181:$T181)&gt;5),"Possible","Unlikely"))</f>
        <v>Unlikely</v>
      </c>
      <c r="AW181" t="e">
        <f>IF(VLOOKUP($B181,'Draft List'!$D$4:$AB$2598,AW$3,FALSE)&lt;&gt;0,VLOOKUP($B181,'Draft List'!$D$4:$AB$2598,AW$3,FALSE),"")</f>
        <v>#N/A</v>
      </c>
      <c r="AX181" t="e">
        <f>IF(VLOOKUP($B181,'Draft List'!$D$4:$AB$2598,AX$3,FALSE)&lt;&gt;0,VLOOKUP($B181,'Draft List'!$D$4:$AB$2598,AX$3,FALSE),"")</f>
        <v>#N/A</v>
      </c>
      <c r="AY181" t="e">
        <f>IF(VLOOKUP($B181,'Draft List'!$D$4:$AB$2598,AY$3,FALSE)&lt;&gt;0,VLOOKUP($B181,'Draft List'!$D$4:$AB$2598,AY$3,FALSE),"")</f>
        <v>#N/A</v>
      </c>
    </row>
    <row r="182" spans="1:51">
      <c r="A182" t="str">
        <f>IF(C182="C","C-",C182)&amp;D182&amp;E182</f>
        <v>3BWesley Jordan18</v>
      </c>
      <c r="B182">
        <f>VLOOKUP($A182,draft_listing_batters_stats!$A$1:$B$1324,2,FALSE)</f>
        <v>1291</v>
      </c>
      <c r="C182" s="1" t="s">
        <v>2061</v>
      </c>
      <c r="D182" s="1" t="s">
        <v>1328</v>
      </c>
      <c r="E182" s="1">
        <v>18</v>
      </c>
      <c r="F182" s="1" t="s">
        <v>2049</v>
      </c>
      <c r="G182" s="1" t="s">
        <v>2022</v>
      </c>
      <c r="H182" s="1" t="s">
        <v>2033</v>
      </c>
      <c r="I182" s="1" t="s">
        <v>2033</v>
      </c>
      <c r="J182" s="1" t="s">
        <v>2030</v>
      </c>
      <c r="K182" s="1" t="s">
        <v>2036</v>
      </c>
      <c r="L182" s="1">
        <v>1</v>
      </c>
      <c r="M182" s="1">
        <v>2</v>
      </c>
      <c r="N182" s="1">
        <v>1</v>
      </c>
      <c r="O182" s="1">
        <v>1</v>
      </c>
      <c r="P182" s="1">
        <v>1</v>
      </c>
      <c r="Q182" s="1">
        <v>5</v>
      </c>
      <c r="R182" s="1">
        <v>5</v>
      </c>
      <c r="S182" s="1">
        <v>2</v>
      </c>
      <c r="T182" s="1">
        <v>3</v>
      </c>
      <c r="U182" s="1">
        <v>4</v>
      </c>
      <c r="V182" s="1">
        <v>10</v>
      </c>
      <c r="W182" s="1">
        <v>1</v>
      </c>
      <c r="X182" s="1">
        <v>2</v>
      </c>
      <c r="Y182" s="1" t="s">
        <v>2027</v>
      </c>
      <c r="Z182" s="1" t="s">
        <v>2027</v>
      </c>
      <c r="AA182" s="1">
        <v>1</v>
      </c>
      <c r="AB182" s="1">
        <v>4</v>
      </c>
      <c r="AC182" s="1" t="s">
        <v>2027</v>
      </c>
      <c r="AD182" s="1" t="s">
        <v>2027</v>
      </c>
      <c r="AE182" s="1" t="s">
        <v>2027</v>
      </c>
      <c r="AF182" s="1" t="s">
        <v>2027</v>
      </c>
      <c r="AG182" s="1">
        <v>6</v>
      </c>
      <c r="AH182" s="1">
        <v>3</v>
      </c>
      <c r="AI182" s="1">
        <v>3</v>
      </c>
      <c r="AJ182" s="52" t="s">
        <v>2029</v>
      </c>
      <c r="AK182" s="9">
        <f>($L$3*(L182-$Q$1)/$Q$2+$M$3*(M182-$R$1)/$R$2+$N$3*(N182-$S$1)/$S$2+$O$3*(O182-$T$1)/$T$2+$P$3*(P182-$U$1)/$U$2)/(SUM($L$3:$P$3))</f>
        <v>-2.0332834702088682</v>
      </c>
      <c r="AL182" s="9">
        <f>($L$3*(Q182-$Q$1)/$Q$2+$M$3*(R182-$R$1)/$R$2+$N$3*(S182-$S$1)/$S$2+$O$3*(T182-$T$1)/$T$2+$P$3*(U182-$U$1)/$U$2)/(SUM($L$3:$P$3))</f>
        <v>-0.20735087304774522</v>
      </c>
      <c r="AM182">
        <f>IF(AVERAGE(AG182:AH182)&gt;9,1,0)+IF(AVERAGE(AG182:AH182)&gt;7,1,0)+IF(AG182&gt;7,1,0)+IF(AH182&gt;7,1,0)+IF(AI182&gt;8,1,0)+IF(AI182&gt;6,1,0)</f>
        <v>0</v>
      </c>
      <c r="AN182" s="6">
        <f>MIN(2,IF(OR(Y182="-",X182&lt;5),0,1+IF(Y182&gt;7,1+IF(X182&gt;7,0.25,0),IF(Y182&gt;4,0.5+IF(X182&gt;7,0.25,0),0+IF(X182&gt;7,0.25))))+IF(Z182="-",0,IF(Z182&gt;9,0.5,IF(Z182&gt;7,0.25,0)))+IF(AA182="-",0,IF(AA182&gt;7,1.1,IF(AA182&gt;4,0.6,0)))+IF(OR(AB182="-",V182&lt;5),0,IF(AB182&gt;7,1+IF(V182&gt;7,0.25,0),IF(AB182&gt;4,0.5+IF(V182&gt;7,0.25,0),0)))+IF(AC182="-",0,IF(AC182&gt;7,1.5,IF(AC182&gt;4,1,0)))+IF(AD182="-",0,IF(AD182&gt;9,0.5,IF(AD182&gt;7,0.25,0)))+IF(AE182="-",0,IF(AE182&gt;7,1.25,IF(AE182&gt;4,0.75,0)))+IF(OR(AF182="-",W182&lt;4),0,IF(AF182&gt;7,1+IF(W182&gt;7,0.15,0),IF(AF182&gt;4,0.5+IF(W182&gt;7,0.15,0),0))))</f>
        <v>0</v>
      </c>
      <c r="AO182" s="9">
        <f>($AK$3*AK182+$AL$3*AL182+$AM$3*AM182+$AN$3*AN182)+$J$3*VLOOKUP(J182,COND!$A$2:$C$7,2,FALSE)+$K$3*VLOOKUP(K182,COND!$A$2:$C$7,3,FALSE)</f>
        <v>7.6584611764061705</v>
      </c>
      <c r="AP182" s="37">
        <f>STANDARDIZE(AO182,AVERAGE($AO$5:$AO$1295),STDEVP($AO$5:$AO$1295))</f>
        <v>-0.41788904003150673</v>
      </c>
      <c r="AQ182" t="str">
        <f>IF(AND(Y182&lt;&gt;"-",X182&gt;1),"C",IF(AA182=MAX(AA182:AC182),"2B",IF(AC182=MAX(AA182:AC182),"SS",IF(OR(AB182=MAX(Z182:AC182),AND(AB182&lt;&gt;"-",AB182&gt;4,V182&gt;5)),"3B",IF(AE182=MAX(AD182:AF182),"CF",IF(AND(AF182=MAX(AD182,AF182),AND(W182&gt;5,AD182&lt;&gt;"-")),"RF",IF(AD182&lt;&gt;"-","LF",IF(Z182&lt;&gt;"-","1B","DH"))))))))</f>
        <v>3B</v>
      </c>
      <c r="AR182" t="s">
        <v>35</v>
      </c>
      <c r="AU182" t="str">
        <f>IF(AND($Q182&gt;=6,AVERAGE($S182:$T182)&gt;=6),"Likely",IF(OR($Q182&gt;6,AND($Q182=6,AVERAGE($S182:$T182)&gt;=3),AND($Q182&gt;=5,AVERAGE($S182:$T182)&gt;=5),AVERAGE($Q182,$S182:$T182)&gt;5),"Possible","Unlikely"))</f>
        <v>Unlikely</v>
      </c>
      <c r="AW182" t="str">
        <f>IF(VLOOKUP($B182,'Draft List'!$D$4:$AB$2598,AW$3,FALSE)&lt;&gt;0,VLOOKUP($B182,'Draft List'!$D$4:$AB$2598,AW$3,FALSE),"")</f>
        <v/>
      </c>
      <c r="AX182" t="str">
        <f>IF(VLOOKUP($B182,'Draft List'!$D$4:$AB$2598,AX$3,FALSE)&lt;&gt;0,VLOOKUP($B182,'Draft List'!$D$4:$AB$2598,AX$3,FALSE),"")</f>
        <v/>
      </c>
      <c r="AY182" t="str">
        <f>IF(VLOOKUP($B182,'Draft List'!$D$4:$AB$2598,AY$3,FALSE)&lt;&gt;0,VLOOKUP($B182,'Draft List'!$D$4:$AB$2598,AY$3,FALSE),"")</f>
        <v/>
      </c>
    </row>
    <row r="183" spans="1:51">
      <c r="A183" t="str">
        <f>IF(C183="C","C-",C183)&amp;D183&amp;E183</f>
        <v>3BTony Hernández21</v>
      </c>
      <c r="B183" t="e">
        <f>VLOOKUP($A183,draft_listing_batters_stats!$A$1:$B$1324,2,FALSE)</f>
        <v>#N/A</v>
      </c>
      <c r="C183" s="1" t="s">
        <v>2061</v>
      </c>
      <c r="D183" s="1" t="s">
        <v>1312</v>
      </c>
      <c r="E183" s="1">
        <v>21</v>
      </c>
      <c r="F183" s="1" t="s">
        <v>2022</v>
      </c>
      <c r="G183" s="1" t="s">
        <v>2022</v>
      </c>
      <c r="H183" s="1" t="s">
        <v>2033</v>
      </c>
      <c r="I183" s="1" t="s">
        <v>2033</v>
      </c>
      <c r="J183" s="1" t="s">
        <v>2025</v>
      </c>
      <c r="K183" s="1" t="s">
        <v>2026</v>
      </c>
      <c r="L183" s="1">
        <v>2</v>
      </c>
      <c r="M183" s="1">
        <v>4</v>
      </c>
      <c r="N183" s="1">
        <v>1</v>
      </c>
      <c r="O183" s="1">
        <v>3</v>
      </c>
      <c r="P183" s="1">
        <v>1</v>
      </c>
      <c r="Q183" s="1">
        <v>4</v>
      </c>
      <c r="R183" s="1">
        <v>7</v>
      </c>
      <c r="S183" s="1">
        <v>2</v>
      </c>
      <c r="T183" s="1">
        <v>5</v>
      </c>
      <c r="U183" s="1">
        <v>4</v>
      </c>
      <c r="V183" s="1">
        <v>7</v>
      </c>
      <c r="W183" s="1">
        <v>1</v>
      </c>
      <c r="X183" s="1">
        <v>1</v>
      </c>
      <c r="Y183" s="1" t="s">
        <v>2027</v>
      </c>
      <c r="Z183" s="1" t="s">
        <v>2027</v>
      </c>
      <c r="AA183" s="1" t="s">
        <v>2027</v>
      </c>
      <c r="AB183" s="1">
        <v>6</v>
      </c>
      <c r="AC183" s="1">
        <v>4</v>
      </c>
      <c r="AD183" s="1" t="s">
        <v>2027</v>
      </c>
      <c r="AE183" s="1" t="s">
        <v>2027</v>
      </c>
      <c r="AF183" s="1" t="s">
        <v>2027</v>
      </c>
      <c r="AG183" s="1">
        <v>8</v>
      </c>
      <c r="AH183" s="1">
        <v>7</v>
      </c>
      <c r="AI183" s="1">
        <v>5</v>
      </c>
      <c r="AJ183" s="52" t="s">
        <v>2029</v>
      </c>
      <c r="AK183" s="9">
        <f>($L$3*(L183-$Q$1)/$Q$2+$M$3*(M183-$R$1)/$R$2+$N$3*(N183-$S$1)/$S$2+$O$3*(O183-$T$1)/$T$2+$P$3*(P183-$U$1)/$U$2)/(SUM($L$3:$P$3))</f>
        <v>-1.4291887747496246</v>
      </c>
      <c r="AL183" s="9">
        <f>($L$3*(Q183-$Q$1)/$Q$2+$M$3*(R183-$R$1)/$R$2+$N$3*(S183-$S$1)/$S$2+$O$3*(T183-$T$1)/$T$2+$P$3*(U183-$U$1)/$U$2)/(SUM($L$3:$P$3))</f>
        <v>-0.24836784999385086</v>
      </c>
      <c r="AM183">
        <f>IF(AVERAGE(AG183:AH183)&gt;9,1,0)+IF(AVERAGE(AG183:AH183)&gt;7,1,0)+IF(AG183&gt;7,1,0)+IF(AH183&gt;7,1,0)+IF(AI183&gt;8,1,0)+IF(AI183&gt;6,1,0)</f>
        <v>2</v>
      </c>
      <c r="AN183" s="6">
        <f>MIN(2,IF(OR(Y183="-",X183&lt;5),0,1+IF(Y183&gt;7,1+IF(X183&gt;7,0.25,0),IF(Y183&gt;4,0.5+IF(X183&gt;7,0.25,0),0+IF(X183&gt;7,0.25))))+IF(Z183="-",0,IF(Z183&gt;9,0.5,IF(Z183&gt;7,0.25,0)))+IF(AA183="-",0,IF(AA183&gt;7,1.1,IF(AA183&gt;4,0.6,0)))+IF(OR(AB183="-",V183&lt;5),0,IF(AB183&gt;7,1+IF(V183&gt;7,0.25,0),IF(AB183&gt;4,0.5+IF(V183&gt;7,0.25,0),0)))+IF(AC183="-",0,IF(AC183&gt;7,1.5,IF(AC183&gt;4,1,0)))+IF(AD183="-",0,IF(AD183&gt;9,0.5,IF(AD183&gt;7,0.25,0)))+IF(AE183="-",0,IF(AE183&gt;7,1.25,IF(AE183&gt;4,0.75,0)))+IF(OR(AF183="-",W183&lt;4),0,IF(AF183&gt;7,1+IF(W183&gt;7,0.15,0),IF(AF183&gt;4,0.5+IF(W183&gt;7,0.15,0),0))))</f>
        <v>0.5</v>
      </c>
      <c r="AO183" s="9">
        <f>($AK$3*AK183+$AL$3*AL183+$AM$3*AM183+$AN$3*AN183)+$J$3*VLOOKUP(J183,COND!$A$2:$C$7,2,FALSE)+$K$3*VLOOKUP(K183,COND!$A$2:$C$7,3,FALSE)</f>
        <v>7.6100002559321611</v>
      </c>
      <c r="AP183" s="37">
        <f>STANDARDIZE(AO183,AVERAGE($AO$5:$AO$1295),STDEVP($AO$5:$AO$1295))</f>
        <v>-0.42462140812608101</v>
      </c>
      <c r="AQ183" t="str">
        <f>IF(AND(Y183&lt;&gt;"-",X183&gt;1),"C",IF(AA183=MAX(AA183:AC183),"2B",IF(AC183=MAX(AA183:AC183),"SS",IF(OR(AB183=MAX(Z183:AC183),AND(AB183&lt;&gt;"-",AB183&gt;4,V183&gt;5)),"3B",IF(AE183=MAX(AD183:AF183),"CF",IF(AND(AF183=MAX(AD183,AF183),AND(W183&gt;5,AD183&lt;&gt;"-")),"RF",IF(AD183&lt;&gt;"-","LF",IF(Z183&lt;&gt;"-","1B","DH"))))))))</f>
        <v>3B</v>
      </c>
      <c r="AR183" t="s">
        <v>35</v>
      </c>
      <c r="AU183" t="str">
        <f>IF(AND($Q183&gt;=6,AVERAGE($S183:$T183)&gt;=6),"Likely",IF(OR($Q183&gt;6,AND($Q183=6,AVERAGE($S183:$T183)&gt;=3),AND($Q183&gt;=5,AVERAGE($S183:$T183)&gt;=5),AVERAGE($Q183,$S183:$T183)&gt;5),"Possible","Unlikely"))</f>
        <v>Unlikely</v>
      </c>
      <c r="AW183" t="e">
        <f>IF(VLOOKUP($B183,'Draft List'!$D$4:$AB$2598,AW$3,FALSE)&lt;&gt;0,VLOOKUP($B183,'Draft List'!$D$4:$AB$2598,AW$3,FALSE),"")</f>
        <v>#N/A</v>
      </c>
      <c r="AX183" t="e">
        <f>IF(VLOOKUP($B183,'Draft List'!$D$4:$AB$2598,AX$3,FALSE)&lt;&gt;0,VLOOKUP($B183,'Draft List'!$D$4:$AB$2598,AX$3,FALSE),"")</f>
        <v>#N/A</v>
      </c>
      <c r="AY183" t="e">
        <f>IF(VLOOKUP($B183,'Draft List'!$D$4:$AB$2598,AY$3,FALSE)&lt;&gt;0,VLOOKUP($B183,'Draft List'!$D$4:$AB$2598,AY$3,FALSE),"")</f>
        <v>#N/A</v>
      </c>
    </row>
    <row r="184" spans="1:51">
      <c r="A184" t="str">
        <f>IF(C184="C","C-",C184)&amp;D184&amp;E184</f>
        <v>CFAlejandro Fierro21</v>
      </c>
      <c r="B184">
        <f>VLOOKUP($A184,draft_listing_batters_stats!$A$1:$B$1324,2,FALSE)</f>
        <v>6169</v>
      </c>
      <c r="C184" s="1" t="s">
        <v>2079</v>
      </c>
      <c r="D184" s="1" t="s">
        <v>1493</v>
      </c>
      <c r="E184" s="1">
        <v>21</v>
      </c>
      <c r="F184" s="1" t="s">
        <v>2038</v>
      </c>
      <c r="G184" s="1" t="s">
        <v>2038</v>
      </c>
      <c r="H184" s="1" t="s">
        <v>2033</v>
      </c>
      <c r="I184" s="1" t="s">
        <v>2033</v>
      </c>
      <c r="J184" s="1" t="s">
        <v>2025</v>
      </c>
      <c r="K184" s="1" t="s">
        <v>2040</v>
      </c>
      <c r="L184" s="1">
        <v>3</v>
      </c>
      <c r="M184" s="1">
        <v>5</v>
      </c>
      <c r="N184" s="1">
        <v>2</v>
      </c>
      <c r="O184" s="1">
        <v>2</v>
      </c>
      <c r="P184" s="1">
        <v>2</v>
      </c>
      <c r="Q184" s="1">
        <v>5</v>
      </c>
      <c r="R184" s="1">
        <v>6</v>
      </c>
      <c r="S184" s="1">
        <v>2</v>
      </c>
      <c r="T184" s="1">
        <v>2</v>
      </c>
      <c r="U184" s="1">
        <v>5</v>
      </c>
      <c r="V184" s="1">
        <v>1</v>
      </c>
      <c r="W184" s="1">
        <v>5</v>
      </c>
      <c r="X184" s="1">
        <v>1</v>
      </c>
      <c r="Y184" s="1" t="s">
        <v>2027</v>
      </c>
      <c r="Z184" s="1" t="s">
        <v>2027</v>
      </c>
      <c r="AA184" s="1" t="s">
        <v>2027</v>
      </c>
      <c r="AB184" s="1" t="s">
        <v>2027</v>
      </c>
      <c r="AC184" s="1" t="s">
        <v>2027</v>
      </c>
      <c r="AD184" s="1">
        <v>5</v>
      </c>
      <c r="AE184" s="1">
        <v>3</v>
      </c>
      <c r="AF184" s="1">
        <v>2</v>
      </c>
      <c r="AG184" s="1">
        <v>6</v>
      </c>
      <c r="AH184" s="1">
        <v>10</v>
      </c>
      <c r="AI184" s="1">
        <v>9</v>
      </c>
      <c r="AJ184" s="52" t="s">
        <v>2029</v>
      </c>
      <c r="AK184" s="9">
        <f>($L$3*(L184-$Q$1)/$Q$2+$M$3*(M184-$R$1)/$R$2+$N$3*(N184-$S$1)/$S$2+$O$3*(O184-$T$1)/$T$2+$P$3*(P184-$U$1)/$U$2)/(SUM($L$3:$P$3))</f>
        <v>-1.0222047750968426</v>
      </c>
      <c r="AL184" s="9">
        <f>($L$3*(Q184-$Q$1)/$Q$2+$M$3*(R184-$R$1)/$R$2+$N$3*(S184-$S$1)/$S$2+$O$3*(T184-$T$1)/$T$2+$P$3*(U184-$U$1)/$U$2)/(SUM($L$3:$P$3))</f>
        <v>-0.2059842036215393</v>
      </c>
      <c r="AM184">
        <f>IF(AVERAGE(AG184:AH184)&gt;9,1,0)+IF(AVERAGE(AG184:AH184)&gt;7,1,0)+IF(AG184&gt;7,1,0)+IF(AH184&gt;7,1,0)+IF(AI184&gt;8,1,0)+IF(AI184&gt;6,1,0)</f>
        <v>4</v>
      </c>
      <c r="AN184" s="6">
        <f>MIN(2,IF(OR(Y184="-",X184&lt;5),0,1+IF(Y184&gt;7,1+IF(X184&gt;7,0.25,0),IF(Y184&gt;4,0.5+IF(X184&gt;7,0.25,0),0+IF(X184&gt;7,0.25))))+IF(Z184="-",0,IF(Z184&gt;9,0.5,IF(Z184&gt;7,0.25,0)))+IF(AA184="-",0,IF(AA184&gt;7,1.1,IF(AA184&gt;4,0.6,0)))+IF(OR(AB184="-",V184&lt;5),0,IF(AB184&gt;7,1+IF(V184&gt;7,0.25,0),IF(AB184&gt;4,0.5+IF(V184&gt;7,0.25,0),0)))+IF(AC184="-",0,IF(AC184&gt;7,1.5,IF(AC184&gt;4,1,0)))+IF(AD184="-",0,IF(AD184&gt;9,0.5,IF(AD184&gt;7,0.25,0)))+IF(AE184="-",0,IF(AE184&gt;7,1.25,IF(AE184&gt;4,0.75,0)))+IF(OR(AF184="-",W184&lt;4),0,IF(AF184&gt;7,1+IF(W184&gt;7,0.15,0),IF(AF184&gt;4,0.5+IF(W184&gt;7,0.15,0),0))))</f>
        <v>0</v>
      </c>
      <c r="AO184" s="9">
        <f>($AK$3*AK184+$AL$3*AL184+$AM$3*AM184+$AN$3*AN184)+$J$3*VLOOKUP(J184,COND!$A$2:$C$7,2,FALSE)+$K$3*VLOOKUP(K184,COND!$A$2:$C$7,3,FALSE)</f>
        <v>7.5926357456985105</v>
      </c>
      <c r="AP184" s="37">
        <f>STANDARDIZE(AO184,AVERAGE($AO$5:$AO$1295),STDEVP($AO$5:$AO$1295))</f>
        <v>-0.42703374931835436</v>
      </c>
      <c r="AQ184" t="str">
        <f>IF(AND(Y184&lt;&gt;"-",X184&gt;1),"C",IF(AA184=MAX(AA184:AC184),"2B",IF(AC184=MAX(AA184:AC184),"SS",IF(OR(AB184=MAX(Z184:AC184),AND(AB184&lt;&gt;"-",AB184&gt;4,V184&gt;5)),"3B",IF(AE184=MAX(AD184:AF184),"CF",IF(AND(AF184=MAX(AD184,AF184),AND(W184&gt;5,AD184&lt;&gt;"-")),"RF",IF(AD184&lt;&gt;"-","LF",IF(Z184&lt;&gt;"-","1B","DH"))))))))</f>
        <v>LF</v>
      </c>
      <c r="AR184" t="s">
        <v>35</v>
      </c>
      <c r="AU184" t="str">
        <f>IF(AND($Q184&gt;=6,AVERAGE($S184:$T184)&gt;=6),"Likely",IF(OR($Q184&gt;6,AND($Q184=6,AVERAGE($S184:$T184)&gt;=3),AND($Q184&gt;=5,AVERAGE($S184:$T184)&gt;=5),AVERAGE($Q184,$S184:$T184)&gt;5),"Possible","Unlikely"))</f>
        <v>Unlikely</v>
      </c>
      <c r="AW184" t="str">
        <f>IF(VLOOKUP($B184,'Draft List'!$D$4:$AB$2598,AW$3,FALSE)&lt;&gt;0,VLOOKUP($B184,'Draft List'!$D$4:$AB$2598,AW$3,FALSE),"")</f>
        <v/>
      </c>
      <c r="AX184" t="str">
        <f>IF(VLOOKUP($B184,'Draft List'!$D$4:$AB$2598,AX$3,FALSE)&lt;&gt;0,VLOOKUP($B184,'Draft List'!$D$4:$AB$2598,AX$3,FALSE),"")</f>
        <v/>
      </c>
      <c r="AY184" t="str">
        <f>IF(VLOOKUP($B184,'Draft List'!$D$4:$AB$2598,AY$3,FALSE)&lt;&gt;0,VLOOKUP($B184,'Draft List'!$D$4:$AB$2598,AY$3,FALSE),"")</f>
        <v/>
      </c>
    </row>
    <row r="185" spans="1:51">
      <c r="A185" t="str">
        <f>IF(C185="C","C-",C185)&amp;D185&amp;E185</f>
        <v>1BRalph Pollock18</v>
      </c>
      <c r="B185">
        <f>VLOOKUP($A185,draft_listing_batters_stats!$A$1:$B$1324,2,FALSE)</f>
        <v>1069</v>
      </c>
      <c r="C185" s="1" t="s">
        <v>2092</v>
      </c>
      <c r="D185" s="1" t="s">
        <v>1194</v>
      </c>
      <c r="E185" s="1">
        <v>18</v>
      </c>
      <c r="F185" s="1" t="s">
        <v>2022</v>
      </c>
      <c r="G185" s="1" t="s">
        <v>2022</v>
      </c>
      <c r="H185" s="1" t="s">
        <v>2033</v>
      </c>
      <c r="I185" s="1" t="s">
        <v>2033</v>
      </c>
      <c r="J185" s="1" t="s">
        <v>2030</v>
      </c>
      <c r="K185" s="1" t="s">
        <v>2025</v>
      </c>
      <c r="L185" s="1">
        <v>1</v>
      </c>
      <c r="M185" s="1">
        <v>1</v>
      </c>
      <c r="N185" s="1">
        <v>1</v>
      </c>
      <c r="O185" s="1">
        <v>1</v>
      </c>
      <c r="P185" s="1">
        <v>1</v>
      </c>
      <c r="Q185" s="1">
        <v>4</v>
      </c>
      <c r="R185" s="1">
        <v>5</v>
      </c>
      <c r="S185" s="1">
        <v>6</v>
      </c>
      <c r="T185" s="1">
        <v>3</v>
      </c>
      <c r="U185" s="1">
        <v>4</v>
      </c>
      <c r="V185" s="1">
        <v>4</v>
      </c>
      <c r="W185" s="1">
        <v>1</v>
      </c>
      <c r="X185" s="1">
        <v>1</v>
      </c>
      <c r="Y185" s="1" t="s">
        <v>2027</v>
      </c>
      <c r="Z185" s="1">
        <v>3</v>
      </c>
      <c r="AA185" s="1" t="s">
        <v>2027</v>
      </c>
      <c r="AB185" s="1" t="s">
        <v>2027</v>
      </c>
      <c r="AC185" s="1" t="s">
        <v>2027</v>
      </c>
      <c r="AD185" s="1" t="s">
        <v>2027</v>
      </c>
      <c r="AE185" s="1" t="s">
        <v>2027</v>
      </c>
      <c r="AF185" s="1" t="s">
        <v>2027</v>
      </c>
      <c r="AG185" s="1">
        <v>2</v>
      </c>
      <c r="AH185" s="1">
        <v>6</v>
      </c>
      <c r="AI185" s="1">
        <v>5</v>
      </c>
      <c r="AJ185" s="52" t="s">
        <v>2029</v>
      </c>
      <c r="AK185" s="9">
        <f>($L$3*(L185-$Q$1)/$Q$2+$M$3*(M185-$R$1)/$R$2+$N$3*(N185-$S$1)/$S$2+$O$3*(O185-$T$1)/$T$2+$P$3*(P185-$U$1)/$U$2)/(SUM($L$3:$P$3))</f>
        <v>-2.0843433498275723</v>
      </c>
      <c r="AL185" s="9">
        <f>($L$3*(Q185-$Q$1)/$Q$2+$M$3*(R185-$R$1)/$R$2+$N$3*(S185-$S$1)/$S$2+$O$3*(T185-$T$1)/$T$2+$P$3*(U185-$U$1)/$U$2)/(SUM($L$3:$P$3))</f>
        <v>-0.19766073315481397</v>
      </c>
      <c r="AM185">
        <f>IF(AVERAGE(AG185:AH185)&gt;9,1,0)+IF(AVERAGE(AG185:AH185)&gt;7,1,0)+IF(AG185&gt;7,1,0)+IF(AH185&gt;7,1,0)+IF(AI185&gt;8,1,0)+IF(AI185&gt;6,1,0)</f>
        <v>0</v>
      </c>
      <c r="AN185" s="6">
        <f>MIN(2,IF(OR(Y185="-",X185&lt;5),0,1+IF(Y185&gt;7,1+IF(X185&gt;7,0.25,0),IF(Y185&gt;4,0.5+IF(X185&gt;7,0.25,0),0+IF(X185&gt;7,0.25))))+IF(Z185="-",0,IF(Z185&gt;9,0.5,IF(Z185&gt;7,0.25,0)))+IF(AA185="-",0,IF(AA185&gt;7,1.1,IF(AA185&gt;4,0.6,0)))+IF(OR(AB185="-",V185&lt;5),0,IF(AB185&gt;7,1+IF(V185&gt;7,0.25,0),IF(AB185&gt;4,0.5+IF(V185&gt;7,0.25,0),0)))+IF(AC185="-",0,IF(AC185&gt;7,1.5,IF(AC185&gt;4,1,0)))+IF(AD185="-",0,IF(AD185&gt;9,0.5,IF(AD185&gt;7,0.25,0)))+IF(AE185="-",0,IF(AE185&gt;7,1.25,IF(AE185&gt;4,0.75,0)))+IF(OR(AF185="-",W185&lt;4),0,IF(AF185&gt;7,1+IF(W185&gt;7,0.15,0),IF(AF185&gt;4,0.5+IF(W185&gt;7,0.15,0),0))))</f>
        <v>0</v>
      </c>
      <c r="AO185" s="9">
        <f>($AK$3*AK185+$AL$3*AL185+$AM$3*AM185+$AN$3*AN185)+$J$3*VLOOKUP(J185,COND!$A$2:$C$7,2,FALSE)+$K$3*VLOOKUP(K185,COND!$A$2:$C$7,3,FALSE)</f>
        <v>7.5196368671594751</v>
      </c>
      <c r="AP185" s="37">
        <f>STANDARDIZE(AO185,AVERAGE($AO$5:$AO$1295),STDEVP($AO$5:$AO$1295))</f>
        <v>-0.4371750201817397</v>
      </c>
      <c r="AQ185" t="str">
        <f>IF(AND(Y185&lt;&gt;"-",X185&gt;1),"C",IF(AA185=MAX(AA185:AC185),"2B",IF(AC185=MAX(AA185:AC185),"SS",IF(OR(AB185=MAX(Z185:AC185),AND(AB185&lt;&gt;"-",AB185&gt;4,V185&gt;5)),"3B",IF(AE185=MAX(AD185:AF185),"CF",IF(AND(AF185=MAX(AD185,AF185),AND(W185&gt;5,AD185&lt;&gt;"-")),"RF",IF(AD185&lt;&gt;"-","LF",IF(Z185&lt;&gt;"-","1B","DH"))))))))</f>
        <v>1B</v>
      </c>
      <c r="AR185" t="s">
        <v>35</v>
      </c>
      <c r="AU185" t="str">
        <f>IF(AND($Q185&gt;=6,AVERAGE($S185:$T185)&gt;=6),"Likely",IF(OR($Q185&gt;6,AND($Q185=6,AVERAGE($S185:$T185)&gt;=3),AND($Q185&gt;=5,AVERAGE($S185:$T185)&gt;=5),AVERAGE($Q185,$S185:$T185)&gt;5),"Possible","Unlikely"))</f>
        <v>Unlikely</v>
      </c>
      <c r="AW185" t="str">
        <f>IF(VLOOKUP($B185,'Draft List'!$D$4:$AB$2598,AW$3,FALSE)&lt;&gt;0,VLOOKUP($B185,'Draft List'!$D$4:$AB$2598,AW$3,FALSE),"")</f>
        <v/>
      </c>
      <c r="AX185" t="str">
        <f>IF(VLOOKUP($B185,'Draft List'!$D$4:$AB$2598,AX$3,FALSE)&lt;&gt;0,VLOOKUP($B185,'Draft List'!$D$4:$AB$2598,AX$3,FALSE),"")</f>
        <v/>
      </c>
      <c r="AY185" t="str">
        <f>IF(VLOOKUP($B185,'Draft List'!$D$4:$AB$2598,AY$3,FALSE)&lt;&gt;0,VLOOKUP($B185,'Draft List'!$D$4:$AB$2598,AY$3,FALSE),"")</f>
        <v/>
      </c>
    </row>
    <row r="186" spans="1:51">
      <c r="A186" t="str">
        <f>IF(C186="C","C-",C186)&amp;D186&amp;E186</f>
        <v>CFEdgardo Martínez21</v>
      </c>
      <c r="B186" t="e">
        <f>VLOOKUP($A186,draft_listing_batters_stats!$A$1:$B$1324,2,FALSE)</f>
        <v>#N/A</v>
      </c>
      <c r="C186" s="1" t="s">
        <v>2079</v>
      </c>
      <c r="D186" s="1" t="s">
        <v>1356</v>
      </c>
      <c r="E186" s="1">
        <v>21</v>
      </c>
      <c r="F186" s="1" t="s">
        <v>2038</v>
      </c>
      <c r="G186" s="1" t="s">
        <v>2022</v>
      </c>
      <c r="H186" s="1" t="s">
        <v>2033</v>
      </c>
      <c r="I186" s="1" t="s">
        <v>2033</v>
      </c>
      <c r="J186" s="1" t="s">
        <v>2026</v>
      </c>
      <c r="K186" s="1" t="s">
        <v>2030</v>
      </c>
      <c r="L186" s="1">
        <v>5</v>
      </c>
      <c r="M186" s="1">
        <v>4</v>
      </c>
      <c r="N186" s="1">
        <v>1</v>
      </c>
      <c r="O186" s="1">
        <v>3</v>
      </c>
      <c r="P186" s="1">
        <v>3</v>
      </c>
      <c r="Q186" s="1">
        <v>5</v>
      </c>
      <c r="R186" s="1">
        <v>5</v>
      </c>
      <c r="S186" s="1">
        <v>1</v>
      </c>
      <c r="T186" s="1">
        <v>3</v>
      </c>
      <c r="U186" s="1">
        <v>4</v>
      </c>
      <c r="V186" s="1">
        <v>1</v>
      </c>
      <c r="W186" s="1">
        <v>5</v>
      </c>
      <c r="X186" s="1">
        <v>1</v>
      </c>
      <c r="Y186" s="1" t="s">
        <v>2027</v>
      </c>
      <c r="Z186" s="1" t="s">
        <v>2027</v>
      </c>
      <c r="AA186" s="1" t="s">
        <v>2027</v>
      </c>
      <c r="AB186" s="1" t="s">
        <v>2027</v>
      </c>
      <c r="AC186" s="1" t="s">
        <v>2027</v>
      </c>
      <c r="AD186" s="1">
        <v>6</v>
      </c>
      <c r="AE186" s="1">
        <v>5</v>
      </c>
      <c r="AF186" s="1">
        <v>4</v>
      </c>
      <c r="AG186" s="1">
        <v>6</v>
      </c>
      <c r="AH186" s="1">
        <v>6</v>
      </c>
      <c r="AI186" s="1">
        <v>6</v>
      </c>
      <c r="AJ186" s="52" t="s">
        <v>2029</v>
      </c>
      <c r="AK186" s="9">
        <f>($L$3*(L186-$Q$1)/$Q$2+$M$3*(M186-$R$1)/$R$2+$N$3*(N186-$S$1)/$S$2+$O$3*(O186-$T$1)/$T$2+$P$3*(P186-$U$1)/$U$2)/(SUM($L$3:$P$3))</f>
        <v>-0.38148858650743361</v>
      </c>
      <c r="AL186" s="9">
        <f>($L$3*(Q186-$Q$1)/$Q$2+$M$3*(R186-$R$1)/$R$2+$N$3*(S186-$S$1)/$S$2+$O$3*(T186-$T$1)/$T$2+$P$3*(U186-$U$1)/$U$2)/(SUM($L$3:$P$3))</f>
        <v>-0.29041236707164669</v>
      </c>
      <c r="AM186">
        <f>IF(AVERAGE(AG186:AH186)&gt;9,1,0)+IF(AVERAGE(AG186:AH186)&gt;7,1,0)+IF(AG186&gt;7,1,0)+IF(AH186&gt;7,1,0)+IF(AI186&gt;8,1,0)+IF(AI186&gt;6,1,0)</f>
        <v>0</v>
      </c>
      <c r="AN186" s="6">
        <f>MIN(2,IF(OR(Y186="-",X186&lt;5),0,1+IF(Y186&gt;7,1+IF(X186&gt;7,0.25,0),IF(Y186&gt;4,0.5+IF(X186&gt;7,0.25,0),0+IF(X186&gt;7,0.25))))+IF(Z186="-",0,IF(Z186&gt;9,0.5,IF(Z186&gt;7,0.25,0)))+IF(AA186="-",0,IF(AA186&gt;7,1.1,IF(AA186&gt;4,0.6,0)))+IF(OR(AB186="-",V186&lt;5),0,IF(AB186&gt;7,1+IF(V186&gt;7,0.25,0),IF(AB186&gt;4,0.5+IF(V186&gt;7,0.25,0),0)))+IF(AC186="-",0,IF(AC186&gt;7,1.5,IF(AC186&gt;4,1,0)))+IF(AD186="-",0,IF(AD186&gt;9,0.5,IF(AD186&gt;7,0.25,0)))+IF(AE186="-",0,IF(AE186&gt;7,1.25,IF(AE186&gt;4,0.75,0)))+IF(OR(AF186="-",W186&lt;4),0,IF(AF186&gt;7,1+IF(W186&gt;7,0.15,0),IF(AF186&gt;4,0.5+IF(W186&gt;7,0.15,0),0))))</f>
        <v>0.75</v>
      </c>
      <c r="AO186" s="9">
        <f>($AK$3*AK186+$AL$3*AL186+$AM$3*AM186+$AN$3*AN186)+$J$3*VLOOKUP(J186,COND!$A$2:$C$7,2,FALSE)+$K$3*VLOOKUP(K186,COND!$A$2:$C$7,3,FALSE)</f>
        <v>7.226902736489496</v>
      </c>
      <c r="AP186" s="37">
        <f>STANDARDIZE(AO186,AVERAGE($AO$5:$AO$1295),STDEVP($AO$5:$AO$1295))</f>
        <v>-0.47784271493946673</v>
      </c>
      <c r="AQ186" t="str">
        <f>IF(AND(Y186&lt;&gt;"-",X186&gt;1),"C",IF(AA186=MAX(AA186:AC186),"2B",IF(AC186=MAX(AA186:AC186),"SS",IF(OR(AB186=MAX(Z186:AC186),AND(AB186&lt;&gt;"-",AB186&gt;4,V186&gt;5)),"3B",IF(AE186=MAX(AD186:AF186),"CF",IF(AND(AF186=MAX(AD186,AF186),AND(W186&gt;5,AD186&lt;&gt;"-")),"RF",IF(AD186&lt;&gt;"-","LF",IF(Z186&lt;&gt;"-","1B","DH"))))))))</f>
        <v>LF</v>
      </c>
      <c r="AR186" t="s">
        <v>35</v>
      </c>
      <c r="AU186" t="str">
        <f>IF(AND($Q186&gt;=6,AVERAGE($S186:$T186)&gt;=6),"Likely",IF(OR($Q186&gt;6,AND($Q186=6,AVERAGE($S186:$T186)&gt;=3),AND($Q186&gt;=5,AVERAGE($S186:$T186)&gt;=5),AVERAGE($Q186,$S186:$T186)&gt;5),"Possible","Unlikely"))</f>
        <v>Unlikely</v>
      </c>
      <c r="AW186" t="e">
        <f>IF(VLOOKUP($B186,'Draft List'!$D$4:$AB$2598,AW$3,FALSE)&lt;&gt;0,VLOOKUP($B186,'Draft List'!$D$4:$AB$2598,AW$3,FALSE),"")</f>
        <v>#N/A</v>
      </c>
      <c r="AX186" t="e">
        <f>IF(VLOOKUP($B186,'Draft List'!$D$4:$AB$2598,AX$3,FALSE)&lt;&gt;0,VLOOKUP($B186,'Draft List'!$D$4:$AB$2598,AX$3,FALSE),"")</f>
        <v>#N/A</v>
      </c>
      <c r="AY186" t="e">
        <f>IF(VLOOKUP($B186,'Draft List'!$D$4:$AB$2598,AY$3,FALSE)&lt;&gt;0,VLOOKUP($B186,'Draft List'!$D$4:$AB$2598,AY$3,FALSE),"")</f>
        <v>#N/A</v>
      </c>
    </row>
    <row r="187" spans="1:51">
      <c r="A187" t="str">
        <f>IF(C187="C","C-",C187)&amp;D187&amp;E187</f>
        <v>C-Wu-han Khoo21</v>
      </c>
      <c r="B187">
        <f>VLOOKUP($A187,draft_listing_batters_stats!$A$1:$B$1324,2,FALSE)</f>
        <v>3109</v>
      </c>
      <c r="C187" s="1" t="s">
        <v>2091</v>
      </c>
      <c r="D187" s="1" t="s">
        <v>1335</v>
      </c>
      <c r="E187" s="1">
        <v>21</v>
      </c>
      <c r="F187" s="1" t="s">
        <v>2022</v>
      </c>
      <c r="G187" s="1" t="s">
        <v>2022</v>
      </c>
      <c r="H187" s="1" t="s">
        <v>2033</v>
      </c>
      <c r="I187" s="1" t="s">
        <v>2033</v>
      </c>
      <c r="J187" s="1" t="s">
        <v>2040</v>
      </c>
      <c r="K187" s="1" t="s">
        <v>2036</v>
      </c>
      <c r="L187" s="1">
        <v>4</v>
      </c>
      <c r="M187" s="1">
        <v>3</v>
      </c>
      <c r="N187" s="1">
        <v>1</v>
      </c>
      <c r="O187" s="1">
        <v>3</v>
      </c>
      <c r="P187" s="1">
        <v>3</v>
      </c>
      <c r="Q187" s="1">
        <v>5</v>
      </c>
      <c r="R187" s="1">
        <v>4</v>
      </c>
      <c r="S187" s="1">
        <v>1</v>
      </c>
      <c r="T187" s="1">
        <v>4</v>
      </c>
      <c r="U187" s="1">
        <v>5</v>
      </c>
      <c r="V187" s="1">
        <v>2</v>
      </c>
      <c r="W187" s="1">
        <v>2</v>
      </c>
      <c r="X187" s="1">
        <v>3</v>
      </c>
      <c r="Y187" s="1">
        <v>4</v>
      </c>
      <c r="Z187" s="1" t="s">
        <v>2027</v>
      </c>
      <c r="AA187" s="1" t="s">
        <v>2027</v>
      </c>
      <c r="AB187" s="1" t="s">
        <v>2027</v>
      </c>
      <c r="AC187" s="1" t="s">
        <v>2027</v>
      </c>
      <c r="AD187" s="1" t="s">
        <v>2027</v>
      </c>
      <c r="AE187" s="1" t="s">
        <v>2027</v>
      </c>
      <c r="AF187" s="1" t="s">
        <v>2027</v>
      </c>
      <c r="AG187" s="1">
        <v>2</v>
      </c>
      <c r="AH187" s="1">
        <v>5</v>
      </c>
      <c r="AI187" s="1">
        <v>5</v>
      </c>
      <c r="AJ187" s="52" t="s">
        <v>2029</v>
      </c>
      <c r="AK187" s="9">
        <f>($L$3*(L187-$Q$1)/$Q$2+$M$3*(M187-$R$1)/$R$2+$N$3*(N187-$S$1)/$S$2+$O$3*(O187-$T$1)/$T$2+$P$3*(P187-$U$1)/$U$2)/(SUM($L$3:$P$3))</f>
        <v>-0.75510430232881187</v>
      </c>
      <c r="AL187" s="9">
        <f>($L$3*(Q187-$Q$1)/$Q$2+$M$3*(R187-$R$1)/$R$2+$N$3*(S187-$S$1)/$S$2+$O$3*(T187-$T$1)/$T$2+$P$3*(U187-$U$1)/$U$2)/(SUM($L$3:$P$3))</f>
        <v>-0.2117463568636857</v>
      </c>
      <c r="AM187">
        <f>IF(AVERAGE(AG187:AH187)&gt;9,1,0)+IF(AVERAGE(AG187:AH187)&gt;7,1,0)+IF(AG187&gt;7,1,0)+IF(AH187&gt;7,1,0)+IF(AI187&gt;8,1,0)+IF(AI187&gt;6,1,0)</f>
        <v>0</v>
      </c>
      <c r="AN187" s="6">
        <f>MIN(2,IF(OR(Y187="-",X187&lt;5),0,1+IF(Y187&gt;7,1+IF(X187&gt;7,0.25,0),IF(Y187&gt;4,0.5+IF(X187&gt;7,0.25,0),0+IF(X187&gt;7,0.25))))+IF(Z187="-",0,IF(Z187&gt;9,0.5,IF(Z187&gt;7,0.25,0)))+IF(AA187="-",0,IF(AA187&gt;7,1.1,IF(AA187&gt;4,0.6,0)))+IF(OR(AB187="-",V187&lt;5),0,IF(AB187&gt;7,1+IF(V187&gt;7,0.25,0),IF(AB187&gt;4,0.5+IF(V187&gt;7,0.25,0),0)))+IF(AC187="-",0,IF(AC187&gt;7,1.5,IF(AC187&gt;4,1,0)))+IF(AD187="-",0,IF(AD187&gt;9,0.5,IF(AD187&gt;7,0.25,0)))+IF(AE187="-",0,IF(AE187&gt;7,1.25,IF(AE187&gt;4,0.75,0)))+IF(OR(AF187="-",W187&lt;4),0,IF(AF187&gt;7,1+IF(W187&gt;7,0.15,0),IF(AF187&gt;4,0.5+IF(W187&gt;7,0.15,0),0))))</f>
        <v>0</v>
      </c>
      <c r="AO187" s="9">
        <f>($AK$3*AK187+$AL$3*AL187+$AM$3*AM187+$AN$3*AN187)+$J$3*VLOOKUP(J187,COND!$A$2:$C$7,2,FALSE)+$K$3*VLOOKUP(K187,COND!$A$2:$C$7,3,FALSE)</f>
        <v>7.1335332874028907</v>
      </c>
      <c r="AP187" s="37">
        <f>STANDARDIZE(AO187,AVERAGE($AO$5:$AO$1295),STDEVP($AO$5:$AO$1295))</f>
        <v>-0.49081393987473731</v>
      </c>
      <c r="AQ187" t="str">
        <f>IF(AND(Y187&lt;&gt;"-",X187&gt;1),"C",IF(AA187=MAX(AA187:AC187),"2B",IF(AC187=MAX(AA187:AC187),"SS",IF(OR(AB187=MAX(Z187:AC187),AND(AB187&lt;&gt;"-",AB187&gt;4,V187&gt;5)),"3B",IF(AE187=MAX(AD187:AF187),"CF",IF(AND(AF187=MAX(AD187,AF187),AND(W187&gt;5,AD187&lt;&gt;"-")),"RF",IF(AD187&lt;&gt;"-","LF",IF(Z187&lt;&gt;"-","1B","DH"))))))))</f>
        <v>C</v>
      </c>
      <c r="AR187" t="s">
        <v>35</v>
      </c>
      <c r="AU187" t="str">
        <f>IF(AND($Q187&gt;=6,AVERAGE($S187:$T187)&gt;=6),"Likely",IF(OR($Q187&gt;6,AND($Q187=6,AVERAGE($S187:$T187)&gt;=3),AND($Q187&gt;=5,AVERAGE($S187:$T187)&gt;=5),AVERAGE($Q187,$S187:$T187)&gt;5),"Possible","Unlikely"))</f>
        <v>Unlikely</v>
      </c>
      <c r="AW187" t="str">
        <f>IF(VLOOKUP($B187,'Draft List'!$D$4:$AB$2598,AW$3,FALSE)&lt;&gt;0,VLOOKUP($B187,'Draft List'!$D$4:$AB$2598,AW$3,FALSE),"")</f>
        <v/>
      </c>
      <c r="AX187" t="str">
        <f>IF(VLOOKUP($B187,'Draft List'!$D$4:$AB$2598,AX$3,FALSE)&lt;&gt;0,VLOOKUP($B187,'Draft List'!$D$4:$AB$2598,AX$3,FALSE),"")</f>
        <v/>
      </c>
      <c r="AY187" t="str">
        <f>IF(VLOOKUP($B187,'Draft List'!$D$4:$AB$2598,AY$3,FALSE)&lt;&gt;0,VLOOKUP($B187,'Draft List'!$D$4:$AB$2598,AY$3,FALSE),"")</f>
        <v/>
      </c>
    </row>
    <row r="188" spans="1:51">
      <c r="A188" t="str">
        <f>IF(C188="C","C-",C188)&amp;D188&amp;E188</f>
        <v>LFMario Padilla18</v>
      </c>
      <c r="B188">
        <f>VLOOKUP($A188,draft_listing_batters_stats!$A$1:$B$1324,2,FALSE)</f>
        <v>13797</v>
      </c>
      <c r="C188" s="1" t="s">
        <v>2035</v>
      </c>
      <c r="D188" s="1" t="s">
        <v>1393</v>
      </c>
      <c r="E188" s="1">
        <v>18</v>
      </c>
      <c r="F188" s="1" t="s">
        <v>2022</v>
      </c>
      <c r="G188" s="1" t="s">
        <v>2022</v>
      </c>
      <c r="H188" s="1" t="s">
        <v>2033</v>
      </c>
      <c r="I188" s="1" t="s">
        <v>2033</v>
      </c>
      <c r="J188" s="1" t="s">
        <v>2026</v>
      </c>
      <c r="K188" s="1" t="s">
        <v>2025</v>
      </c>
      <c r="L188" s="1">
        <v>1</v>
      </c>
      <c r="M188" s="1">
        <v>1</v>
      </c>
      <c r="N188" s="1">
        <v>1</v>
      </c>
      <c r="O188" s="1">
        <v>1</v>
      </c>
      <c r="P188" s="1">
        <v>1</v>
      </c>
      <c r="Q188" s="1">
        <v>5</v>
      </c>
      <c r="R188" s="1">
        <v>3</v>
      </c>
      <c r="S188" s="1">
        <v>3</v>
      </c>
      <c r="T188" s="1">
        <v>3</v>
      </c>
      <c r="U188" s="1">
        <v>4</v>
      </c>
      <c r="V188" s="1">
        <v>1</v>
      </c>
      <c r="W188" s="1">
        <v>4</v>
      </c>
      <c r="X188" s="1">
        <v>1</v>
      </c>
      <c r="Y188" s="1" t="s">
        <v>2027</v>
      </c>
      <c r="Z188" s="1">
        <v>1</v>
      </c>
      <c r="AA188" s="1" t="s">
        <v>2027</v>
      </c>
      <c r="AB188" s="1" t="s">
        <v>2027</v>
      </c>
      <c r="AC188" s="1" t="s">
        <v>2027</v>
      </c>
      <c r="AD188" s="1">
        <v>1</v>
      </c>
      <c r="AE188" s="1" t="s">
        <v>2027</v>
      </c>
      <c r="AF188" s="1">
        <v>1</v>
      </c>
      <c r="AG188" s="1">
        <v>6</v>
      </c>
      <c r="AH188" s="1">
        <v>6</v>
      </c>
      <c r="AI188" s="1">
        <v>4</v>
      </c>
      <c r="AJ188" s="52" t="s">
        <v>2029</v>
      </c>
      <c r="AK188" s="9">
        <f>($L$3*(L188-$Q$1)/$Q$2+$M$3*(M188-$R$1)/$R$2+$N$3*(N188-$S$1)/$S$2+$O$3*(O188-$T$1)/$T$2+$P$3*(P188-$U$1)/$U$2)/(SUM($L$3:$P$3))</f>
        <v>-2.0843433498275723</v>
      </c>
      <c r="AL188" s="9">
        <f>($L$3*(Q188-$Q$1)/$Q$2+$M$3*(R188-$R$1)/$R$2+$N$3*(S188-$S$1)/$S$2+$O$3*(T188-$T$1)/$T$2+$P$3*(U188-$U$1)/$U$2)/(SUM($L$3:$P$3))</f>
        <v>-0.2264091382612507</v>
      </c>
      <c r="AM188">
        <f>IF(AVERAGE(AG188:AH188)&gt;9,1,0)+IF(AVERAGE(AG188:AH188)&gt;7,1,0)+IF(AG188&gt;7,1,0)+IF(AH188&gt;7,1,0)+IF(AI188&gt;8,1,0)+IF(AI188&gt;6,1,0)</f>
        <v>0</v>
      </c>
      <c r="AN188" s="6">
        <f>MIN(2,IF(OR(Y188="-",X188&lt;5),0,1+IF(Y188&gt;7,1+IF(X188&gt;7,0.25,0),IF(Y188&gt;4,0.5+IF(X188&gt;7,0.25,0),0+IF(X188&gt;7,0.25))))+IF(Z188="-",0,IF(Z188&gt;9,0.5,IF(Z188&gt;7,0.25,0)))+IF(AA188="-",0,IF(AA188&gt;7,1.1,IF(AA188&gt;4,0.6,0)))+IF(OR(AB188="-",V188&lt;5),0,IF(AB188&gt;7,1+IF(V188&gt;7,0.25,0),IF(AB188&gt;4,0.5+IF(V188&gt;7,0.25,0),0)))+IF(AC188="-",0,IF(AC188&gt;7,1.5,IF(AC188&gt;4,1,0)))+IF(AD188="-",0,IF(AD188&gt;9,0.5,IF(AD188&gt;7,0.25,0)))+IF(AE188="-",0,IF(AE188&gt;7,1.25,IF(AE188&gt;4,0.75,0)))+IF(OR(AF188="-",W188&lt;4),0,IF(AF188&gt;7,1+IF(W188&gt;7,0.15,0),IF(AF188&gt;4,0.5+IF(W188&gt;7,0.15,0),0))))</f>
        <v>0</v>
      </c>
      <c r="AO188" s="9">
        <f>($AK$3*AK188+$AL$3*AL188+$AM$3*AM188+$AN$3*AN188)+$J$3*VLOOKUP(J188,COND!$A$2:$C$7,2,FALSE)+$K$3*VLOOKUP(K188,COND!$A$2:$C$7,3,FALSE)</f>
        <v>6.9746560058822347</v>
      </c>
      <c r="AP188" s="37">
        <f>STANDARDIZE(AO188,AVERAGE($AO$5:$AO$1295),STDEVP($AO$5:$AO$1295))</f>
        <v>-0.5128857521845348</v>
      </c>
      <c r="AQ188" t="str">
        <f>IF(AND(Y188&lt;&gt;"-",X188&gt;1),"C",IF(AA188=MAX(AA188:AC188),"2B",IF(AC188=MAX(AA188:AC188),"SS",IF(OR(AB188=MAX(Z188:AC188),AND(AB188&lt;&gt;"-",AB188&gt;4,V188&gt;5)),"3B",IF(AE188=MAX(AD188:AF188),"CF",IF(AND(AF188=MAX(AD188,AF188),AND(W188&gt;5,AD188&lt;&gt;"-")),"RF",IF(AD188&lt;&gt;"-","LF",IF(Z188&lt;&gt;"-","1B","DH"))))))))</f>
        <v>LF</v>
      </c>
      <c r="AR188" t="s">
        <v>35</v>
      </c>
      <c r="AU188" t="str">
        <f>IF(AND($Q188&gt;=6,AVERAGE($S188:$T188)&gt;=6),"Likely",IF(OR($Q188&gt;6,AND($Q188=6,AVERAGE($S188:$T188)&gt;=3),AND($Q188&gt;=5,AVERAGE($S188:$T188)&gt;=5),AVERAGE($Q188,$S188:$T188)&gt;5),"Possible","Unlikely"))</f>
        <v>Unlikely</v>
      </c>
      <c r="AW188" t="str">
        <f>IF(VLOOKUP($B188,'Draft List'!$D$4:$AB$2598,AW$3,FALSE)&lt;&gt;0,VLOOKUP($B188,'Draft List'!$D$4:$AB$2598,AW$3,FALSE),"")</f>
        <v/>
      </c>
      <c r="AX188" t="str">
        <f>IF(VLOOKUP($B188,'Draft List'!$D$4:$AB$2598,AX$3,FALSE)&lt;&gt;0,VLOOKUP($B188,'Draft List'!$D$4:$AB$2598,AX$3,FALSE),"")</f>
        <v/>
      </c>
      <c r="AY188" t="str">
        <f>IF(VLOOKUP($B188,'Draft List'!$D$4:$AB$2598,AY$3,FALSE)&lt;&gt;0,VLOOKUP($B188,'Draft List'!$D$4:$AB$2598,AY$3,FALSE),"")</f>
        <v/>
      </c>
    </row>
    <row r="189" spans="1:51">
      <c r="A189" t="str">
        <f>IF(C189="C","C-",C189)&amp;D189&amp;E189</f>
        <v>RFJuan Carlos Robles21</v>
      </c>
      <c r="B189">
        <f>VLOOKUP($A189,draft_listing_batters_stats!$A$1:$B$1324,2,FALSE)</f>
        <v>2689</v>
      </c>
      <c r="C189" s="1" t="s">
        <v>2057</v>
      </c>
      <c r="D189" s="1" t="s">
        <v>1205</v>
      </c>
      <c r="E189" s="1">
        <v>21</v>
      </c>
      <c r="F189" s="1" t="s">
        <v>2022</v>
      </c>
      <c r="G189" s="1" t="s">
        <v>2022</v>
      </c>
      <c r="H189" s="1" t="s">
        <v>2033</v>
      </c>
      <c r="I189" s="1" t="s">
        <v>2033</v>
      </c>
      <c r="J189" s="1" t="s">
        <v>2026</v>
      </c>
      <c r="K189" s="1" t="s">
        <v>2030</v>
      </c>
      <c r="L189" s="1">
        <v>3</v>
      </c>
      <c r="M189" s="1">
        <v>2</v>
      </c>
      <c r="N189" s="1">
        <v>2</v>
      </c>
      <c r="O189" s="1">
        <v>1</v>
      </c>
      <c r="P189" s="1">
        <v>2</v>
      </c>
      <c r="Q189" s="1">
        <v>5</v>
      </c>
      <c r="R189" s="1">
        <v>2</v>
      </c>
      <c r="S189" s="1">
        <v>4</v>
      </c>
      <c r="T189" s="1">
        <v>2</v>
      </c>
      <c r="U189" s="1">
        <v>4</v>
      </c>
      <c r="V189" s="1">
        <v>1</v>
      </c>
      <c r="W189" s="1">
        <v>7</v>
      </c>
      <c r="X189" s="1">
        <v>1</v>
      </c>
      <c r="Y189" s="1" t="s">
        <v>2027</v>
      </c>
      <c r="Z189" s="1" t="s">
        <v>2027</v>
      </c>
      <c r="AA189" s="1" t="s">
        <v>2027</v>
      </c>
      <c r="AB189" s="1" t="s">
        <v>2027</v>
      </c>
      <c r="AC189" s="1" t="s">
        <v>2027</v>
      </c>
      <c r="AD189" s="1">
        <v>2</v>
      </c>
      <c r="AE189" s="1" t="s">
        <v>2027</v>
      </c>
      <c r="AF189" s="1">
        <v>2</v>
      </c>
      <c r="AG189" s="1">
        <v>7</v>
      </c>
      <c r="AH189" s="1">
        <v>9</v>
      </c>
      <c r="AI189" s="1">
        <v>8</v>
      </c>
      <c r="AJ189" s="52" t="s">
        <v>2029</v>
      </c>
      <c r="AK189" s="9">
        <f>($L$3*(L189-$Q$1)/$Q$2+$M$3*(M189-$R$1)/$R$2+$N$3*(N189-$S$1)/$S$2+$O$3*(O189-$T$1)/$T$2+$P$3*(P189-$U$1)/$U$2)/(SUM($L$3:$P$3))</f>
        <v>-1.265093963962534</v>
      </c>
      <c r="AL189" s="9">
        <f>($L$3*(Q189-$Q$1)/$Q$2+$M$3*(R189-$R$1)/$R$2+$N$3*(S189-$S$1)/$S$2+$O$3*(T189-$T$1)/$T$2+$P$3*(U189-$U$1)/$U$2)/(SUM($L$3:$P$3))</f>
        <v>-0.28411707386563373</v>
      </c>
      <c r="AM189">
        <f>IF(AVERAGE(AG189:AH189)&gt;9,1,0)+IF(AVERAGE(AG189:AH189)&gt;7,1,0)+IF(AG189&gt;7,1,0)+IF(AH189&gt;7,1,0)+IF(AI189&gt;8,1,0)+IF(AI189&gt;6,1,0)</f>
        <v>3</v>
      </c>
      <c r="AN189" s="6">
        <f>MIN(2,IF(OR(Y189="-",X189&lt;5),0,1+IF(Y189&gt;7,1+IF(X189&gt;7,0.25,0),IF(Y189&gt;4,0.5+IF(X189&gt;7,0.25,0),0+IF(X189&gt;7,0.25))))+IF(Z189="-",0,IF(Z189&gt;9,0.5,IF(Z189&gt;7,0.25,0)))+IF(AA189="-",0,IF(AA189&gt;7,1.1,IF(AA189&gt;4,0.6,0)))+IF(OR(AB189="-",V189&lt;5),0,IF(AB189&gt;7,1+IF(V189&gt;7,0.25,0),IF(AB189&gt;4,0.5+IF(V189&gt;7,0.25,0),0)))+IF(AC189="-",0,IF(AC189&gt;7,1.5,IF(AC189&gt;4,1,0)))+IF(AD189="-",0,IF(AD189&gt;9,0.5,IF(AD189&gt;7,0.25,0)))+IF(AE189="-",0,IF(AE189&gt;7,1.25,IF(AE189&gt;4,0.75,0)))+IF(OR(AF189="-",W189&lt;4),0,IF(AF189&gt;7,1+IF(W189&gt;7,0.15,0),IF(AF189&gt;4,0.5+IF(W189&gt;7,0.15,0),0))))</f>
        <v>0</v>
      </c>
      <c r="AO189" s="9">
        <f>($AK$3*AK189+$AL$3*AL189+$AM$3*AM189+$AN$3*AN189)+$J$3*VLOOKUP(J189,COND!$A$2:$C$7,2,FALSE)+$K$3*VLOOKUP(K189,COND!$A$2:$C$7,3,FALSE)</f>
        <v>6.9640857172161414</v>
      </c>
      <c r="AP189" s="37">
        <f>STANDARDIZE(AO189,AVERAGE($AO$5:$AO$1295),STDEVP($AO$5:$AO$1295))</f>
        <v>-0.51435421529811132</v>
      </c>
      <c r="AQ189" t="str">
        <f>IF(AND(Y189&lt;&gt;"-",X189&gt;1),"C",IF(AA189=MAX(AA189:AC189),"2B",IF(AC189=MAX(AA189:AC189),"SS",IF(OR(AB189=MAX(Z189:AC189),AND(AB189&lt;&gt;"-",AB189&gt;4,V189&gt;5)),"3B",IF(AE189=MAX(AD189:AF189),"CF",IF(AND(AF189=MAX(AD189,AF189),AND(W189&gt;5,AD189&lt;&gt;"-")),"RF",IF(AD189&lt;&gt;"-","LF",IF(Z189&lt;&gt;"-","1B","DH"))))))))</f>
        <v>RF</v>
      </c>
      <c r="AR189" t="s">
        <v>35</v>
      </c>
      <c r="AU189" t="str">
        <f>IF(AND($Q189&gt;=6,AVERAGE($S189:$T189)&gt;=6),"Likely",IF(OR($Q189&gt;6,AND($Q189=6,AVERAGE($S189:$T189)&gt;=3),AND($Q189&gt;=5,AVERAGE($S189:$T189)&gt;=5),AVERAGE($Q189,$S189:$T189)&gt;5),"Possible","Unlikely"))</f>
        <v>Unlikely</v>
      </c>
      <c r="AW189" t="str">
        <f>IF(VLOOKUP($B189,'Draft List'!$D$4:$AB$2598,AW$3,FALSE)&lt;&gt;0,VLOOKUP($B189,'Draft List'!$D$4:$AB$2598,AW$3,FALSE),"")</f>
        <v/>
      </c>
      <c r="AX189" t="str">
        <f>IF(VLOOKUP($B189,'Draft List'!$D$4:$AB$2598,AX$3,FALSE)&lt;&gt;0,VLOOKUP($B189,'Draft List'!$D$4:$AB$2598,AX$3,FALSE),"")</f>
        <v/>
      </c>
      <c r="AY189" t="str">
        <f>IF(VLOOKUP($B189,'Draft List'!$D$4:$AB$2598,AY$3,FALSE)&lt;&gt;0,VLOOKUP($B189,'Draft List'!$D$4:$AB$2598,AY$3,FALSE),"")</f>
        <v/>
      </c>
    </row>
    <row r="190" spans="1:51">
      <c r="A190" t="str">
        <f>IF(C190="C","C-",C190)&amp;D190&amp;E190</f>
        <v>3BAubrey Fleury21</v>
      </c>
      <c r="B190">
        <f>VLOOKUP($A190,draft_listing_batters_stats!$A$1:$B$1324,2,FALSE)</f>
        <v>3322</v>
      </c>
      <c r="C190" s="1" t="s">
        <v>2061</v>
      </c>
      <c r="D190" s="1" t="s">
        <v>1496</v>
      </c>
      <c r="E190" s="1">
        <v>21</v>
      </c>
      <c r="F190" s="1" t="s">
        <v>2022</v>
      </c>
      <c r="G190" s="1" t="s">
        <v>2022</v>
      </c>
      <c r="H190" s="1" t="s">
        <v>2033</v>
      </c>
      <c r="I190" s="1" t="s">
        <v>2033</v>
      </c>
      <c r="J190" s="1" t="s">
        <v>2040</v>
      </c>
      <c r="K190" s="1" t="s">
        <v>2025</v>
      </c>
      <c r="L190" s="1">
        <v>3</v>
      </c>
      <c r="M190" s="1">
        <v>3</v>
      </c>
      <c r="N190" s="1">
        <v>1</v>
      </c>
      <c r="O190" s="1">
        <v>2</v>
      </c>
      <c r="P190" s="1">
        <v>1</v>
      </c>
      <c r="Q190" s="1">
        <v>5</v>
      </c>
      <c r="R190" s="1">
        <v>5</v>
      </c>
      <c r="S190" s="1">
        <v>2</v>
      </c>
      <c r="T190" s="1">
        <v>3</v>
      </c>
      <c r="U190" s="1">
        <v>4</v>
      </c>
      <c r="V190" s="1">
        <v>5</v>
      </c>
      <c r="W190" s="1">
        <v>3</v>
      </c>
      <c r="X190" s="1">
        <v>1</v>
      </c>
      <c r="Y190" s="1" t="s">
        <v>2027</v>
      </c>
      <c r="Z190" s="1">
        <v>5</v>
      </c>
      <c r="AA190" s="1" t="s">
        <v>2027</v>
      </c>
      <c r="AB190" s="1">
        <v>3</v>
      </c>
      <c r="AC190" s="1" t="s">
        <v>2027</v>
      </c>
      <c r="AD190" s="1" t="s">
        <v>2027</v>
      </c>
      <c r="AE190" s="1" t="s">
        <v>2027</v>
      </c>
      <c r="AF190" s="1" t="s">
        <v>2027</v>
      </c>
      <c r="AG190" s="1">
        <v>6</v>
      </c>
      <c r="AH190" s="1">
        <v>5</v>
      </c>
      <c r="AI190" s="1">
        <v>4</v>
      </c>
      <c r="AJ190" s="52" t="s">
        <v>2029</v>
      </c>
      <c r="AK190" s="9">
        <f>($L$3*(L190-$Q$1)/$Q$2+$M$3*(M190-$R$1)/$R$2+$N$3*(N190-$S$1)/$S$2+$O$3*(O190-$T$1)/$T$2+$P$3*(P190-$U$1)/$U$2)/(SUM($L$3:$P$3))</f>
        <v>-1.2474023681752344</v>
      </c>
      <c r="AL190" s="9">
        <f>($L$3*(Q190-$Q$1)/$Q$2+$M$3*(R190-$R$1)/$R$2+$N$3*(S190-$S$1)/$S$2+$O$3*(T190-$T$1)/$T$2+$P$3*(U190-$U$1)/$U$2)/(SUM($L$3:$P$3))</f>
        <v>-0.20735087304774522</v>
      </c>
      <c r="AM190">
        <f>IF(AVERAGE(AG190:AH190)&gt;9,1,0)+IF(AVERAGE(AG190:AH190)&gt;7,1,0)+IF(AG190&gt;7,1,0)+IF(AH190&gt;7,1,0)+IF(AI190&gt;8,1,0)+IF(AI190&gt;6,1,0)</f>
        <v>0</v>
      </c>
      <c r="AN190" s="6">
        <f>MIN(2,IF(OR(Y190="-",X190&lt;5),0,1+IF(Y190&gt;7,1+IF(X190&gt;7,0.25,0),IF(Y190&gt;4,0.5+IF(X190&gt;7,0.25,0),0+IF(X190&gt;7,0.25))))+IF(Z190="-",0,IF(Z190&gt;9,0.5,IF(Z190&gt;7,0.25,0)))+IF(AA190="-",0,IF(AA190&gt;7,1.1,IF(AA190&gt;4,0.6,0)))+IF(OR(AB190="-",V190&lt;5),0,IF(AB190&gt;7,1+IF(V190&gt;7,0.25,0),IF(AB190&gt;4,0.5+IF(V190&gt;7,0.25,0),0)))+IF(AC190="-",0,IF(AC190&gt;7,1.5,IF(AC190&gt;4,1,0)))+IF(AD190="-",0,IF(AD190&gt;9,0.5,IF(AD190&gt;7,0.25,0)))+IF(AE190="-",0,IF(AE190&gt;7,1.25,IF(AE190&gt;4,0.75,0)))+IF(OR(AF190="-",W190&lt;4),0,IF(AF190&gt;7,1+IF(W190&gt;7,0.15,0),IF(AF190&gt;4,0.5+IF(W190&gt;7,0.15,0),0))))</f>
        <v>0</v>
      </c>
      <c r="AO190" s="9">
        <f>($AK$3*AK190+$AL$3*AL190+$AM$3*AM190+$AN$3*AN190)+$J$3*VLOOKUP(J190,COND!$A$2:$C$7,2,FALSE)+$K$3*VLOOKUP(K190,COND!$A$2:$C$7,3,FALSE)</f>
        <v>6.8870492866095336</v>
      </c>
      <c r="AP190" s="37">
        <f>STANDARDIZE(AO190,AVERAGE($AO$5:$AO$1295),STDEVP($AO$5:$AO$1295))</f>
        <v>-0.52505639764345002</v>
      </c>
      <c r="AQ190" t="str">
        <f>IF(AND(Y190&lt;&gt;"-",X190&gt;1),"C",IF(AA190=MAX(AA190:AC190),"2B",IF(AC190=MAX(AA190:AC190),"SS",IF(OR(AB190=MAX(Z190:AC190),AND(AB190&lt;&gt;"-",AB190&gt;4,V190&gt;5)),"3B",IF(AE190=MAX(AD190:AF190),"CF",IF(AND(AF190=MAX(AD190,AF190),AND(W190&gt;5,AD190&lt;&gt;"-")),"RF",IF(AD190&lt;&gt;"-","LF",IF(Z190&lt;&gt;"-","1B","DH"))))))))</f>
        <v>1B</v>
      </c>
      <c r="AR190" t="s">
        <v>35</v>
      </c>
      <c r="AU190" t="str">
        <f>IF(AND($Q190&gt;=6,AVERAGE($S190:$T190)&gt;=6),"Likely",IF(OR($Q190&gt;6,AND($Q190=6,AVERAGE($S190:$T190)&gt;=3),AND($Q190&gt;=5,AVERAGE($S190:$T190)&gt;=5),AVERAGE($Q190,$S190:$T190)&gt;5),"Possible","Unlikely"))</f>
        <v>Unlikely</v>
      </c>
      <c r="AW190" t="e">
        <f>IF(VLOOKUP($B190,'Draft List'!$D$4:$AB$2598,AW$3,FALSE)&lt;&gt;0,VLOOKUP($B190,'Draft List'!$D$4:$AB$2598,AW$3,FALSE),"")</f>
        <v>#N/A</v>
      </c>
      <c r="AX190" t="e">
        <f>IF(VLOOKUP($B190,'Draft List'!$D$4:$AB$2598,AX$3,FALSE)&lt;&gt;0,VLOOKUP($B190,'Draft List'!$D$4:$AB$2598,AX$3,FALSE),"")</f>
        <v>#N/A</v>
      </c>
      <c r="AY190" t="e">
        <f>IF(VLOOKUP($B190,'Draft List'!$D$4:$AB$2598,AY$3,FALSE)&lt;&gt;0,VLOOKUP($B190,'Draft List'!$D$4:$AB$2598,AY$3,FALSE),"")</f>
        <v>#N/A</v>
      </c>
    </row>
    <row r="191" spans="1:51">
      <c r="A191" t="str">
        <f>IF(C191="C","C-",C191)&amp;D191&amp;E191</f>
        <v>1BNate Boyce21</v>
      </c>
      <c r="B191">
        <f>VLOOKUP($A191,draft_listing_batters_stats!$A$1:$B$1324,2,FALSE)</f>
        <v>2984</v>
      </c>
      <c r="C191" s="1" t="s">
        <v>2092</v>
      </c>
      <c r="D191" s="1" t="s">
        <v>1459</v>
      </c>
      <c r="E191" s="1">
        <v>21</v>
      </c>
      <c r="F191" s="1" t="s">
        <v>2022</v>
      </c>
      <c r="G191" s="1" t="s">
        <v>2038</v>
      </c>
      <c r="H191" s="1" t="s">
        <v>2033</v>
      </c>
      <c r="I191" s="1" t="s">
        <v>2033</v>
      </c>
      <c r="J191" s="1" t="s">
        <v>2040</v>
      </c>
      <c r="K191" s="1" t="s">
        <v>2026</v>
      </c>
      <c r="L191" s="1">
        <v>2</v>
      </c>
      <c r="M191" s="1">
        <v>3</v>
      </c>
      <c r="N191" s="1">
        <v>1</v>
      </c>
      <c r="O191" s="1">
        <v>2</v>
      </c>
      <c r="P191" s="1">
        <v>1</v>
      </c>
      <c r="Q191" s="1">
        <v>5</v>
      </c>
      <c r="R191" s="1">
        <v>5</v>
      </c>
      <c r="S191" s="1">
        <v>2</v>
      </c>
      <c r="T191" s="1">
        <v>3</v>
      </c>
      <c r="U191" s="1">
        <v>4</v>
      </c>
      <c r="V191" s="1">
        <v>2</v>
      </c>
      <c r="W191" s="1">
        <v>2</v>
      </c>
      <c r="X191" s="1">
        <v>1</v>
      </c>
      <c r="Y191" s="1" t="s">
        <v>2027</v>
      </c>
      <c r="Z191" s="1">
        <v>2</v>
      </c>
      <c r="AA191" s="1" t="s">
        <v>2027</v>
      </c>
      <c r="AB191" s="1" t="s">
        <v>2027</v>
      </c>
      <c r="AC191" s="1" t="s">
        <v>2027</v>
      </c>
      <c r="AD191" s="1" t="s">
        <v>2027</v>
      </c>
      <c r="AE191" s="1" t="s">
        <v>2027</v>
      </c>
      <c r="AF191" s="1" t="s">
        <v>2027</v>
      </c>
      <c r="AG191" s="1">
        <v>2</v>
      </c>
      <c r="AH191" s="1">
        <v>1</v>
      </c>
      <c r="AI191" s="1">
        <v>1</v>
      </c>
      <c r="AJ191" s="52" t="s">
        <v>2029</v>
      </c>
      <c r="AK191" s="9">
        <f>($L$3*(L191-$Q$1)/$Q$2+$M$3*(M191-$R$1)/$R$2+$N$3*(N191-$S$1)/$S$2+$O$3*(O191-$T$1)/$T$2+$P$3*(P191-$U$1)/$U$2)/(SUM($L$3:$P$3))</f>
        <v>-1.5699582043779094</v>
      </c>
      <c r="AL191" s="9">
        <f>($L$3*(Q191-$Q$1)/$Q$2+$M$3*(R191-$R$1)/$R$2+$N$3*(S191-$S$1)/$S$2+$O$3*(T191-$T$1)/$T$2+$P$3*(U191-$U$1)/$U$2)/(SUM($L$3:$P$3))</f>
        <v>-0.20735087304774522</v>
      </c>
      <c r="AM191">
        <f>IF(AVERAGE(AG191:AH191)&gt;9,1,0)+IF(AVERAGE(AG191:AH191)&gt;7,1,0)+IF(AG191&gt;7,1,0)+IF(AH191&gt;7,1,0)+IF(AI191&gt;8,1,0)+IF(AI191&gt;6,1,0)</f>
        <v>0</v>
      </c>
      <c r="AN191" s="6">
        <f>MIN(2,IF(OR(Y191="-",X191&lt;5),0,1+IF(Y191&gt;7,1+IF(X191&gt;7,0.25,0),IF(Y191&gt;4,0.5+IF(X191&gt;7,0.25,0),0+IF(X191&gt;7,0.25))))+IF(Z191="-",0,IF(Z191&gt;9,0.5,IF(Z191&gt;7,0.25,0)))+IF(AA191="-",0,IF(AA191&gt;7,1.1,IF(AA191&gt;4,0.6,0)))+IF(OR(AB191="-",V191&lt;5),0,IF(AB191&gt;7,1+IF(V191&gt;7,0.25,0),IF(AB191&gt;4,0.5+IF(V191&gt;7,0.25,0),0)))+IF(AC191="-",0,IF(AC191&gt;7,1.5,IF(AC191&gt;4,1,0)))+IF(AD191="-",0,IF(AD191&gt;9,0.5,IF(AD191&gt;7,0.25,0)))+IF(AE191="-",0,IF(AE191&gt;7,1.25,IF(AE191&gt;4,0.75,0)))+IF(OR(AF191="-",W191&lt;4),0,IF(AF191&gt;7,1+IF(W191&gt;7,0.15,0),IF(AF191&gt;4,0.5+IF(W191&gt;7,0.15,0),0))))</f>
        <v>0</v>
      </c>
      <c r="AO191" s="9">
        <f>($AK$3*AK191+$AL$3*AL191+$AM$3*AM191+$AN$3*AN191)+$J$3*VLOOKUP(J191,COND!$A$2:$C$7,2,FALSE)+$K$3*VLOOKUP(K191,COND!$A$2:$C$7,3,FALSE)</f>
        <v>6.7547937029892671</v>
      </c>
      <c r="AP191" s="37">
        <f>STANDARDIZE(AO191,AVERAGE($AO$5:$AO$1295),STDEVP($AO$5:$AO$1295))</f>
        <v>-0.54342982643483917</v>
      </c>
      <c r="AQ191" t="str">
        <f>IF(AND(Y191&lt;&gt;"-",X191&gt;1),"C",IF(AA191=MAX(AA191:AC191),"2B",IF(AC191=MAX(AA191:AC191),"SS",IF(OR(AB191=MAX(Z191:AC191),AND(AB191&lt;&gt;"-",AB191&gt;4,V191&gt;5)),"3B",IF(AE191=MAX(AD191:AF191),"CF",IF(AND(AF191=MAX(AD191,AF191),AND(W191&gt;5,AD191&lt;&gt;"-")),"RF",IF(AD191&lt;&gt;"-","LF",IF(Z191&lt;&gt;"-","1B","DH"))))))))</f>
        <v>1B</v>
      </c>
      <c r="AR191" t="s">
        <v>35</v>
      </c>
      <c r="AU191" t="str">
        <f>IF(AND($Q191&gt;=6,AVERAGE($S191:$T191)&gt;=6),"Likely",IF(OR($Q191&gt;6,AND($Q191=6,AVERAGE($S191:$T191)&gt;=3),AND($Q191&gt;=5,AVERAGE($S191:$T191)&gt;=5),AVERAGE($Q191,$S191:$T191)&gt;5),"Possible","Unlikely"))</f>
        <v>Unlikely</v>
      </c>
      <c r="AW191" t="str">
        <f>IF(VLOOKUP($B191,'Draft List'!$D$4:$AB$2598,AW$3,FALSE)&lt;&gt;0,VLOOKUP($B191,'Draft List'!$D$4:$AB$2598,AW$3,FALSE),"")</f>
        <v/>
      </c>
      <c r="AX191" t="str">
        <f>IF(VLOOKUP($B191,'Draft List'!$D$4:$AB$2598,AX$3,FALSE)&lt;&gt;0,VLOOKUP($B191,'Draft List'!$D$4:$AB$2598,AX$3,FALSE),"")</f>
        <v/>
      </c>
      <c r="AY191" t="str">
        <f>IF(VLOOKUP($B191,'Draft List'!$D$4:$AB$2598,AY$3,FALSE)&lt;&gt;0,VLOOKUP($B191,'Draft List'!$D$4:$AB$2598,AY$3,FALSE),"")</f>
        <v/>
      </c>
    </row>
    <row r="192" spans="1:51">
      <c r="A192" t="str">
        <f>IF(C192="C","C-",C192)&amp;D192&amp;E192</f>
        <v>C-Alan Bradshaw18</v>
      </c>
      <c r="B192">
        <f>VLOOKUP($A192,draft_listing_batters_stats!$A$1:$B$1324,2,FALSE)</f>
        <v>13763</v>
      </c>
      <c r="C192" s="1" t="s">
        <v>2091</v>
      </c>
      <c r="D192" s="1" t="s">
        <v>1461</v>
      </c>
      <c r="E192" s="1">
        <v>18</v>
      </c>
      <c r="F192" s="1" t="s">
        <v>2022</v>
      </c>
      <c r="G192" s="1" t="s">
        <v>2022</v>
      </c>
      <c r="H192" s="1" t="s">
        <v>2033</v>
      </c>
      <c r="I192" s="1" t="s">
        <v>2033</v>
      </c>
      <c r="J192" s="1" t="s">
        <v>2040</v>
      </c>
      <c r="K192" s="1" t="s">
        <v>2030</v>
      </c>
      <c r="L192" s="1">
        <v>1</v>
      </c>
      <c r="M192" s="1">
        <v>2</v>
      </c>
      <c r="N192" s="1">
        <v>1</v>
      </c>
      <c r="O192" s="1">
        <v>1</v>
      </c>
      <c r="P192" s="1">
        <v>1</v>
      </c>
      <c r="Q192" s="1">
        <v>5</v>
      </c>
      <c r="R192" s="1">
        <v>5</v>
      </c>
      <c r="S192" s="1">
        <v>1</v>
      </c>
      <c r="T192" s="1">
        <v>3</v>
      </c>
      <c r="U192" s="1">
        <v>4</v>
      </c>
      <c r="V192" s="1">
        <v>4</v>
      </c>
      <c r="W192" s="1">
        <v>3</v>
      </c>
      <c r="X192" s="1">
        <v>4</v>
      </c>
      <c r="Y192" s="1" t="s">
        <v>2027</v>
      </c>
      <c r="Z192" s="1" t="s">
        <v>2027</v>
      </c>
      <c r="AA192" s="1" t="s">
        <v>2027</v>
      </c>
      <c r="AB192" s="1" t="s">
        <v>2027</v>
      </c>
      <c r="AC192" s="1" t="s">
        <v>2027</v>
      </c>
      <c r="AD192" s="1" t="s">
        <v>2027</v>
      </c>
      <c r="AE192" s="1" t="s">
        <v>2027</v>
      </c>
      <c r="AF192" s="1" t="s">
        <v>2027</v>
      </c>
      <c r="AG192" s="1">
        <v>8</v>
      </c>
      <c r="AH192" s="1">
        <v>9</v>
      </c>
      <c r="AI192" s="1">
        <v>10</v>
      </c>
      <c r="AJ192" s="52" t="s">
        <v>2029</v>
      </c>
      <c r="AK192" s="9">
        <f>($L$3*(L192-$Q$1)/$Q$2+$M$3*(M192-$R$1)/$R$2+$N$3*(N192-$S$1)/$S$2+$O$3*(O192-$T$1)/$T$2+$P$3*(P192-$U$1)/$U$2)/(SUM($L$3:$P$3))</f>
        <v>-2.0332834702088682</v>
      </c>
      <c r="AL192" s="9">
        <f>($L$3*(Q192-$Q$1)/$Q$2+$M$3*(R192-$R$1)/$R$2+$N$3*(S192-$S$1)/$S$2+$O$3*(T192-$T$1)/$T$2+$P$3*(U192-$U$1)/$U$2)/(SUM($L$3:$P$3))</f>
        <v>-0.29041236707164669</v>
      </c>
      <c r="AM192">
        <f>IF(AVERAGE(AG192:AH192)&gt;9,1,0)+IF(AVERAGE(AG192:AH192)&gt;7,1,0)+IF(AG192&gt;7,1,0)+IF(AH192&gt;7,1,0)+IF(AI192&gt;8,1,0)+IF(AI192&gt;6,1,0)</f>
        <v>5</v>
      </c>
      <c r="AN192" s="6">
        <f>MIN(2,IF(OR(Y192="-",X192&lt;5),0,1+IF(Y192&gt;7,1+IF(X192&gt;7,0.25,0),IF(Y192&gt;4,0.5+IF(X192&gt;7,0.25,0),0+IF(X192&gt;7,0.25))))+IF(Z192="-",0,IF(Z192&gt;9,0.5,IF(Z192&gt;7,0.25,0)))+IF(AA192="-",0,IF(AA192&gt;7,1.1,IF(AA192&gt;4,0.6,0)))+IF(OR(AB192="-",V192&lt;5),0,IF(AB192&gt;7,1+IF(V192&gt;7,0.25,0),IF(AB192&gt;4,0.5+IF(V192&gt;7,0.25,0),0)))+IF(AC192="-",0,IF(AC192&gt;7,1.5,IF(AC192&gt;4,1,0)))+IF(AD192="-",0,IF(AD192&gt;9,0.5,IF(AD192&gt;7,0.25,0)))+IF(AE192="-",0,IF(AE192&gt;7,1.25,IF(AE192&gt;4,0.75,0)))+IF(OR(AF192="-",W192&lt;4),0,IF(AF192&gt;7,1+IF(W192&gt;7,0.15,0),IF(AF192&gt;4,0.5+IF(W192&gt;7,0.15,0),0))))</f>
        <v>0</v>
      </c>
      <c r="AO192" s="9">
        <f>($AK$3*AK192+$AL$3*AL192+$AM$3*AM192+$AN$3*AN192)+$J$3*VLOOKUP(J192,COND!$A$2:$C$7,2,FALSE)+$K$3*VLOOKUP(K192,COND!$A$2:$C$7,3,FALSE)</f>
        <v>6.7450565814526859</v>
      </c>
      <c r="AP192" s="37">
        <f>STANDARDIZE(AO192,AVERAGE($AO$5:$AO$1295),STDEVP($AO$5:$AO$1295))</f>
        <v>-0.54478254292731743</v>
      </c>
      <c r="AQ192" t="str">
        <f>IF(AND(Y192&lt;&gt;"-",X192&gt;1),"C",IF(AA192=MAX(AA192:AC192),"2B",IF(AC192=MAX(AA192:AC192),"SS",IF(OR(AB192=MAX(Z192:AC192),AND(AB192&lt;&gt;"-",AB192&gt;4,V192&gt;5)),"3B",IF(AE192=MAX(AD192:AF192),"CF",IF(AND(AF192=MAX(AD192,AF192),AND(W192&gt;5,AD192&lt;&gt;"-")),"RF",IF(AD192&lt;&gt;"-","LF",IF(Z192&lt;&gt;"-","1B","DH"))))))))</f>
        <v>DH</v>
      </c>
      <c r="AR192" t="s">
        <v>35</v>
      </c>
      <c r="AU192" t="str">
        <f>IF(AND($Q192&gt;=6,AVERAGE($S192:$T192)&gt;=6),"Likely",IF(OR($Q192&gt;6,AND($Q192=6,AVERAGE($S192:$T192)&gt;=3),AND($Q192&gt;=5,AVERAGE($S192:$T192)&gt;=5),AVERAGE($Q192,$S192:$T192)&gt;5),"Possible","Unlikely"))</f>
        <v>Unlikely</v>
      </c>
      <c r="AW192" t="str">
        <f>IF(VLOOKUP($B192,'Draft List'!$D$4:$AB$2598,AW$3,FALSE)&lt;&gt;0,VLOOKUP($B192,'Draft List'!$D$4:$AB$2598,AW$3,FALSE),"")</f>
        <v/>
      </c>
      <c r="AX192" t="str">
        <f>IF(VLOOKUP($B192,'Draft List'!$D$4:$AB$2598,AX$3,FALSE)&lt;&gt;0,VLOOKUP($B192,'Draft List'!$D$4:$AB$2598,AX$3,FALSE),"")</f>
        <v/>
      </c>
      <c r="AY192" t="str">
        <f>IF(VLOOKUP($B192,'Draft List'!$D$4:$AB$2598,AY$3,FALSE)&lt;&gt;0,VLOOKUP($B192,'Draft List'!$D$4:$AB$2598,AY$3,FALSE),"")</f>
        <v/>
      </c>
    </row>
    <row r="193" spans="1:51">
      <c r="A193" t="str">
        <f>IF(C193="C","C-",C193)&amp;D193&amp;E193</f>
        <v>1BCarlos Ilana18</v>
      </c>
      <c r="B193">
        <f>VLOOKUP($A193,draft_listing_batters_stats!$A$1:$B$1324,2,FALSE)</f>
        <v>13811</v>
      </c>
      <c r="C193" s="1" t="s">
        <v>2092</v>
      </c>
      <c r="D193" s="1" t="s">
        <v>1319</v>
      </c>
      <c r="E193" s="1">
        <v>18</v>
      </c>
      <c r="F193" s="1" t="s">
        <v>2022</v>
      </c>
      <c r="G193" s="1" t="s">
        <v>2022</v>
      </c>
      <c r="H193" s="1" t="s">
        <v>2033</v>
      </c>
      <c r="I193" s="1" t="s">
        <v>2033</v>
      </c>
      <c r="J193" s="1" t="s">
        <v>2036</v>
      </c>
      <c r="K193" s="1" t="s">
        <v>2040</v>
      </c>
      <c r="L193" s="1">
        <v>1</v>
      </c>
      <c r="M193" s="1">
        <v>1</v>
      </c>
      <c r="N193" s="1">
        <v>1</v>
      </c>
      <c r="O193" s="1">
        <v>1</v>
      </c>
      <c r="P193" s="1">
        <v>1</v>
      </c>
      <c r="Q193" s="1">
        <v>5</v>
      </c>
      <c r="R193" s="1">
        <v>3</v>
      </c>
      <c r="S193" s="1">
        <v>4</v>
      </c>
      <c r="T193" s="1">
        <v>2</v>
      </c>
      <c r="U193" s="1">
        <v>4</v>
      </c>
      <c r="V193" s="1">
        <v>4</v>
      </c>
      <c r="W193" s="1">
        <v>1</v>
      </c>
      <c r="X193" s="1">
        <v>1</v>
      </c>
      <c r="Y193" s="1" t="s">
        <v>2027</v>
      </c>
      <c r="Z193" s="1">
        <v>2</v>
      </c>
      <c r="AA193" s="1" t="s">
        <v>2027</v>
      </c>
      <c r="AB193" s="1" t="s">
        <v>2027</v>
      </c>
      <c r="AC193" s="1" t="s">
        <v>2027</v>
      </c>
      <c r="AD193" s="1" t="s">
        <v>2027</v>
      </c>
      <c r="AE193" s="1" t="s">
        <v>2027</v>
      </c>
      <c r="AF193" s="1" t="s">
        <v>2027</v>
      </c>
      <c r="AG193" s="1">
        <v>3</v>
      </c>
      <c r="AH193" s="1">
        <v>2</v>
      </c>
      <c r="AI193" s="1">
        <v>2</v>
      </c>
      <c r="AJ193" s="52">
        <v>2800000</v>
      </c>
      <c r="AK193" s="9">
        <f>($L$3*(L193-$Q$1)/$Q$2+$M$3*(M193-$R$1)/$R$2+$N$3*(N193-$S$1)/$S$2+$O$3*(O193-$T$1)/$T$2+$P$3*(P193-$U$1)/$U$2)/(SUM($L$3:$P$3))</f>
        <v>-2.0843433498275723</v>
      </c>
      <c r="AL193" s="9">
        <f>($L$3*(Q193-$Q$1)/$Q$2+$M$3*(R193-$R$1)/$R$2+$N$3*(S193-$S$1)/$S$2+$O$3*(T193-$T$1)/$T$2+$P$3*(U193-$U$1)/$U$2)/(SUM($L$3:$P$3))</f>
        <v>-0.23305719424693025</v>
      </c>
      <c r="AM193">
        <f>IF(AVERAGE(AG193:AH193)&gt;9,1,0)+IF(AVERAGE(AG193:AH193)&gt;7,1,0)+IF(AG193&gt;7,1,0)+IF(AH193&gt;7,1,0)+IF(AI193&gt;8,1,0)+IF(AI193&gt;6,1,0)</f>
        <v>0</v>
      </c>
      <c r="AN193" s="6">
        <f>MIN(2,IF(OR(Y193="-",X193&lt;5),0,1+IF(Y193&gt;7,1+IF(X193&gt;7,0.25,0),IF(Y193&gt;4,0.5+IF(X193&gt;7,0.25,0),0+IF(X193&gt;7,0.25))))+IF(Z193="-",0,IF(Z193&gt;9,0.5,IF(Z193&gt;7,0.25,0)))+IF(AA193="-",0,IF(AA193&gt;7,1.1,IF(AA193&gt;4,0.6,0)))+IF(OR(AB193="-",V193&lt;5),0,IF(AB193&gt;7,1+IF(V193&gt;7,0.25,0),IF(AB193&gt;4,0.5+IF(V193&gt;7,0.25,0),0)))+IF(AC193="-",0,IF(AC193&gt;7,1.5,IF(AC193&gt;4,1,0)))+IF(AD193="-",0,IF(AD193&gt;9,0.5,IF(AD193&gt;7,0.25,0)))+IF(AE193="-",0,IF(AE193&gt;7,1.25,IF(AE193&gt;4,0.75,0)))+IF(OR(AF193="-",W193&lt;4),0,IF(AF193&gt;7,1+IF(W193&gt;7,0.15,0),IF(AF193&gt;4,0.5+IF(W193&gt;7,0.15,0),0))))</f>
        <v>0</v>
      </c>
      <c r="AO193" s="9">
        <f>($AK$3*AK193+$AL$3*AL193+$AM$3*AM193+$AN$3*AN193)+$J$3*VLOOKUP(J193,COND!$A$2:$C$7,2,FALSE)+$K$3*VLOOKUP(K193,COND!$A$2:$C$7,3,FALSE)</f>
        <v>6.7448793340540796</v>
      </c>
      <c r="AP193" s="37">
        <f>STANDARDIZE(AO193,AVERAGE($AO$5:$AO$1295),STDEVP($AO$5:$AO$1295))</f>
        <v>-0.54480716678339669</v>
      </c>
      <c r="AQ193" t="str">
        <f>IF(AND(Y193&lt;&gt;"-",X193&gt;1),"C",IF(AA193=MAX(AA193:AC193),"2B",IF(AC193=MAX(AA193:AC193),"SS",IF(OR(AB193=MAX(Z193:AC193),AND(AB193&lt;&gt;"-",AB193&gt;4,V193&gt;5)),"3B",IF(AE193=MAX(AD193:AF193),"CF",IF(AND(AF193=MAX(AD193,AF193),AND(W193&gt;5,AD193&lt;&gt;"-")),"RF",IF(AD193&lt;&gt;"-","LF",IF(Z193&lt;&gt;"-","1B","DH"))))))))</f>
        <v>1B</v>
      </c>
      <c r="AR193" t="s">
        <v>35</v>
      </c>
      <c r="AT193" t="s">
        <v>155</v>
      </c>
      <c r="AU193" t="str">
        <f>IF(AND($Q193&gt;=6,AVERAGE($S193:$T193)&gt;=6),"Likely",IF(OR($Q193&gt;6,AND($Q193=6,AVERAGE($S193:$T193)&gt;=3),AND($Q193&gt;=5,AVERAGE($S193:$T193)&gt;=5),AVERAGE($Q193,$S193:$T193)&gt;5),"Possible","Unlikely"))</f>
        <v>Unlikely</v>
      </c>
      <c r="AW193" t="str">
        <f>IF(VLOOKUP($B193,'Draft List'!$D$4:$AB$2598,AW$3,FALSE)&lt;&gt;0,VLOOKUP($B193,'Draft List'!$D$4:$AB$2598,AW$3,FALSE),"")</f>
        <v/>
      </c>
      <c r="AX193" t="str">
        <f>IF(VLOOKUP($B193,'Draft List'!$D$4:$AB$2598,AX$3,FALSE)&lt;&gt;0,VLOOKUP($B193,'Draft List'!$D$4:$AB$2598,AX$3,FALSE),"")</f>
        <v/>
      </c>
      <c r="AY193" t="str">
        <f>IF(VLOOKUP($B193,'Draft List'!$D$4:$AB$2598,AY$3,FALSE)&lt;&gt;0,VLOOKUP($B193,'Draft List'!$D$4:$AB$2598,AY$3,FALSE),"")</f>
        <v/>
      </c>
    </row>
    <row r="194" spans="1:51">
      <c r="A194" t="str">
        <f>IF(C194="C","C-",C194)&amp;D194&amp;E194</f>
        <v>2BMario Zavala21</v>
      </c>
      <c r="B194">
        <f>VLOOKUP($A194,draft_listing_batters_stats!$A$1:$B$1324,2,FALSE)</f>
        <v>2719</v>
      </c>
      <c r="C194" s="1" t="s">
        <v>2069</v>
      </c>
      <c r="D194" s="1" t="s">
        <v>1267</v>
      </c>
      <c r="E194" s="1">
        <v>21</v>
      </c>
      <c r="F194" s="1" t="s">
        <v>2022</v>
      </c>
      <c r="G194" s="1" t="s">
        <v>2022</v>
      </c>
      <c r="H194" s="1" t="s">
        <v>2033</v>
      </c>
      <c r="I194" s="1" t="s">
        <v>2033</v>
      </c>
      <c r="J194" s="1" t="s">
        <v>2025</v>
      </c>
      <c r="K194" s="1" t="s">
        <v>2025</v>
      </c>
      <c r="L194" s="1">
        <v>3</v>
      </c>
      <c r="M194" s="1">
        <v>5</v>
      </c>
      <c r="N194" s="1">
        <v>1</v>
      </c>
      <c r="O194" s="1">
        <v>1</v>
      </c>
      <c r="P194" s="1">
        <v>2</v>
      </c>
      <c r="Q194" s="1">
        <v>4</v>
      </c>
      <c r="R194" s="1">
        <v>9</v>
      </c>
      <c r="S194" s="1">
        <v>1</v>
      </c>
      <c r="T194" s="1">
        <v>3</v>
      </c>
      <c r="U194" s="1">
        <v>5</v>
      </c>
      <c r="V194" s="1">
        <v>4</v>
      </c>
      <c r="W194" s="1">
        <v>2</v>
      </c>
      <c r="X194" s="1">
        <v>1</v>
      </c>
      <c r="Y194" s="1" t="s">
        <v>2027</v>
      </c>
      <c r="Z194" s="1" t="s">
        <v>2027</v>
      </c>
      <c r="AA194" s="1">
        <v>6</v>
      </c>
      <c r="AB194" s="1">
        <v>4</v>
      </c>
      <c r="AC194" s="1" t="s">
        <v>2027</v>
      </c>
      <c r="AD194" s="1" t="s">
        <v>2027</v>
      </c>
      <c r="AE194" s="1" t="s">
        <v>2027</v>
      </c>
      <c r="AF194" s="1" t="s">
        <v>2027</v>
      </c>
      <c r="AG194" s="1">
        <v>10</v>
      </c>
      <c r="AH194" s="1">
        <v>8</v>
      </c>
      <c r="AI194" s="1">
        <v>8</v>
      </c>
      <c r="AJ194" s="52" t="s">
        <v>2029</v>
      </c>
      <c r="AK194" s="9">
        <f>($L$3*(L194-$Q$1)/$Q$2+$M$3*(M194-$R$1)/$R$2+$N$3*(N194-$S$1)/$S$2+$O$3*(O194-$T$1)/$T$2+$P$3*(P194-$U$1)/$U$2)/(SUM($L$3:$P$3))</f>
        <v>-1.1949758191303252</v>
      </c>
      <c r="AL194" s="9">
        <f>($L$3*(Q194-$Q$1)/$Q$2+$M$3*(R194-$R$1)/$R$2+$N$3*(S194-$S$1)/$S$2+$O$3*(T194-$T$1)/$T$2+$P$3*(U194-$U$1)/$U$2)/(SUM($L$3:$P$3))</f>
        <v>-0.368712344982424</v>
      </c>
      <c r="AM194">
        <f>IF(AVERAGE(AG194:AH194)&gt;9,1,0)+IF(AVERAGE(AG194:AH194)&gt;7,1,0)+IF(AG194&gt;7,1,0)+IF(AH194&gt;7,1,0)+IF(AI194&gt;8,1,0)+IF(AI194&gt;6,1,0)</f>
        <v>4</v>
      </c>
      <c r="AN194" s="6">
        <f>MIN(2,IF(OR(Y194="-",X194&lt;5),0,1+IF(Y194&gt;7,1+IF(X194&gt;7,0.25,0),IF(Y194&gt;4,0.5+IF(X194&gt;7,0.25,0),0+IF(X194&gt;7,0.25))))+IF(Z194="-",0,IF(Z194&gt;9,0.5,IF(Z194&gt;7,0.25,0)))+IF(AA194="-",0,IF(AA194&gt;7,1.1,IF(AA194&gt;4,0.6,0)))+IF(OR(AB194="-",V194&lt;5),0,IF(AB194&gt;7,1+IF(V194&gt;7,0.25,0),IF(AB194&gt;4,0.5+IF(V194&gt;7,0.25,0),0)))+IF(AC194="-",0,IF(AC194&gt;7,1.5,IF(AC194&gt;4,1,0)))+IF(AD194="-",0,IF(AD194&gt;9,0.5,IF(AD194&gt;7,0.25,0)))+IF(AE194="-",0,IF(AE194&gt;7,1.25,IF(AE194&gt;4,0.75,0)))+IF(OR(AF194="-",W194&lt;4),0,IF(AF194&gt;7,1+IF(W194&gt;7,0.15,0),IF(AF194&gt;4,0.5+IF(W194&gt;7,0.15,0),0))))</f>
        <v>0.6</v>
      </c>
      <c r="AO194" s="9">
        <f>($AK$3*AK194+$AL$3*AL194+$AM$3*AM194+$AN$3*AN194)+$J$3*VLOOKUP(J194,COND!$A$2:$C$7,2,FALSE)+$K$3*VLOOKUP(K194,COND!$A$2:$C$7,3,FALSE)</f>
        <v>6.7226209449645458</v>
      </c>
      <c r="AP194" s="37">
        <f>STANDARDIZE(AO194,AVERAGE($AO$5:$AO$1295),STDEVP($AO$5:$AO$1295))</f>
        <v>-0.54789938350312173</v>
      </c>
      <c r="AQ194" t="str">
        <f>IF(AND(Y194&lt;&gt;"-",X194&gt;1),"C",IF(AA194=MAX(AA194:AC194),"2B",IF(AC194=MAX(AA194:AC194),"SS",IF(OR(AB194=MAX(Z194:AC194),AND(AB194&lt;&gt;"-",AB194&gt;4,V194&gt;5)),"3B",IF(AE194=MAX(AD194:AF194),"CF",IF(AND(AF194=MAX(AD194,AF194),AND(W194&gt;5,AD194&lt;&gt;"-")),"RF",IF(AD194&lt;&gt;"-","LF",IF(Z194&lt;&gt;"-","1B","DH"))))))))</f>
        <v>2B</v>
      </c>
      <c r="AR194" t="s">
        <v>35</v>
      </c>
      <c r="AU194" t="str">
        <f>IF(AND($Q194&gt;=6,AVERAGE($S194:$T194)&gt;=6),"Likely",IF(OR($Q194&gt;6,AND($Q194=6,AVERAGE($S194:$T194)&gt;=3),AND($Q194&gt;=5,AVERAGE($S194:$T194)&gt;=5),AVERAGE($Q194,$S194:$T194)&gt;5),"Possible","Unlikely"))</f>
        <v>Unlikely</v>
      </c>
      <c r="AW194" t="str">
        <f>IF(VLOOKUP($B194,'Draft List'!$D$4:$AB$2598,AW$3,FALSE)&lt;&gt;0,VLOOKUP($B194,'Draft List'!$D$4:$AB$2598,AW$3,FALSE),"")</f>
        <v/>
      </c>
      <c r="AX194" t="str">
        <f>IF(VLOOKUP($B194,'Draft List'!$D$4:$AB$2598,AX$3,FALSE)&lt;&gt;0,VLOOKUP($B194,'Draft List'!$D$4:$AB$2598,AX$3,FALSE),"")</f>
        <v/>
      </c>
      <c r="AY194" t="str">
        <f>IF(VLOOKUP($B194,'Draft List'!$D$4:$AB$2598,AY$3,FALSE)&lt;&gt;0,VLOOKUP($B194,'Draft List'!$D$4:$AB$2598,AY$3,FALSE),"")</f>
        <v/>
      </c>
    </row>
    <row r="195" spans="1:51">
      <c r="A195" t="str">
        <f>IF(C195="C","C-",C195)&amp;D195&amp;E195</f>
        <v>C-Graviel Lomba18</v>
      </c>
      <c r="B195">
        <f>VLOOKUP($A195,draft_listing_batters_stats!$A$1:$B$1324,2,FALSE)</f>
        <v>13817</v>
      </c>
      <c r="C195" s="1" t="s">
        <v>2091</v>
      </c>
      <c r="D195" s="1" t="s">
        <v>1347</v>
      </c>
      <c r="E195" s="1">
        <v>18</v>
      </c>
      <c r="F195" s="1" t="s">
        <v>2022</v>
      </c>
      <c r="G195" s="1" t="s">
        <v>2022</v>
      </c>
      <c r="H195" s="1" t="s">
        <v>2033</v>
      </c>
      <c r="I195" s="1" t="s">
        <v>2033</v>
      </c>
      <c r="J195" s="1" t="s">
        <v>2026</v>
      </c>
      <c r="K195" s="1" t="s">
        <v>2025</v>
      </c>
      <c r="L195" s="1">
        <v>1</v>
      </c>
      <c r="M195" s="1">
        <v>2</v>
      </c>
      <c r="N195" s="1">
        <v>1</v>
      </c>
      <c r="O195" s="1">
        <v>1</v>
      </c>
      <c r="P195" s="1">
        <v>1</v>
      </c>
      <c r="Q195" s="1">
        <v>4</v>
      </c>
      <c r="R195" s="1">
        <v>5</v>
      </c>
      <c r="S195" s="1">
        <v>3</v>
      </c>
      <c r="T195" s="1">
        <v>4</v>
      </c>
      <c r="U195" s="1">
        <v>4</v>
      </c>
      <c r="V195" s="1">
        <v>3</v>
      </c>
      <c r="W195" s="1">
        <v>3</v>
      </c>
      <c r="X195" s="1">
        <v>8</v>
      </c>
      <c r="Y195" s="1">
        <v>3</v>
      </c>
      <c r="Z195" s="1" t="s">
        <v>2027</v>
      </c>
      <c r="AA195" s="1" t="s">
        <v>2027</v>
      </c>
      <c r="AB195" s="1" t="s">
        <v>2027</v>
      </c>
      <c r="AC195" s="1" t="s">
        <v>2027</v>
      </c>
      <c r="AD195" s="1" t="s">
        <v>2027</v>
      </c>
      <c r="AE195" s="1" t="s">
        <v>2027</v>
      </c>
      <c r="AF195" s="1" t="s">
        <v>2027</v>
      </c>
      <c r="AG195" s="1">
        <v>2</v>
      </c>
      <c r="AH195" s="1">
        <v>4</v>
      </c>
      <c r="AI195" s="1">
        <v>4</v>
      </c>
      <c r="AJ195" s="52" t="s">
        <v>2029</v>
      </c>
      <c r="AK195" s="9">
        <f>($L$3*(L195-$Q$1)/$Q$2+$M$3*(M195-$R$1)/$R$2+$N$3*(N195-$S$1)/$S$2+$O$3*(O195-$T$1)/$T$2+$P$3*(P195-$U$1)/$U$2)/(SUM($L$3:$P$3))</f>
        <v>-2.0332834702088682</v>
      </c>
      <c r="AL195" s="9">
        <f>($L$3*(Q195-$Q$1)/$Q$2+$M$3*(R195-$R$1)/$R$2+$N$3*(S195-$S$1)/$S$2+$O$3*(T195-$T$1)/$T$2+$P$3*(U195-$U$1)/$U$2)/(SUM($L$3:$P$3))</f>
        <v>-0.35713566521693735</v>
      </c>
      <c r="AM195">
        <f>IF(AVERAGE(AG195:AH195)&gt;9,1,0)+IF(AVERAGE(AG195:AH195)&gt;7,1,0)+IF(AG195&gt;7,1,0)+IF(AH195&gt;7,1,0)+IF(AI195&gt;8,1,0)+IF(AI195&gt;6,1,0)</f>
        <v>0</v>
      </c>
      <c r="AN195" s="6">
        <f>MIN(2,IF(OR(Y195="-",X195&lt;5),0,1+IF(Y195&gt;7,1+IF(X195&gt;7,0.25,0),IF(Y195&gt;4,0.5+IF(X195&gt;7,0.25,0),0+IF(X195&gt;7,0.25))))+IF(Z195="-",0,IF(Z195&gt;9,0.5,IF(Z195&gt;7,0.25,0)))+IF(AA195="-",0,IF(AA195&gt;7,1.1,IF(AA195&gt;4,0.6,0)))+IF(OR(AB195="-",V195&lt;5),0,IF(AB195&gt;7,1+IF(V195&gt;7,0.25,0),IF(AB195&gt;4,0.5+IF(V195&gt;7,0.25,0),0)))+IF(AC195="-",0,IF(AC195&gt;7,1.5,IF(AC195&gt;4,1,0)))+IF(AD195="-",0,IF(AD195&gt;9,0.5,IF(AD195&gt;7,0.25,0)))+IF(AE195="-",0,IF(AE195&gt;7,1.25,IF(AE195&gt;4,0.75,0)))+IF(OR(AF195="-",W195&lt;4),0,IF(AF195&gt;7,1+IF(W195&gt;7,0.15,0),IF(AF195&gt;4,0.5+IF(W195&gt;7,0.15,0),0))))</f>
        <v>1.25</v>
      </c>
      <c r="AO195" s="9">
        <f>($AK$3*AK195+$AL$3*AL195+$AM$3*AM195+$AN$3*AN195)+$J$3*VLOOKUP(J195,COND!$A$2:$C$7,2,FALSE)+$K$3*VLOOKUP(K195,COND!$A$2:$C$7,3,FALSE)</f>
        <v>6.6610436703758653</v>
      </c>
      <c r="AP195" s="37">
        <f>STANDARDIZE(AO195,AVERAGE($AO$5:$AO$1295),STDEVP($AO$5:$AO$1295))</f>
        <v>-0.55645392342388134</v>
      </c>
      <c r="AQ195" t="str">
        <f>IF(AND(Y195&lt;&gt;"-",X195&gt;1),"C",IF(AA195=MAX(AA195:AC195),"2B",IF(AC195=MAX(AA195:AC195),"SS",IF(OR(AB195=MAX(Z195:AC195),AND(AB195&lt;&gt;"-",AB195&gt;4,V195&gt;5)),"3B",IF(AE195=MAX(AD195:AF195),"CF",IF(AND(AF195=MAX(AD195,AF195),AND(W195&gt;5,AD195&lt;&gt;"-")),"RF",IF(AD195&lt;&gt;"-","LF",IF(Z195&lt;&gt;"-","1B","DH"))))))))</f>
        <v>C</v>
      </c>
      <c r="AR195" t="s">
        <v>35</v>
      </c>
      <c r="AU195" t="str">
        <f>IF(AND($Q195&gt;=6,AVERAGE($S195:$T195)&gt;=6),"Likely",IF(OR($Q195&gt;6,AND($Q195=6,AVERAGE($S195:$T195)&gt;=3),AND($Q195&gt;=5,AVERAGE($S195:$T195)&gt;=5),AVERAGE($Q195,$S195:$T195)&gt;5),"Possible","Unlikely"))</f>
        <v>Unlikely</v>
      </c>
      <c r="AW195" t="str">
        <f>IF(VLOOKUP($B195,'Draft List'!$D$4:$AB$2598,AW$3,FALSE)&lt;&gt;0,VLOOKUP($B195,'Draft List'!$D$4:$AB$2598,AW$3,FALSE),"")</f>
        <v/>
      </c>
      <c r="AX195" t="str">
        <f>IF(VLOOKUP($B195,'Draft List'!$D$4:$AB$2598,AX$3,FALSE)&lt;&gt;0,VLOOKUP($B195,'Draft List'!$D$4:$AB$2598,AX$3,FALSE),"")</f>
        <v/>
      </c>
      <c r="AY195" t="str">
        <f>IF(VLOOKUP($B195,'Draft List'!$D$4:$AB$2598,AY$3,FALSE)&lt;&gt;0,VLOOKUP($B195,'Draft List'!$D$4:$AB$2598,AY$3,FALSE),"")</f>
        <v/>
      </c>
    </row>
    <row r="196" spans="1:51">
      <c r="A196" t="str">
        <f>IF(C196="C","C-",C196)&amp;D196&amp;E196</f>
        <v>CFMike Stewart18</v>
      </c>
      <c r="B196">
        <f>VLOOKUP($A196,draft_listing_batters_stats!$A$1:$B$1324,2,FALSE)</f>
        <v>1751</v>
      </c>
      <c r="C196" s="1" t="s">
        <v>2079</v>
      </c>
      <c r="D196" s="1" t="s">
        <v>1224</v>
      </c>
      <c r="E196" s="1">
        <v>18</v>
      </c>
      <c r="F196" s="1" t="s">
        <v>2038</v>
      </c>
      <c r="G196" s="1" t="s">
        <v>2038</v>
      </c>
      <c r="H196" s="1" t="s">
        <v>2033</v>
      </c>
      <c r="I196" s="1" t="s">
        <v>2033</v>
      </c>
      <c r="J196" s="1" t="s">
        <v>2026</v>
      </c>
      <c r="K196" s="1" t="s">
        <v>2026</v>
      </c>
      <c r="L196" s="1">
        <v>1</v>
      </c>
      <c r="M196" s="1">
        <v>2</v>
      </c>
      <c r="N196" s="1">
        <v>1</v>
      </c>
      <c r="O196" s="1">
        <v>1</v>
      </c>
      <c r="P196" s="1">
        <v>1</v>
      </c>
      <c r="Q196" s="1">
        <v>5</v>
      </c>
      <c r="R196" s="1">
        <v>6</v>
      </c>
      <c r="S196" s="1">
        <v>1</v>
      </c>
      <c r="T196" s="1">
        <v>2</v>
      </c>
      <c r="U196" s="1">
        <v>4</v>
      </c>
      <c r="V196" s="1">
        <v>1</v>
      </c>
      <c r="W196" s="1">
        <v>4</v>
      </c>
      <c r="X196" s="1">
        <v>1</v>
      </c>
      <c r="Y196" s="1" t="s">
        <v>2027</v>
      </c>
      <c r="Z196" s="1" t="s">
        <v>2027</v>
      </c>
      <c r="AA196" s="1" t="s">
        <v>2027</v>
      </c>
      <c r="AB196" s="1" t="s">
        <v>2027</v>
      </c>
      <c r="AC196" s="1" t="s">
        <v>2027</v>
      </c>
      <c r="AD196" s="1">
        <v>1</v>
      </c>
      <c r="AE196" s="1">
        <v>2</v>
      </c>
      <c r="AF196" s="1">
        <v>3</v>
      </c>
      <c r="AG196" s="1">
        <v>9</v>
      </c>
      <c r="AH196" s="1">
        <v>10</v>
      </c>
      <c r="AI196" s="1">
        <v>10</v>
      </c>
      <c r="AJ196" s="52" t="s">
        <v>2029</v>
      </c>
      <c r="AK196" s="9">
        <f>($L$3*(L196-$Q$1)/$Q$2+$M$3*(M196-$R$1)/$R$2+$N$3*(N196-$S$1)/$S$2+$O$3*(O196-$T$1)/$T$2+$P$3*(P196-$U$1)/$U$2)/(SUM($L$3:$P$3))</f>
        <v>-2.0332834702088682</v>
      </c>
      <c r="AL196" s="9">
        <f>($L$3*(Q196-$Q$1)/$Q$2+$M$3*(R196-$R$1)/$R$2+$N$3*(S196-$S$1)/$S$2+$O$3*(T196-$T$1)/$T$2+$P$3*(U196-$U$1)/$U$2)/(SUM($L$3:$P$3))</f>
        <v>-0.32906203746252433</v>
      </c>
      <c r="AM196">
        <f>IF(AVERAGE(AG196:AH196)&gt;9,1,0)+IF(AVERAGE(AG196:AH196)&gt;7,1,0)+IF(AG196&gt;7,1,0)+IF(AH196&gt;7,1,0)+IF(AI196&gt;8,1,0)+IF(AI196&gt;6,1,0)</f>
        <v>6</v>
      </c>
      <c r="AN196" s="6">
        <f>MIN(2,IF(OR(Y196="-",X196&lt;5),0,1+IF(Y196&gt;7,1+IF(X196&gt;7,0.25,0),IF(Y196&gt;4,0.5+IF(X196&gt;7,0.25,0),0+IF(X196&gt;7,0.25))))+IF(Z196="-",0,IF(Z196&gt;9,0.5,IF(Z196&gt;7,0.25,0)))+IF(AA196="-",0,IF(AA196&gt;7,1.1,IF(AA196&gt;4,0.6,0)))+IF(OR(AB196="-",V196&lt;5),0,IF(AB196&gt;7,1+IF(V196&gt;7,0.25,0),IF(AB196&gt;4,0.5+IF(V196&gt;7,0.25,0),0)))+IF(AC196="-",0,IF(AC196&gt;7,1.5,IF(AC196&gt;4,1,0)))+IF(AD196="-",0,IF(AD196&gt;9,0.5,IF(AD196&gt;7,0.25,0)))+IF(AE196="-",0,IF(AE196&gt;7,1.25,IF(AE196&gt;4,0.75,0)))+IF(OR(AF196="-",W196&lt;4),0,IF(AF196&gt;7,1+IF(W196&gt;7,0.15,0),IF(AF196&gt;4,0.5+IF(W196&gt;7,0.15,0),0))))</f>
        <v>0</v>
      </c>
      <c r="AO196" s="9">
        <f>($AK$3*AK196+$AL$3*AL196+$AM$3*AM196+$AN$3*AN196)+$J$3*VLOOKUP(J196,COND!$A$2:$C$7,2,FALSE)+$K$3*VLOOKUP(K196,COND!$A$2:$C$7,3,FALSE)</f>
        <v>6.6479272034288224</v>
      </c>
      <c r="AP196" s="37">
        <f>STANDARDIZE(AO196,AVERAGE($AO$5:$AO$1295),STDEVP($AO$5:$AO$1295))</f>
        <v>-0.55827611092515195</v>
      </c>
      <c r="AQ196" t="str">
        <f>IF(AND(Y196&lt;&gt;"-",X196&gt;1),"C",IF(AA196=MAX(AA196:AC196),"2B",IF(AC196=MAX(AA196:AC196),"SS",IF(OR(AB196=MAX(Z196:AC196),AND(AB196&lt;&gt;"-",AB196&gt;4,V196&gt;5)),"3B",IF(AE196=MAX(AD196:AF196),"CF",IF(AND(AF196=MAX(AD196,AF196),AND(W196&gt;5,AD196&lt;&gt;"-")),"RF",IF(AD196&lt;&gt;"-","LF",IF(Z196&lt;&gt;"-","1B","DH"))))))))</f>
        <v>LF</v>
      </c>
      <c r="AR196" t="s">
        <v>35</v>
      </c>
      <c r="AU196" t="str">
        <f>IF(AND($Q196&gt;=6,AVERAGE($S196:$T196)&gt;=6),"Likely",IF(OR($Q196&gt;6,AND($Q196=6,AVERAGE($S196:$T196)&gt;=3),AND($Q196&gt;=5,AVERAGE($S196:$T196)&gt;=5),AVERAGE($Q196,$S196:$T196)&gt;5),"Possible","Unlikely"))</f>
        <v>Unlikely</v>
      </c>
      <c r="AW196" t="e">
        <f>IF(VLOOKUP($B196,'Draft List'!$D$4:$AB$2598,AW$3,FALSE)&lt;&gt;0,VLOOKUP($B196,'Draft List'!$D$4:$AB$2598,AW$3,FALSE),"")</f>
        <v>#N/A</v>
      </c>
      <c r="AX196" t="e">
        <f>IF(VLOOKUP($B196,'Draft List'!$D$4:$AB$2598,AX$3,FALSE)&lt;&gt;0,VLOOKUP($B196,'Draft List'!$D$4:$AB$2598,AX$3,FALSE),"")</f>
        <v>#N/A</v>
      </c>
      <c r="AY196" t="e">
        <f>IF(VLOOKUP($B196,'Draft List'!$D$4:$AB$2598,AY$3,FALSE)&lt;&gt;0,VLOOKUP($B196,'Draft List'!$D$4:$AB$2598,AY$3,FALSE),"")</f>
        <v>#N/A</v>
      </c>
    </row>
    <row r="197" spans="1:51">
      <c r="A197" t="str">
        <f>IF(C197="C","C-",C197)&amp;D197&amp;E197</f>
        <v>C-Michael Banks21</v>
      </c>
      <c r="B197">
        <f>VLOOKUP($A197,draft_listing_batters_stats!$A$1:$B$1324,2,FALSE)</f>
        <v>4616</v>
      </c>
      <c r="C197" s="1" t="s">
        <v>2091</v>
      </c>
      <c r="D197" s="1" t="s">
        <v>1453</v>
      </c>
      <c r="E197" s="1">
        <v>21</v>
      </c>
      <c r="F197" s="1" t="s">
        <v>2022</v>
      </c>
      <c r="G197" s="1" t="s">
        <v>2022</v>
      </c>
      <c r="H197" s="1" t="s">
        <v>2033</v>
      </c>
      <c r="I197" s="1" t="s">
        <v>2033</v>
      </c>
      <c r="J197" s="1" t="s">
        <v>2026</v>
      </c>
      <c r="K197" s="1" t="s">
        <v>2026</v>
      </c>
      <c r="L197" s="1">
        <v>3</v>
      </c>
      <c r="M197" s="1">
        <v>3</v>
      </c>
      <c r="N197" s="1">
        <v>1</v>
      </c>
      <c r="O197" s="1">
        <v>4</v>
      </c>
      <c r="P197" s="1">
        <v>2</v>
      </c>
      <c r="Q197" s="1">
        <v>4</v>
      </c>
      <c r="R197" s="1">
        <v>4</v>
      </c>
      <c r="S197" s="1">
        <v>1</v>
      </c>
      <c r="T197" s="1">
        <v>5</v>
      </c>
      <c r="U197" s="1">
        <v>5</v>
      </c>
      <c r="V197" s="1">
        <v>3</v>
      </c>
      <c r="W197" s="1">
        <v>3</v>
      </c>
      <c r="X197" s="1">
        <v>5</v>
      </c>
      <c r="Y197" s="1">
        <v>5</v>
      </c>
      <c r="Z197" s="1" t="s">
        <v>2027</v>
      </c>
      <c r="AA197" s="1" t="s">
        <v>2027</v>
      </c>
      <c r="AB197" s="1" t="s">
        <v>2027</v>
      </c>
      <c r="AC197" s="1" t="s">
        <v>2027</v>
      </c>
      <c r="AD197" s="1" t="s">
        <v>2027</v>
      </c>
      <c r="AE197" s="1" t="s">
        <v>2027</v>
      </c>
      <c r="AF197" s="1" t="s">
        <v>2027</v>
      </c>
      <c r="AG197" s="1">
        <v>5</v>
      </c>
      <c r="AH197" s="1">
        <v>10</v>
      </c>
      <c r="AI197" s="1">
        <v>10</v>
      </c>
      <c r="AJ197" s="52" t="s">
        <v>2029</v>
      </c>
      <c r="AK197" s="9">
        <f>($L$3*(L197-$Q$1)/$Q$2+$M$3*(M197-$R$1)/$R$2+$N$3*(N197-$S$1)/$S$2+$O$3*(O197-$T$1)/$T$2+$P$3*(P197-$U$1)/$U$2)/(SUM($L$3:$P$3))</f>
        <v>-1.027966928338989</v>
      </c>
      <c r="AL197" s="9">
        <f>($L$3*(Q197-$Q$1)/$Q$2+$M$3*(R197-$R$1)/$R$2+$N$3*(S197-$S$1)/$S$2+$O$3*(T197-$T$1)/$T$2+$P$3*(U197-$U$1)/$U$2)/(SUM($L$3:$P$3))</f>
        <v>-0.44459264305677942</v>
      </c>
      <c r="AM197">
        <f>IF(AVERAGE(AG197:AH197)&gt;9,1,0)+IF(AVERAGE(AG197:AH197)&gt;7,1,0)+IF(AG197&gt;7,1,0)+IF(AH197&gt;7,1,0)+IF(AI197&gt;8,1,0)+IF(AI197&gt;6,1,0)</f>
        <v>4</v>
      </c>
      <c r="AN197" s="6">
        <f>MIN(2,IF(OR(Y197="-",X197&lt;5),0,1+IF(Y197&gt;7,1+IF(X197&gt;7,0.25,0),IF(Y197&gt;4,0.5+IF(X197&gt;7,0.25,0),0+IF(X197&gt;7,0.25))))+IF(Z197="-",0,IF(Z197&gt;9,0.5,IF(Z197&gt;7,0.25,0)))+IF(AA197="-",0,IF(AA197&gt;7,1.1,IF(AA197&gt;4,0.6,0)))+IF(OR(AB197="-",V197&lt;5),0,IF(AB197&gt;7,1+IF(V197&gt;7,0.25,0),IF(AB197&gt;4,0.5+IF(V197&gt;7,0.25,0),0)))+IF(AC197="-",0,IF(AC197&gt;7,1.5,IF(AC197&gt;4,1,0)))+IF(AD197="-",0,IF(AD197&gt;9,0.5,IF(AD197&gt;7,0.25,0)))+IF(AE197="-",0,IF(AE197&gt;7,1.25,IF(AE197&gt;4,0.75,0)))+IF(OR(AF197="-",W197&lt;4),0,IF(AF197&gt;7,1+IF(W197&gt;7,0.15,0),IF(AF197&gt;4,0.5+IF(W197&gt;7,0.15,0),0))))</f>
        <v>1.5</v>
      </c>
      <c r="AO197" s="9">
        <f>($AK$3*AK197+$AL$3*AL197+$AM$3*AM197+$AN$3*AN197)+$J$3*VLOOKUP(J197,COND!$A$2:$C$7,2,FALSE)+$K$3*VLOOKUP(K197,COND!$A$2:$C$7,3,FALSE)</f>
        <v>6.5287582571514156</v>
      </c>
      <c r="AP197" s="37">
        <f>STANDARDIZE(AO197,AVERAGE($AO$5:$AO$1295),STDEVP($AO$5:$AO$1295))</f>
        <v>-0.5748314962528478</v>
      </c>
      <c r="AQ197" t="str">
        <f>IF(AND(Y197&lt;&gt;"-",X197&gt;1),"C",IF(AA197=MAX(AA197:AC197),"2B",IF(AC197=MAX(AA197:AC197),"SS",IF(OR(AB197=MAX(Z197:AC197),AND(AB197&lt;&gt;"-",AB197&gt;4,V197&gt;5)),"3B",IF(AE197=MAX(AD197:AF197),"CF",IF(AND(AF197=MAX(AD197,AF197),AND(W197&gt;5,AD197&lt;&gt;"-")),"RF",IF(AD197&lt;&gt;"-","LF",IF(Z197&lt;&gt;"-","1B","DH"))))))))</f>
        <v>C</v>
      </c>
      <c r="AR197" t="s">
        <v>35</v>
      </c>
      <c r="AU197" t="str">
        <f>IF(AND($Q197&gt;=6,AVERAGE($S197:$T197)&gt;=6),"Likely",IF(OR($Q197&gt;6,AND($Q197=6,AVERAGE($S197:$T197)&gt;=3),AND($Q197&gt;=5,AVERAGE($S197:$T197)&gt;=5),AVERAGE($Q197,$S197:$T197)&gt;5),"Possible","Unlikely"))</f>
        <v>Unlikely</v>
      </c>
      <c r="AW197" t="str">
        <f>IF(VLOOKUP($B197,'Draft List'!$D$4:$AB$2598,AW$3,FALSE)&lt;&gt;0,VLOOKUP($B197,'Draft List'!$D$4:$AB$2598,AW$3,FALSE),"")</f>
        <v/>
      </c>
      <c r="AX197" t="str">
        <f>IF(VLOOKUP($B197,'Draft List'!$D$4:$AB$2598,AX$3,FALSE)&lt;&gt;0,VLOOKUP($B197,'Draft List'!$D$4:$AB$2598,AX$3,FALSE),"")</f>
        <v/>
      </c>
      <c r="AY197" t="str">
        <f>IF(VLOOKUP($B197,'Draft List'!$D$4:$AB$2598,AY$3,FALSE)&lt;&gt;0,VLOOKUP($B197,'Draft List'!$D$4:$AB$2598,AY$3,FALSE),"")</f>
        <v/>
      </c>
    </row>
    <row r="198" spans="1:51">
      <c r="A198" t="str">
        <f>IF(C198="C","C-",C198)&amp;D198&amp;E198</f>
        <v>1BLeonardo Ríos21</v>
      </c>
      <c r="B198" t="e">
        <f>VLOOKUP($A198,draft_listing_batters_stats!$A$1:$B$1324,2,FALSE)</f>
        <v>#N/A</v>
      </c>
      <c r="C198" s="1" t="s">
        <v>2092</v>
      </c>
      <c r="D198" s="1" t="s">
        <v>1202</v>
      </c>
      <c r="E198" s="1">
        <v>21</v>
      </c>
      <c r="F198" s="1" t="s">
        <v>2022</v>
      </c>
      <c r="G198" s="1" t="s">
        <v>2022</v>
      </c>
      <c r="H198" s="1" t="s">
        <v>2033</v>
      </c>
      <c r="I198" s="1" t="s">
        <v>2033</v>
      </c>
      <c r="J198" s="1" t="s">
        <v>2040</v>
      </c>
      <c r="K198" s="1" t="s">
        <v>2030</v>
      </c>
      <c r="L198" s="1">
        <v>2</v>
      </c>
      <c r="M198" s="1">
        <v>3</v>
      </c>
      <c r="N198" s="1">
        <v>1</v>
      </c>
      <c r="O198" s="1">
        <v>2</v>
      </c>
      <c r="P198" s="1">
        <v>1</v>
      </c>
      <c r="Q198" s="1">
        <v>5</v>
      </c>
      <c r="R198" s="1">
        <v>4</v>
      </c>
      <c r="S198" s="1">
        <v>2</v>
      </c>
      <c r="T198" s="1">
        <v>3</v>
      </c>
      <c r="U198" s="1">
        <v>4</v>
      </c>
      <c r="V198" s="1">
        <v>7</v>
      </c>
      <c r="W198" s="1">
        <v>8</v>
      </c>
      <c r="X198" s="1">
        <v>1</v>
      </c>
      <c r="Y198" s="1" t="s">
        <v>2027</v>
      </c>
      <c r="Z198" s="1">
        <v>4</v>
      </c>
      <c r="AA198" s="1" t="s">
        <v>2027</v>
      </c>
      <c r="AB198" s="1">
        <v>1</v>
      </c>
      <c r="AC198" s="1" t="s">
        <v>2027</v>
      </c>
      <c r="AD198" s="1">
        <v>5</v>
      </c>
      <c r="AE198" s="1">
        <v>2</v>
      </c>
      <c r="AF198" s="1">
        <v>3</v>
      </c>
      <c r="AG198" s="1">
        <v>6</v>
      </c>
      <c r="AH198" s="1">
        <v>7</v>
      </c>
      <c r="AI198" s="1">
        <v>7</v>
      </c>
      <c r="AJ198" s="52" t="s">
        <v>2029</v>
      </c>
      <c r="AK198" s="9">
        <f>($L$3*(L198-$Q$1)/$Q$2+$M$3*(M198-$R$1)/$R$2+$N$3*(N198-$S$1)/$S$2+$O$3*(O198-$T$1)/$T$2+$P$3*(P198-$U$1)/$U$2)/(SUM($L$3:$P$3))</f>
        <v>-1.5699582043779094</v>
      </c>
      <c r="AL198" s="9">
        <f>($L$3*(Q198-$Q$1)/$Q$2+$M$3*(R198-$R$1)/$R$2+$N$3*(S198-$S$1)/$S$2+$O$3*(T198-$T$1)/$T$2+$P$3*(U198-$U$1)/$U$2)/(SUM($L$3:$P$3))</f>
        <v>-0.25841075266644875</v>
      </c>
      <c r="AM198">
        <f>IF(AVERAGE(AG198:AH198)&gt;9,1,0)+IF(AVERAGE(AG198:AH198)&gt;7,1,0)+IF(AG198&gt;7,1,0)+IF(AH198&gt;7,1,0)+IF(AI198&gt;8,1,0)+IF(AI198&gt;6,1,0)</f>
        <v>1</v>
      </c>
      <c r="AN198" s="6">
        <f>MIN(2,IF(OR(Y198="-",X198&lt;5),0,1+IF(Y198&gt;7,1+IF(X198&gt;7,0.25,0),IF(Y198&gt;4,0.5+IF(X198&gt;7,0.25,0),0+IF(X198&gt;7,0.25))))+IF(Z198="-",0,IF(Z198&gt;9,0.5,IF(Z198&gt;7,0.25,0)))+IF(AA198="-",0,IF(AA198&gt;7,1.1,IF(AA198&gt;4,0.6,0)))+IF(OR(AB198="-",V198&lt;5),0,IF(AB198&gt;7,1+IF(V198&gt;7,0.25,0),IF(AB198&gt;4,0.5+IF(V198&gt;7,0.25,0),0)))+IF(AC198="-",0,IF(AC198&gt;7,1.5,IF(AC198&gt;4,1,0)))+IF(AD198="-",0,IF(AD198&gt;9,0.5,IF(AD198&gt;7,0.25,0)))+IF(AE198="-",0,IF(AE198&gt;7,1.25,IF(AE198&gt;4,0.75,0)))+IF(OR(AF198="-",W198&lt;4),0,IF(AF198&gt;7,1+IF(W198&gt;7,0.15,0),IF(AF198&gt;4,0.5+IF(W198&gt;7,0.15,0),0))))</f>
        <v>0</v>
      </c>
      <c r="AO198" s="9">
        <f>($AK$3*AK198+$AL$3*AL198+$AM$3*AM198+$AN$3*AN198)+$J$3*VLOOKUP(J198,COND!$A$2:$C$7,2,FALSE)+$K$3*VLOOKUP(K198,COND!$A$2:$C$7,3,FALSE)</f>
        <v>6.5087418142314899</v>
      </c>
      <c r="AP198" s="37">
        <f>STANDARDIZE(AO198,AVERAGE($AO$5:$AO$1295),STDEVP($AO$5:$AO$1295))</f>
        <v>-0.57761225362111213</v>
      </c>
      <c r="AQ198" t="str">
        <f>IF(AND(Y198&lt;&gt;"-",X198&gt;1),"C",IF(AA198=MAX(AA198:AC198),"2B",IF(AC198=MAX(AA198:AC198),"SS",IF(OR(AB198=MAX(Z198:AC198),AND(AB198&lt;&gt;"-",AB198&gt;4,V198&gt;5)),"3B",IF(AE198=MAX(AD198:AF198),"CF",IF(AND(AF198=MAX(AD198,AF198),AND(W198&gt;5,AD198&lt;&gt;"-")),"RF",IF(AD198&lt;&gt;"-","LF",IF(Z198&lt;&gt;"-","1B","DH"))))))))</f>
        <v>LF</v>
      </c>
      <c r="AR198" t="s">
        <v>35</v>
      </c>
      <c r="AU198" t="str">
        <f>IF(AND($Q198&gt;=6,AVERAGE($S198:$T198)&gt;=6),"Likely",IF(OR($Q198&gt;6,AND($Q198=6,AVERAGE($S198:$T198)&gt;=3),AND($Q198&gt;=5,AVERAGE($S198:$T198)&gt;=5),AVERAGE($Q198,$S198:$T198)&gt;5),"Possible","Unlikely"))</f>
        <v>Unlikely</v>
      </c>
      <c r="AW198" t="e">
        <f>IF(VLOOKUP($B198,'Draft List'!$D$4:$AB$2598,AW$3,FALSE)&lt;&gt;0,VLOOKUP($B198,'Draft List'!$D$4:$AB$2598,AW$3,FALSE),"")</f>
        <v>#N/A</v>
      </c>
      <c r="AX198" t="e">
        <f>IF(VLOOKUP($B198,'Draft List'!$D$4:$AB$2598,AX$3,FALSE)&lt;&gt;0,VLOOKUP($B198,'Draft List'!$D$4:$AB$2598,AX$3,FALSE),"")</f>
        <v>#N/A</v>
      </c>
      <c r="AY198" t="e">
        <f>IF(VLOOKUP($B198,'Draft List'!$D$4:$AB$2598,AY$3,FALSE)&lt;&gt;0,VLOOKUP($B198,'Draft List'!$D$4:$AB$2598,AY$3,FALSE),"")</f>
        <v>#N/A</v>
      </c>
    </row>
    <row r="199" spans="1:51">
      <c r="A199" t="str">
        <f>IF(C199="C","C-",C199)&amp;D199&amp;E199</f>
        <v>LFTyler Wright21</v>
      </c>
      <c r="B199">
        <f>VLOOKUP($A199,draft_listing_batters_stats!$A$1:$B$1324,2,FALSE)</f>
        <v>2584</v>
      </c>
      <c r="C199" s="1" t="s">
        <v>2035</v>
      </c>
      <c r="D199" s="1" t="s">
        <v>1265</v>
      </c>
      <c r="E199" s="1">
        <v>21</v>
      </c>
      <c r="F199" s="1" t="s">
        <v>2049</v>
      </c>
      <c r="G199" s="1" t="s">
        <v>2022</v>
      </c>
      <c r="H199" s="1" t="s">
        <v>2033</v>
      </c>
      <c r="I199" s="1" t="s">
        <v>2033</v>
      </c>
      <c r="J199" s="1" t="s">
        <v>2030</v>
      </c>
      <c r="K199" s="1" t="s">
        <v>2025</v>
      </c>
      <c r="L199" s="1">
        <v>2</v>
      </c>
      <c r="M199" s="1">
        <v>2</v>
      </c>
      <c r="N199" s="1">
        <v>2</v>
      </c>
      <c r="O199" s="1">
        <v>2</v>
      </c>
      <c r="P199" s="1">
        <v>2</v>
      </c>
      <c r="Q199" s="1">
        <v>4</v>
      </c>
      <c r="R199" s="1">
        <v>4</v>
      </c>
      <c r="S199" s="1">
        <v>4</v>
      </c>
      <c r="T199" s="1">
        <v>3</v>
      </c>
      <c r="U199" s="1">
        <v>4</v>
      </c>
      <c r="V199" s="1">
        <v>1</v>
      </c>
      <c r="W199" s="1">
        <v>9</v>
      </c>
      <c r="X199" s="1">
        <v>1</v>
      </c>
      <c r="Y199" s="1" t="s">
        <v>2027</v>
      </c>
      <c r="Z199" s="1">
        <v>1</v>
      </c>
      <c r="AA199" s="1" t="s">
        <v>2027</v>
      </c>
      <c r="AB199" s="1" t="s">
        <v>2027</v>
      </c>
      <c r="AC199" s="1" t="s">
        <v>2027</v>
      </c>
      <c r="AD199" s="1">
        <v>5</v>
      </c>
      <c r="AE199" s="1">
        <v>4</v>
      </c>
      <c r="AF199" s="1">
        <v>7</v>
      </c>
      <c r="AG199" s="1">
        <v>8</v>
      </c>
      <c r="AH199" s="1">
        <v>10</v>
      </c>
      <c r="AI199" s="1">
        <v>10</v>
      </c>
      <c r="AJ199" s="52" t="s">
        <v>2029</v>
      </c>
      <c r="AK199" s="9">
        <f>($L$3*(L199-$Q$1)/$Q$2+$M$3*(M199-$R$1)/$R$2+$N$3*(N199-$S$1)/$S$2+$O$3*(O199-$T$1)/$T$2+$P$3*(P199-$U$1)/$U$2)/(SUM($L$3:$P$3))</f>
        <v>-1.4979402501556278</v>
      </c>
      <c r="AL199" s="9">
        <f>($L$3*(Q199-$Q$1)/$Q$2+$M$3*(R199-$R$1)/$R$2+$N$3*(S199-$S$1)/$S$2+$O$3*(T199-$T$1)/$T$2+$P$3*(U199-$U$1)/$U$2)/(SUM($L$3:$P$3))</f>
        <v>-0.41484360082132044</v>
      </c>
      <c r="AM199">
        <f>IF(AVERAGE(AG199:AH199)&gt;9,1,0)+IF(AVERAGE(AG199:AH199)&gt;7,1,0)+IF(AG199&gt;7,1,0)+IF(AH199&gt;7,1,0)+IF(AI199&gt;8,1,0)+IF(AI199&gt;6,1,0)</f>
        <v>5</v>
      </c>
      <c r="AN199" s="6">
        <f>MIN(2,IF(OR(Y199="-",X199&lt;5),0,1+IF(Y199&gt;7,1+IF(X199&gt;7,0.25,0),IF(Y199&gt;4,0.5+IF(X199&gt;7,0.25,0),0+IF(X199&gt;7,0.25))))+IF(Z199="-",0,IF(Z199&gt;9,0.5,IF(Z199&gt;7,0.25,0)))+IF(AA199="-",0,IF(AA199&gt;7,1.1,IF(AA199&gt;4,0.6,0)))+IF(OR(AB199="-",V199&lt;5),0,IF(AB199&gt;7,1+IF(V199&gt;7,0.25,0),IF(AB199&gt;4,0.5+IF(V199&gt;7,0.25,0),0)))+IF(AC199="-",0,IF(AC199&gt;7,1.5,IF(AC199&gt;4,1,0)))+IF(AD199="-",0,IF(AD199&gt;9,0.5,IF(AD199&gt;7,0.25,0)))+IF(AE199="-",0,IF(AE199&gt;7,1.25,IF(AE199&gt;4,0.75,0)))+IF(OR(AF199="-",W199&lt;4),0,IF(AF199&gt;7,1+IF(W199&gt;7,0.15,0),IF(AF199&gt;4,0.5+IF(W199&gt;7,0.15,0),0))))</f>
        <v>0.65</v>
      </c>
      <c r="AO199" s="9">
        <f>($AK$3*AK199+$AL$3*AL199+$AM$3*AM199+$AN$3*AN199)+$J$3*VLOOKUP(J199,COND!$A$2:$C$7,2,FALSE)+$K$3*VLOOKUP(K199,COND!$A$2:$C$7,3,FALSE)</f>
        <v>6.4554160984619244</v>
      </c>
      <c r="AP199" s="37">
        <f>STANDARDIZE(AO199,AVERAGE($AO$5:$AO$1295),STDEVP($AO$5:$AO$1295))</f>
        <v>-0.58502045684869841</v>
      </c>
      <c r="AQ199" t="str">
        <f>IF(AND(Y199&lt;&gt;"-",X199&gt;1),"C",IF(AA199=MAX(AA199:AC199),"2B",IF(AC199=MAX(AA199:AC199),"SS",IF(OR(AB199=MAX(Z199:AC199),AND(AB199&lt;&gt;"-",AB199&gt;4,V199&gt;5)),"3B",IF(AE199=MAX(AD199:AF199),"CF",IF(AND(AF199=MAX(AD199,AF199),AND(W199&gt;5,AD199&lt;&gt;"-")),"RF",IF(AD199&lt;&gt;"-","LF",IF(Z199&lt;&gt;"-","1B","DH"))))))))</f>
        <v>RF</v>
      </c>
      <c r="AR199" t="s">
        <v>35</v>
      </c>
      <c r="AU199" t="str">
        <f>IF(AND($Q199&gt;=6,AVERAGE($S199:$T199)&gt;=6),"Likely",IF(OR($Q199&gt;6,AND($Q199=6,AVERAGE($S199:$T199)&gt;=3),AND($Q199&gt;=5,AVERAGE($S199:$T199)&gt;=5),AVERAGE($Q199,$S199:$T199)&gt;5),"Possible","Unlikely"))</f>
        <v>Unlikely</v>
      </c>
      <c r="AW199" t="e">
        <f>IF(VLOOKUP($B199,'Draft List'!$D$4:$AB$2598,AW$3,FALSE)&lt;&gt;0,VLOOKUP($B199,'Draft List'!$D$4:$AB$2598,AW$3,FALSE),"")</f>
        <v>#N/A</v>
      </c>
      <c r="AX199" t="e">
        <f>IF(VLOOKUP($B199,'Draft List'!$D$4:$AB$2598,AX$3,FALSE)&lt;&gt;0,VLOOKUP($B199,'Draft List'!$D$4:$AB$2598,AX$3,FALSE),"")</f>
        <v>#N/A</v>
      </c>
      <c r="AY199" t="e">
        <f>IF(VLOOKUP($B199,'Draft List'!$D$4:$AB$2598,AY$3,FALSE)&lt;&gt;0,VLOOKUP($B199,'Draft List'!$D$4:$AB$2598,AY$3,FALSE),"")</f>
        <v>#N/A</v>
      </c>
    </row>
    <row r="200" spans="1:51">
      <c r="A200" t="str">
        <f>IF(C200="C","C-",C200)&amp;D200&amp;E200</f>
        <v>1BRaúl Morales21</v>
      </c>
      <c r="B200" t="e">
        <f>VLOOKUP($A200,draft_listing_batters_stats!$A$1:$B$1324,2,FALSE)</f>
        <v>#N/A</v>
      </c>
      <c r="C200" s="1" t="s">
        <v>2092</v>
      </c>
      <c r="D200" s="1" t="s">
        <v>1376</v>
      </c>
      <c r="E200" s="1">
        <v>21</v>
      </c>
      <c r="F200" s="1" t="s">
        <v>2038</v>
      </c>
      <c r="G200" s="1" t="s">
        <v>2038</v>
      </c>
      <c r="H200" s="1" t="s">
        <v>2033</v>
      </c>
      <c r="I200" s="1" t="s">
        <v>2033</v>
      </c>
      <c r="J200" s="1" t="s">
        <v>2040</v>
      </c>
      <c r="K200" s="1" t="s">
        <v>2026</v>
      </c>
      <c r="L200" s="1">
        <v>3</v>
      </c>
      <c r="M200" s="1">
        <v>4</v>
      </c>
      <c r="N200" s="1">
        <v>3</v>
      </c>
      <c r="O200" s="1">
        <v>2</v>
      </c>
      <c r="P200" s="1">
        <v>2</v>
      </c>
      <c r="Q200" s="1">
        <v>4</v>
      </c>
      <c r="R200" s="1">
        <v>4</v>
      </c>
      <c r="S200" s="1">
        <v>5</v>
      </c>
      <c r="T200" s="1">
        <v>4</v>
      </c>
      <c r="U200" s="1">
        <v>4</v>
      </c>
      <c r="V200" s="1">
        <v>3</v>
      </c>
      <c r="W200" s="1">
        <v>4</v>
      </c>
      <c r="X200" s="1">
        <v>1</v>
      </c>
      <c r="Y200" s="1" t="s">
        <v>2027</v>
      </c>
      <c r="Z200" s="1">
        <v>3</v>
      </c>
      <c r="AA200" s="1" t="s">
        <v>2027</v>
      </c>
      <c r="AB200" s="1" t="s">
        <v>2027</v>
      </c>
      <c r="AC200" s="1" t="s">
        <v>2027</v>
      </c>
      <c r="AD200" s="1" t="s">
        <v>2027</v>
      </c>
      <c r="AE200" s="1" t="s">
        <v>2027</v>
      </c>
      <c r="AF200" s="1" t="s">
        <v>2027</v>
      </c>
      <c r="AG200" s="1">
        <v>4</v>
      </c>
      <c r="AH200" s="1">
        <v>3</v>
      </c>
      <c r="AI200" s="1">
        <v>3</v>
      </c>
      <c r="AJ200" s="52" t="s">
        <v>2029</v>
      </c>
      <c r="AK200" s="9">
        <f>($L$3*(L200-$Q$1)/$Q$2+$M$3*(M200-$R$1)/$R$2+$N$3*(N200-$S$1)/$S$2+$O$3*(O200-$T$1)/$T$2+$P$3*(P200-$U$1)/$U$2)/(SUM($L$3:$P$3))</f>
        <v>-0.9902031606916446</v>
      </c>
      <c r="AL200" s="9">
        <f>($L$3*(Q200-$Q$1)/$Q$2+$M$3*(R200-$R$1)/$R$2+$N$3*(S200-$S$1)/$S$2+$O$3*(T200-$T$1)/$T$2+$P$3*(U200-$U$1)/$U$2)/(SUM($L$3:$P$3))</f>
        <v>-0.2420725567878379</v>
      </c>
      <c r="AM200">
        <f>IF(AVERAGE(AG200:AH200)&gt;9,1,0)+IF(AVERAGE(AG200:AH200)&gt;7,1,0)+IF(AG200&gt;7,1,0)+IF(AH200&gt;7,1,0)+IF(AI200&gt;8,1,0)+IF(AI200&gt;6,1,0)</f>
        <v>0</v>
      </c>
      <c r="AN200" s="6">
        <f>MIN(2,IF(OR(Y200="-",X200&lt;5),0,1+IF(Y200&gt;7,1+IF(X200&gt;7,0.25,0),IF(Y200&gt;4,0.5+IF(X200&gt;7,0.25,0),0+IF(X200&gt;7,0.25))))+IF(Z200="-",0,IF(Z200&gt;9,0.5,IF(Z200&gt;7,0.25,0)))+IF(AA200="-",0,IF(AA200&gt;7,1.1,IF(AA200&gt;4,0.6,0)))+IF(OR(AB200="-",V200&lt;5),0,IF(AB200&gt;7,1+IF(V200&gt;7,0.25,0),IF(AB200&gt;4,0.5+IF(V200&gt;7,0.25,0),0)))+IF(AC200="-",0,IF(AC200&gt;7,1.5,IF(AC200&gt;4,1,0)))+IF(AD200="-",0,IF(AD200&gt;9,0.5,IF(AD200&gt;7,0.25,0)))+IF(AE200="-",0,IF(AE200&gt;7,1.25,IF(AE200&gt;4,0.75,0)))+IF(OR(AF200="-",W200&lt;4),0,IF(AF200&gt;7,1+IF(W200&gt;7,0.15,0),IF(AF200&gt;4,0.5+IF(W200&gt;7,0.15,0),0))))</f>
        <v>0</v>
      </c>
      <c r="AO200" s="9">
        <f>($AK$3*AK200+$AL$3*AL200+$AM$3*AM200+$AN$3*AN200)+$J$3*VLOOKUP(J200,COND!$A$2:$C$7,2,FALSE)+$K$3*VLOOKUP(K200,COND!$A$2:$C$7,3,FALSE)</f>
        <v>6.3961090024767806</v>
      </c>
      <c r="AP200" s="37">
        <f>STANDARDIZE(AO200,AVERAGE($AO$5:$AO$1295),STDEVP($AO$5:$AO$1295))</f>
        <v>-0.59325961526514603</v>
      </c>
      <c r="AQ200" t="str">
        <f>IF(AND(Y200&lt;&gt;"-",X200&gt;1),"C",IF(AA200=MAX(AA200:AC200),"2B",IF(AC200=MAX(AA200:AC200),"SS",IF(OR(AB200=MAX(Z200:AC200),AND(AB200&lt;&gt;"-",AB200&gt;4,V200&gt;5)),"3B",IF(AE200=MAX(AD200:AF200),"CF",IF(AND(AF200=MAX(AD200,AF200),AND(W200&gt;5,AD200&lt;&gt;"-")),"RF",IF(AD200&lt;&gt;"-","LF",IF(Z200&lt;&gt;"-","1B","DH"))))))))</f>
        <v>1B</v>
      </c>
      <c r="AR200" t="s">
        <v>35</v>
      </c>
      <c r="AU200" t="str">
        <f>IF(AND($Q200&gt;=6,AVERAGE($S200:$T200)&gt;=6),"Likely",IF(OR($Q200&gt;6,AND($Q200=6,AVERAGE($S200:$T200)&gt;=3),AND($Q200&gt;=5,AVERAGE($S200:$T200)&gt;=5),AVERAGE($Q200,$S200:$T200)&gt;5),"Possible","Unlikely"))</f>
        <v>Unlikely</v>
      </c>
      <c r="AW200" t="e">
        <f>IF(VLOOKUP($B200,'Draft List'!$D$4:$AB$2598,AW$3,FALSE)&lt;&gt;0,VLOOKUP($B200,'Draft List'!$D$4:$AB$2598,AW$3,FALSE),"")</f>
        <v>#N/A</v>
      </c>
      <c r="AX200" t="e">
        <f>IF(VLOOKUP($B200,'Draft List'!$D$4:$AB$2598,AX$3,FALSE)&lt;&gt;0,VLOOKUP($B200,'Draft List'!$D$4:$AB$2598,AX$3,FALSE),"")</f>
        <v>#N/A</v>
      </c>
      <c r="AY200" t="e">
        <f>IF(VLOOKUP($B200,'Draft List'!$D$4:$AB$2598,AY$3,FALSE)&lt;&gt;0,VLOOKUP($B200,'Draft List'!$D$4:$AB$2598,AY$3,FALSE),"")</f>
        <v>#N/A</v>
      </c>
    </row>
    <row r="201" spans="1:51">
      <c r="A201" t="str">
        <f>IF(C201="C","C-",C201)&amp;D201&amp;E201</f>
        <v>2BChris Thomas21</v>
      </c>
      <c r="B201">
        <f>VLOOKUP($A201,draft_listing_batters_stats!$A$1:$B$1324,2,FALSE)</f>
        <v>8151</v>
      </c>
      <c r="C201" s="1" t="s">
        <v>2069</v>
      </c>
      <c r="D201" s="1" t="s">
        <v>1228</v>
      </c>
      <c r="E201" s="1">
        <v>21</v>
      </c>
      <c r="F201" s="1" t="s">
        <v>2022</v>
      </c>
      <c r="G201" s="1" t="s">
        <v>2022</v>
      </c>
      <c r="H201" s="1" t="s">
        <v>2033</v>
      </c>
      <c r="I201" s="1" t="s">
        <v>2033</v>
      </c>
      <c r="J201" s="1" t="s">
        <v>2030</v>
      </c>
      <c r="K201" s="1" t="s">
        <v>2030</v>
      </c>
      <c r="L201" s="1">
        <v>3</v>
      </c>
      <c r="M201" s="1">
        <v>4</v>
      </c>
      <c r="N201" s="1">
        <v>1</v>
      </c>
      <c r="O201" s="1">
        <v>2</v>
      </c>
      <c r="P201" s="1">
        <v>2</v>
      </c>
      <c r="Q201" s="1">
        <v>4</v>
      </c>
      <c r="R201" s="1">
        <v>5</v>
      </c>
      <c r="S201" s="1">
        <v>2</v>
      </c>
      <c r="T201" s="1">
        <v>5</v>
      </c>
      <c r="U201" s="1">
        <v>4</v>
      </c>
      <c r="V201" s="1">
        <v>5</v>
      </c>
      <c r="W201" s="1">
        <v>3</v>
      </c>
      <c r="X201" s="1">
        <v>1</v>
      </c>
      <c r="Y201" s="1" t="s">
        <v>2027</v>
      </c>
      <c r="Z201" s="1" t="s">
        <v>2027</v>
      </c>
      <c r="AA201" s="1">
        <v>4</v>
      </c>
      <c r="AB201" s="1" t="s">
        <v>2027</v>
      </c>
      <c r="AC201" s="1">
        <v>1</v>
      </c>
      <c r="AD201" s="1" t="s">
        <v>2027</v>
      </c>
      <c r="AE201" s="1" t="s">
        <v>2027</v>
      </c>
      <c r="AF201" s="1" t="s">
        <v>2027</v>
      </c>
      <c r="AG201" s="1">
        <v>7</v>
      </c>
      <c r="AH201" s="1">
        <v>9</v>
      </c>
      <c r="AI201" s="1">
        <v>8</v>
      </c>
      <c r="AJ201" s="52" t="s">
        <v>2029</v>
      </c>
      <c r="AK201" s="9">
        <f>($L$3*(L201-$Q$1)/$Q$2+$M$3*(M201-$R$1)/$R$2+$N$3*(N201-$S$1)/$S$2+$O$3*(O201-$T$1)/$T$2+$P$3*(P201-$U$1)/$U$2)/(SUM($L$3:$P$3))</f>
        <v>-1.1563261487394476</v>
      </c>
      <c r="AL201" s="9">
        <f>($L$3*(Q201-$Q$1)/$Q$2+$M$3*(R201-$R$1)/$R$2+$N$3*(S201-$S$1)/$S$2+$O$3*(T201-$T$1)/$T$2+$P$3*(U201-$U$1)/$U$2)/(SUM($L$3:$P$3))</f>
        <v>-0.35048760923125782</v>
      </c>
      <c r="AM201">
        <f>IF(AVERAGE(AG201:AH201)&gt;9,1,0)+IF(AVERAGE(AG201:AH201)&gt;7,1,0)+IF(AG201&gt;7,1,0)+IF(AH201&gt;7,1,0)+IF(AI201&gt;8,1,0)+IF(AI201&gt;6,1,0)</f>
        <v>3</v>
      </c>
      <c r="AN201" s="6">
        <f>MIN(2,IF(OR(Y201="-",X201&lt;5),0,1+IF(Y201&gt;7,1+IF(X201&gt;7,0.25,0),IF(Y201&gt;4,0.5+IF(X201&gt;7,0.25,0),0+IF(X201&gt;7,0.25))))+IF(Z201="-",0,IF(Z201&gt;9,0.5,IF(Z201&gt;7,0.25,0)))+IF(AA201="-",0,IF(AA201&gt;7,1.1,IF(AA201&gt;4,0.6,0)))+IF(OR(AB201="-",V201&lt;5),0,IF(AB201&gt;7,1+IF(V201&gt;7,0.25,0),IF(AB201&gt;4,0.5+IF(V201&gt;7,0.25,0),0)))+IF(AC201="-",0,IF(AC201&gt;7,1.5,IF(AC201&gt;4,1,0)))+IF(AD201="-",0,IF(AD201&gt;9,0.5,IF(AD201&gt;7,0.25,0)))+IF(AE201="-",0,IF(AE201&gt;7,1.25,IF(AE201&gt;4,0.75,0)))+IF(OR(AF201="-",W201&lt;4),0,IF(AF201&gt;7,1+IF(W201&gt;7,0.15,0),IF(AF201&gt;4,0.5+IF(W201&gt;7,0.15,0),0))))</f>
        <v>0</v>
      </c>
      <c r="AO201" s="9">
        <f>($AK$3*AK201+$AL$3*AL201+$AM$3*AM201+$AN$3*AN201)+$J$3*VLOOKUP(J201,COND!$A$2:$C$7,2,FALSE)+$K$3*VLOOKUP(K201,COND!$A$2:$C$7,3,FALSE)</f>
        <v>6.3785160743509612</v>
      </c>
      <c r="AP201" s="37">
        <f>STANDARDIZE(AO201,AVERAGE($AO$5:$AO$1295),STDEVP($AO$5:$AO$1295))</f>
        <v>-0.59570368910538452</v>
      </c>
      <c r="AQ201" t="str">
        <f>IF(AND(Y201&lt;&gt;"-",X201&gt;1),"C",IF(AA201=MAX(AA201:AC201),"2B",IF(AC201=MAX(AA201:AC201),"SS",IF(OR(AB201=MAX(Z201:AC201),AND(AB201&lt;&gt;"-",AB201&gt;4,V201&gt;5)),"3B",IF(AE201=MAX(AD201:AF201),"CF",IF(AND(AF201=MAX(AD201,AF201),AND(W201&gt;5,AD201&lt;&gt;"-")),"RF",IF(AD201&lt;&gt;"-","LF",IF(Z201&lt;&gt;"-","1B","DH"))))))))</f>
        <v>2B</v>
      </c>
      <c r="AR201" t="s">
        <v>35</v>
      </c>
      <c r="AU201" t="str">
        <f>IF(AND($Q201&gt;=6,AVERAGE($S201:$T201)&gt;=6),"Likely",IF(OR($Q201&gt;6,AND($Q201=6,AVERAGE($S201:$T201)&gt;=3),AND($Q201&gt;=5,AVERAGE($S201:$T201)&gt;=5),AVERAGE($Q201,$S201:$T201)&gt;5),"Possible","Unlikely"))</f>
        <v>Unlikely</v>
      </c>
      <c r="AW201" t="str">
        <f>IF(VLOOKUP($B201,'Draft List'!$D$4:$AB$2598,AW$3,FALSE)&lt;&gt;0,VLOOKUP($B201,'Draft List'!$D$4:$AB$2598,AW$3,FALSE),"")</f>
        <v/>
      </c>
      <c r="AX201" t="str">
        <f>IF(VLOOKUP($B201,'Draft List'!$D$4:$AB$2598,AX$3,FALSE)&lt;&gt;0,VLOOKUP($B201,'Draft List'!$D$4:$AB$2598,AX$3,FALSE),"")</f>
        <v/>
      </c>
      <c r="AY201" t="str">
        <f>IF(VLOOKUP($B201,'Draft List'!$D$4:$AB$2598,AY$3,FALSE)&lt;&gt;0,VLOOKUP($B201,'Draft List'!$D$4:$AB$2598,AY$3,FALSE),"")</f>
        <v/>
      </c>
    </row>
    <row r="202" spans="1:51">
      <c r="A202" t="str">
        <f>IF(C202="C","C-",C202)&amp;D202&amp;E202</f>
        <v>3BRon Tucker21</v>
      </c>
      <c r="B202">
        <f>VLOOKUP($A202,draft_listing_batters_stats!$A$1:$B$1324,2,FALSE)</f>
        <v>2370</v>
      </c>
      <c r="C202" s="1" t="s">
        <v>2061</v>
      </c>
      <c r="D202" s="1" t="s">
        <v>1234</v>
      </c>
      <c r="E202" s="1">
        <v>21</v>
      </c>
      <c r="F202" s="1" t="s">
        <v>2022</v>
      </c>
      <c r="G202" s="1" t="s">
        <v>2022</v>
      </c>
      <c r="H202" s="1" t="s">
        <v>2033</v>
      </c>
      <c r="I202" s="1" t="s">
        <v>2033</v>
      </c>
      <c r="J202" s="1" t="s">
        <v>2036</v>
      </c>
      <c r="K202" s="1" t="s">
        <v>2030</v>
      </c>
      <c r="L202" s="1">
        <v>3</v>
      </c>
      <c r="M202" s="1">
        <v>3</v>
      </c>
      <c r="N202" s="1">
        <v>2</v>
      </c>
      <c r="O202" s="1">
        <v>2</v>
      </c>
      <c r="P202" s="1">
        <v>3</v>
      </c>
      <c r="Q202" s="1">
        <v>4</v>
      </c>
      <c r="R202" s="1">
        <v>3</v>
      </c>
      <c r="S202" s="1">
        <v>5</v>
      </c>
      <c r="T202" s="1">
        <v>2</v>
      </c>
      <c r="U202" s="1">
        <v>6</v>
      </c>
      <c r="V202" s="1">
        <v>4</v>
      </c>
      <c r="W202" s="1">
        <v>2</v>
      </c>
      <c r="X202" s="1">
        <v>1</v>
      </c>
      <c r="Y202" s="1" t="s">
        <v>2027</v>
      </c>
      <c r="Z202" s="1">
        <v>7</v>
      </c>
      <c r="AA202" s="1">
        <v>6</v>
      </c>
      <c r="AB202" s="1">
        <v>7</v>
      </c>
      <c r="AC202" s="1">
        <v>3</v>
      </c>
      <c r="AD202" s="1" t="s">
        <v>2027</v>
      </c>
      <c r="AE202" s="1" t="s">
        <v>2027</v>
      </c>
      <c r="AF202" s="1" t="s">
        <v>2027</v>
      </c>
      <c r="AG202" s="1">
        <v>5</v>
      </c>
      <c r="AH202" s="1">
        <v>7</v>
      </c>
      <c r="AI202" s="1">
        <v>8</v>
      </c>
      <c r="AJ202" s="52" t="s">
        <v>2029</v>
      </c>
      <c r="AK202" s="9">
        <f>($L$3*(L202-$Q$1)/$Q$2+$M$3*(M202-$R$1)/$R$2+$N$3*(N202-$S$1)/$S$2+$O$3*(O202-$T$1)/$T$2+$P$3*(P202-$U$1)/$U$2)/(SUM($L$3:$P$3))</f>
        <v>-1.0843081945171662</v>
      </c>
      <c r="AL202" s="9">
        <f>($L$3*(Q202-$Q$1)/$Q$2+$M$3*(R202-$R$1)/$R$2+$N$3*(S202-$S$1)/$S$2+$O$3*(T202-$T$1)/$T$2+$P$3*(U202-$U$1)/$U$2)/(SUM($L$3:$P$3))</f>
        <v>-0.39251885679153653</v>
      </c>
      <c r="AM202">
        <f>IF(AVERAGE(AG202:AH202)&gt;9,1,0)+IF(AVERAGE(AG202:AH202)&gt;7,1,0)+IF(AG202&gt;7,1,0)+IF(AH202&gt;7,1,0)+IF(AI202&gt;8,1,0)+IF(AI202&gt;6,1,0)</f>
        <v>1</v>
      </c>
      <c r="AN202" s="6">
        <f>MIN(2,IF(OR(Y202="-",X202&lt;5),0,1+IF(Y202&gt;7,1+IF(X202&gt;7,0.25,0),IF(Y202&gt;4,0.5+IF(X202&gt;7,0.25,0),0+IF(X202&gt;7,0.25))))+IF(Z202="-",0,IF(Z202&gt;9,0.5,IF(Z202&gt;7,0.25,0)))+IF(AA202="-",0,IF(AA202&gt;7,1.1,IF(AA202&gt;4,0.6,0)))+IF(OR(AB202="-",V202&lt;5),0,IF(AB202&gt;7,1+IF(V202&gt;7,0.25,0),IF(AB202&gt;4,0.5+IF(V202&gt;7,0.25,0),0)))+IF(AC202="-",0,IF(AC202&gt;7,1.5,IF(AC202&gt;4,1,0)))+IF(AD202="-",0,IF(AD202&gt;9,0.5,IF(AD202&gt;7,0.25,0)))+IF(AE202="-",0,IF(AE202&gt;7,1.25,IF(AE202&gt;4,0.75,0)))+IF(OR(AF202="-",W202&lt;4),0,IF(AF202&gt;7,1+IF(W202&gt;7,0.15,0),IF(AF202&gt;4,0.5+IF(W202&gt;7,0.15,0),0))))</f>
        <v>0.6</v>
      </c>
      <c r="AO202" s="9">
        <f>($AK$3*AK202+$AL$3*AL202+$AM$3*AM202+$AN$3*AN202)+$J$3*VLOOKUP(J202,COND!$A$2:$C$7,2,FALSE)+$K$3*VLOOKUP(K202,COND!$A$2:$C$7,3,FALSE)</f>
        <v>6.2980095657165114</v>
      </c>
      <c r="AP202" s="37">
        <f>STANDARDIZE(AO202,AVERAGE($AO$5:$AO$1295),STDEVP($AO$5:$AO$1295))</f>
        <v>-0.60688794736615825</v>
      </c>
      <c r="AQ202" t="str">
        <f>IF(AND(Y202&lt;&gt;"-",X202&gt;1),"C",IF(AA202=MAX(AA202:AC202),"2B",IF(AC202=MAX(AA202:AC202),"SS",IF(OR(AB202=MAX(Z202:AC202),AND(AB202&lt;&gt;"-",AB202&gt;4,V202&gt;5)),"3B",IF(AE202=MAX(AD202:AF202),"CF",IF(AND(AF202=MAX(AD202,AF202),AND(W202&gt;5,AD202&lt;&gt;"-")),"RF",IF(AD202&lt;&gt;"-","LF",IF(Z202&lt;&gt;"-","1B","DH"))))))))</f>
        <v>3B</v>
      </c>
      <c r="AR202" t="s">
        <v>35</v>
      </c>
      <c r="AU202" t="str">
        <f>IF(AND($Q202&gt;=6,AVERAGE($S202:$T202)&gt;=6),"Likely",IF(OR($Q202&gt;6,AND($Q202=6,AVERAGE($S202:$T202)&gt;=3),AND($Q202&gt;=5,AVERAGE($S202:$T202)&gt;=5),AVERAGE($Q202,$S202:$T202)&gt;5),"Possible","Unlikely"))</f>
        <v>Unlikely</v>
      </c>
      <c r="AW202" t="e">
        <f>IF(VLOOKUP($B202,'Draft List'!$D$4:$AB$2598,AW$3,FALSE)&lt;&gt;0,VLOOKUP($B202,'Draft List'!$D$4:$AB$2598,AW$3,FALSE),"")</f>
        <v>#N/A</v>
      </c>
      <c r="AX202" t="e">
        <f>IF(VLOOKUP($B202,'Draft List'!$D$4:$AB$2598,AX$3,FALSE)&lt;&gt;0,VLOOKUP($B202,'Draft List'!$D$4:$AB$2598,AX$3,FALSE),"")</f>
        <v>#N/A</v>
      </c>
      <c r="AY202" t="e">
        <f>IF(VLOOKUP($B202,'Draft List'!$D$4:$AB$2598,AY$3,FALSE)&lt;&gt;0,VLOOKUP($B202,'Draft List'!$D$4:$AB$2598,AY$3,FALSE),"")</f>
        <v>#N/A</v>
      </c>
    </row>
    <row r="203" spans="1:51">
      <c r="A203" t="str">
        <f>IF(C203="C","C-",C203)&amp;D203&amp;E203</f>
        <v>CFBailey Jackson21</v>
      </c>
      <c r="B203">
        <f>VLOOKUP($A203,draft_listing_batters_stats!$A$1:$B$1324,2,FALSE)</f>
        <v>2949</v>
      </c>
      <c r="C203" s="1" t="s">
        <v>2079</v>
      </c>
      <c r="D203" s="1" t="s">
        <v>1320</v>
      </c>
      <c r="E203" s="1">
        <v>21</v>
      </c>
      <c r="F203" s="1" t="s">
        <v>2049</v>
      </c>
      <c r="G203" s="1" t="s">
        <v>2038</v>
      </c>
      <c r="H203" s="1" t="s">
        <v>2033</v>
      </c>
      <c r="I203" s="1" t="s">
        <v>2033</v>
      </c>
      <c r="J203" s="1" t="s">
        <v>2030</v>
      </c>
      <c r="K203" s="1" t="s">
        <v>2026</v>
      </c>
      <c r="L203" s="1">
        <v>3</v>
      </c>
      <c r="M203" s="1">
        <v>4</v>
      </c>
      <c r="N203" s="1">
        <v>2</v>
      </c>
      <c r="O203" s="1">
        <v>3</v>
      </c>
      <c r="P203" s="1">
        <v>2</v>
      </c>
      <c r="Q203" s="1">
        <v>4</v>
      </c>
      <c r="R203" s="1">
        <v>5</v>
      </c>
      <c r="S203" s="1">
        <v>3</v>
      </c>
      <c r="T203" s="1">
        <v>4</v>
      </c>
      <c r="U203" s="1">
        <v>4</v>
      </c>
      <c r="V203" s="1">
        <v>5</v>
      </c>
      <c r="W203" s="1">
        <v>6</v>
      </c>
      <c r="X203" s="1">
        <v>1</v>
      </c>
      <c r="Y203" s="1" t="s">
        <v>2027</v>
      </c>
      <c r="Z203" s="1">
        <v>2</v>
      </c>
      <c r="AA203" s="1" t="s">
        <v>2027</v>
      </c>
      <c r="AB203" s="1" t="s">
        <v>2027</v>
      </c>
      <c r="AC203" s="1" t="s">
        <v>2027</v>
      </c>
      <c r="AD203" s="1">
        <v>6</v>
      </c>
      <c r="AE203" s="1">
        <v>3</v>
      </c>
      <c r="AF203" s="1">
        <v>4</v>
      </c>
      <c r="AG203" s="1">
        <v>7</v>
      </c>
      <c r="AH203" s="1">
        <v>9</v>
      </c>
      <c r="AI203" s="1">
        <v>9</v>
      </c>
      <c r="AJ203" s="52" t="s">
        <v>2029</v>
      </c>
      <c r="AK203" s="9">
        <f>($L$3*(L203-$Q$1)/$Q$2+$M$3*(M203-$R$1)/$R$2+$N$3*(N203-$S$1)/$S$2+$O$3*(O203-$T$1)/$T$2+$P$3*(P203-$U$1)/$U$2)/(SUM($L$3:$P$3))</f>
        <v>-0.98355510470596508</v>
      </c>
      <c r="AL203" s="9">
        <f>($L$3*(Q203-$Q$1)/$Q$2+$M$3*(R203-$R$1)/$R$2+$N$3*(S203-$S$1)/$S$2+$O$3*(T203-$T$1)/$T$2+$P$3*(U203-$U$1)/$U$2)/(SUM($L$3:$P$3))</f>
        <v>-0.35713566521693735</v>
      </c>
      <c r="AM203">
        <f>IF(AVERAGE(AG203:AH203)&gt;9,1,0)+IF(AVERAGE(AG203:AH203)&gt;7,1,0)+IF(AG203&gt;7,1,0)+IF(AH203&gt;7,1,0)+IF(AI203&gt;8,1,0)+IF(AI203&gt;6,1,0)</f>
        <v>4</v>
      </c>
      <c r="AN203" s="6">
        <f>MIN(2,IF(OR(Y203="-",X203&lt;5),0,1+IF(Y203&gt;7,1+IF(X203&gt;7,0.25,0),IF(Y203&gt;4,0.5+IF(X203&gt;7,0.25,0),0+IF(X203&gt;7,0.25))))+IF(Z203="-",0,IF(Z203&gt;9,0.5,IF(Z203&gt;7,0.25,0)))+IF(AA203="-",0,IF(AA203&gt;7,1.1,IF(AA203&gt;4,0.6,0)))+IF(OR(AB203="-",V203&lt;5),0,IF(AB203&gt;7,1+IF(V203&gt;7,0.25,0),IF(AB203&gt;4,0.5+IF(V203&gt;7,0.25,0),0)))+IF(AC203="-",0,IF(AC203&gt;7,1.5,IF(AC203&gt;4,1,0)))+IF(AD203="-",0,IF(AD203&gt;9,0.5,IF(AD203&gt;7,0.25,0)))+IF(AE203="-",0,IF(AE203&gt;7,1.25,IF(AE203&gt;4,0.75,0)))+IF(OR(AF203="-",W203&lt;4),0,IF(AF203&gt;7,1+IF(W203&gt;7,0.15,0),IF(AF203&gt;4,0.5+IF(W203&gt;7,0.15,0),0))))</f>
        <v>0</v>
      </c>
      <c r="AO203" s="9">
        <f>($AK$3*AK203+$AL$3*AL203+$AM$3*AM203+$AN$3*AN203)+$J$3*VLOOKUP(J203,COND!$A$2:$C$7,2,FALSE)+$K$3*VLOOKUP(K203,COND!$A$2:$C$7,3,FALSE)</f>
        <v>6.2826831735928224</v>
      </c>
      <c r="AP203" s="37">
        <f>STANDARDIZE(AO203,AVERAGE($AO$5:$AO$1295),STDEVP($AO$5:$AO$1295))</f>
        <v>-0.60901714574557819</v>
      </c>
      <c r="AQ203" t="str">
        <f>IF(AND(Y203&lt;&gt;"-",X203&gt;1),"C",IF(AA203=MAX(AA203:AC203),"2B",IF(AC203=MAX(AA203:AC203),"SS",IF(OR(AB203=MAX(Z203:AC203),AND(AB203&lt;&gt;"-",AB203&gt;4,V203&gt;5)),"3B",IF(AE203=MAX(AD203:AF203),"CF",IF(AND(AF203=MAX(AD203,AF203),AND(W203&gt;5,AD203&lt;&gt;"-")),"RF",IF(AD203&lt;&gt;"-","LF",IF(Z203&lt;&gt;"-","1B","DH"))))))))</f>
        <v>LF</v>
      </c>
      <c r="AR203" t="s">
        <v>35</v>
      </c>
      <c r="AU203" t="str">
        <f>IF(AND($Q203&gt;=6,AVERAGE($S203:$T203)&gt;=6),"Likely",IF(OR($Q203&gt;6,AND($Q203=6,AVERAGE($S203:$T203)&gt;=3),AND($Q203&gt;=5,AVERAGE($S203:$T203)&gt;=5),AVERAGE($Q203,$S203:$T203)&gt;5),"Possible","Unlikely"))</f>
        <v>Unlikely</v>
      </c>
      <c r="AW203" t="str">
        <f>IF(VLOOKUP($B203,'Draft List'!$D$4:$AB$2598,AW$3,FALSE)&lt;&gt;0,VLOOKUP($B203,'Draft List'!$D$4:$AB$2598,AW$3,FALSE),"")</f>
        <v/>
      </c>
      <c r="AX203" t="str">
        <f>IF(VLOOKUP($B203,'Draft List'!$D$4:$AB$2598,AX$3,FALSE)&lt;&gt;0,VLOOKUP($B203,'Draft List'!$D$4:$AB$2598,AX$3,FALSE),"")</f>
        <v/>
      </c>
      <c r="AY203" t="str">
        <f>IF(VLOOKUP($B203,'Draft List'!$D$4:$AB$2598,AY$3,FALSE)&lt;&gt;0,VLOOKUP($B203,'Draft List'!$D$4:$AB$2598,AY$3,FALSE),"")</f>
        <v/>
      </c>
    </row>
    <row r="204" spans="1:51">
      <c r="A204" t="str">
        <f>IF(C204="C","C-",C204)&amp;D204&amp;E204</f>
        <v>CFIván Cruz18</v>
      </c>
      <c r="B204" t="e">
        <f>VLOOKUP($A204,draft_listing_batters_stats!$A$1:$B$1324,2,FALSE)</f>
        <v>#N/A</v>
      </c>
      <c r="C204" s="1" t="s">
        <v>2079</v>
      </c>
      <c r="D204" s="1" t="s">
        <v>1482</v>
      </c>
      <c r="E204" s="1">
        <v>18</v>
      </c>
      <c r="F204" s="1" t="s">
        <v>2022</v>
      </c>
      <c r="G204" s="1" t="s">
        <v>2022</v>
      </c>
      <c r="H204" s="1" t="s">
        <v>2033</v>
      </c>
      <c r="I204" s="1" t="s">
        <v>2033</v>
      </c>
      <c r="J204" s="1" t="s">
        <v>2025</v>
      </c>
      <c r="K204" s="1" t="s">
        <v>2026</v>
      </c>
      <c r="L204" s="1">
        <v>1</v>
      </c>
      <c r="M204" s="1">
        <v>2</v>
      </c>
      <c r="N204" s="1">
        <v>1</v>
      </c>
      <c r="O204" s="1">
        <v>1</v>
      </c>
      <c r="P204" s="1">
        <v>1</v>
      </c>
      <c r="Q204" s="1">
        <v>5</v>
      </c>
      <c r="R204" s="1">
        <v>6</v>
      </c>
      <c r="S204" s="1">
        <v>1</v>
      </c>
      <c r="T204" s="1">
        <v>2</v>
      </c>
      <c r="U204" s="1">
        <v>5</v>
      </c>
      <c r="V204" s="1">
        <v>1</v>
      </c>
      <c r="W204" s="1">
        <v>9</v>
      </c>
      <c r="X204" s="1">
        <v>1</v>
      </c>
      <c r="Y204" s="1" t="s">
        <v>2027</v>
      </c>
      <c r="Z204" s="1" t="s">
        <v>2027</v>
      </c>
      <c r="AA204" s="1" t="s">
        <v>2027</v>
      </c>
      <c r="AB204" s="1" t="s">
        <v>2027</v>
      </c>
      <c r="AC204" s="1" t="s">
        <v>2027</v>
      </c>
      <c r="AD204" s="1">
        <v>3</v>
      </c>
      <c r="AE204" s="1">
        <v>4</v>
      </c>
      <c r="AF204" s="1">
        <v>3</v>
      </c>
      <c r="AG204" s="1">
        <v>7</v>
      </c>
      <c r="AH204" s="1">
        <v>6</v>
      </c>
      <c r="AI204" s="1">
        <v>3</v>
      </c>
      <c r="AJ204" s="52" t="s">
        <v>2029</v>
      </c>
      <c r="AK204" s="9">
        <f>($L$3*(L204-$Q$1)/$Q$2+$M$3*(M204-$R$1)/$R$2+$N$3*(N204-$S$1)/$S$2+$O$3*(O204-$T$1)/$T$2+$P$3*(P204-$U$1)/$U$2)/(SUM($L$3:$P$3))</f>
        <v>-2.0332834702088682</v>
      </c>
      <c r="AL204" s="9">
        <f>($L$3*(Q204-$Q$1)/$Q$2+$M$3*(R204-$R$1)/$R$2+$N$3*(S204-$S$1)/$S$2+$O$3*(T204-$T$1)/$T$2+$P$3*(U204-$U$1)/$U$2)/(SUM($L$3:$P$3))</f>
        <v>-0.28904569764544086</v>
      </c>
      <c r="AM204">
        <f>IF(AVERAGE(AG204:AH204)&gt;9,1,0)+IF(AVERAGE(AG204:AH204)&gt;7,1,0)+IF(AG204&gt;7,1,0)+IF(AH204&gt;7,1,0)+IF(AI204&gt;8,1,0)+IF(AI204&gt;6,1,0)</f>
        <v>0</v>
      </c>
      <c r="AN204" s="6">
        <f>MIN(2,IF(OR(Y204="-",X204&lt;5),0,1+IF(Y204&gt;7,1+IF(X204&gt;7,0.25,0),IF(Y204&gt;4,0.5+IF(X204&gt;7,0.25,0),0+IF(X204&gt;7,0.25))))+IF(Z204="-",0,IF(Z204&gt;9,0.5,IF(Z204&gt;7,0.25,0)))+IF(AA204="-",0,IF(AA204&gt;7,1.1,IF(AA204&gt;4,0.6,0)))+IF(OR(AB204="-",V204&lt;5),0,IF(AB204&gt;7,1+IF(V204&gt;7,0.25,0),IF(AB204&gt;4,0.5+IF(V204&gt;7,0.25,0),0)))+IF(AC204="-",0,IF(AC204&gt;7,1.5,IF(AC204&gt;4,1,0)))+IF(AD204="-",0,IF(AD204&gt;9,0.5,IF(AD204&gt;7,0.25,0)))+IF(AE204="-",0,IF(AE204&gt;7,1.25,IF(AE204&gt;4,0.75,0)))+IF(OR(AF204="-",W204&lt;4),0,IF(AF204&gt;7,1+IF(W204&gt;7,0.15,0),IF(AF204&gt;4,0.5+IF(W204&gt;7,0.15,0),0))))</f>
        <v>0</v>
      </c>
      <c r="AO204" s="9">
        <f>($AK$3*AK204+$AL$3*AL204+$AM$3*AM204+$AN$3*AN204)+$J$3*VLOOKUP(J204,COND!$A$2:$C$7,2,FALSE)+$K$3*VLOOKUP(K204,COND!$A$2:$C$7,3,FALSE)</f>
        <v>6.2281232812338239</v>
      </c>
      <c r="AP204" s="37">
        <f>STANDARDIZE(AO204,AVERAGE($AO$5:$AO$1295),STDEVP($AO$5:$AO$1295))</f>
        <v>-0.61659680529327754</v>
      </c>
      <c r="AQ204" t="str">
        <f>IF(AND(Y204&lt;&gt;"-",X204&gt;1),"C",IF(AA204=MAX(AA204:AC204),"2B",IF(AC204=MAX(AA204:AC204),"SS",IF(OR(AB204=MAX(Z204:AC204),AND(AB204&lt;&gt;"-",AB204&gt;4,V204&gt;5)),"3B",IF(AE204=MAX(AD204:AF204),"CF",IF(AND(AF204=MAX(AD204,AF204),AND(W204&gt;5,AD204&lt;&gt;"-")),"RF",IF(AD204&lt;&gt;"-","LF",IF(Z204&lt;&gt;"-","1B","DH"))))))))</f>
        <v>CF</v>
      </c>
      <c r="AR204" t="s">
        <v>35</v>
      </c>
      <c r="AU204" t="str">
        <f>IF(AND($Q204&gt;=6,AVERAGE($S204:$T204)&gt;=6),"Likely",IF(OR($Q204&gt;6,AND($Q204=6,AVERAGE($S204:$T204)&gt;=3),AND($Q204&gt;=5,AVERAGE($S204:$T204)&gt;=5),AVERAGE($Q204,$S204:$T204)&gt;5),"Possible","Unlikely"))</f>
        <v>Unlikely</v>
      </c>
      <c r="AW204" t="e">
        <f>IF(VLOOKUP($B204,'Draft List'!$D$4:$AB$2598,AW$3,FALSE)&lt;&gt;0,VLOOKUP($B204,'Draft List'!$D$4:$AB$2598,AW$3,FALSE),"")</f>
        <v>#N/A</v>
      </c>
      <c r="AX204" t="e">
        <f>IF(VLOOKUP($B204,'Draft List'!$D$4:$AB$2598,AX$3,FALSE)&lt;&gt;0,VLOOKUP($B204,'Draft List'!$D$4:$AB$2598,AX$3,FALSE),"")</f>
        <v>#N/A</v>
      </c>
      <c r="AY204" t="e">
        <f>IF(VLOOKUP($B204,'Draft List'!$D$4:$AB$2598,AY$3,FALSE)&lt;&gt;0,VLOOKUP($B204,'Draft List'!$D$4:$AB$2598,AY$3,FALSE),"")</f>
        <v>#N/A</v>
      </c>
    </row>
    <row r="205" spans="1:51">
      <c r="A205" t="str">
        <f>IF(C205="C","C-",C205)&amp;D205&amp;E205</f>
        <v>RFBrian Snider21</v>
      </c>
      <c r="B205">
        <f>VLOOKUP($A205,draft_listing_batters_stats!$A$1:$B$1324,2,FALSE)</f>
        <v>6114</v>
      </c>
      <c r="C205" s="1" t="s">
        <v>2057</v>
      </c>
      <c r="D205" s="1" t="s">
        <v>1218</v>
      </c>
      <c r="E205" s="1">
        <v>21</v>
      </c>
      <c r="F205" s="1" t="s">
        <v>2038</v>
      </c>
      <c r="G205" s="1" t="s">
        <v>2038</v>
      </c>
      <c r="H205" s="1" t="s">
        <v>2033</v>
      </c>
      <c r="I205" s="1" t="s">
        <v>2033</v>
      </c>
      <c r="J205" s="1" t="s">
        <v>2040</v>
      </c>
      <c r="K205" s="1" t="s">
        <v>2030</v>
      </c>
      <c r="L205" s="1">
        <v>3</v>
      </c>
      <c r="M205" s="1">
        <v>5</v>
      </c>
      <c r="N205" s="1">
        <v>2</v>
      </c>
      <c r="O205" s="1">
        <v>4</v>
      </c>
      <c r="P205" s="1">
        <v>3</v>
      </c>
      <c r="Q205" s="1">
        <v>4</v>
      </c>
      <c r="R205" s="1">
        <v>6</v>
      </c>
      <c r="S205" s="1">
        <v>2</v>
      </c>
      <c r="T205" s="1">
        <v>4</v>
      </c>
      <c r="U205" s="1">
        <v>4</v>
      </c>
      <c r="V205" s="1">
        <v>1</v>
      </c>
      <c r="W205" s="1">
        <v>6</v>
      </c>
      <c r="X205" s="1">
        <v>1</v>
      </c>
      <c r="Y205" s="1" t="s">
        <v>2027</v>
      </c>
      <c r="Z205" s="1">
        <v>1</v>
      </c>
      <c r="AA205" s="1" t="s">
        <v>2027</v>
      </c>
      <c r="AB205" s="1" t="s">
        <v>2027</v>
      </c>
      <c r="AC205" s="1" t="s">
        <v>2027</v>
      </c>
      <c r="AD205" s="1">
        <v>2</v>
      </c>
      <c r="AE205" s="1" t="s">
        <v>2027</v>
      </c>
      <c r="AF205" s="1">
        <v>6</v>
      </c>
      <c r="AG205" s="1">
        <v>8</v>
      </c>
      <c r="AH205" s="1">
        <v>8</v>
      </c>
      <c r="AI205" s="1">
        <v>10</v>
      </c>
      <c r="AJ205" s="52" t="s">
        <v>2029</v>
      </c>
      <c r="AK205" s="9">
        <f>($L$3*(L205-$Q$1)/$Q$2+$M$3*(M205-$R$1)/$R$2+$N$3*(N205-$S$1)/$S$2+$O$3*(O205-$T$1)/$T$2+$P$3*(P205-$U$1)/$U$2)/(SUM($L$3:$P$3))</f>
        <v>-0.80276933526059713</v>
      </c>
      <c r="AL205" s="9">
        <f>($L$3*(Q205-$Q$1)/$Q$2+$M$3*(R205-$R$1)/$R$2+$N$3*(S205-$S$1)/$S$2+$O$3*(T205-$T$1)/$T$2+$P$3*(U205-$U$1)/$U$2)/(SUM($L$3:$P$3))</f>
        <v>-0.3891372796221354</v>
      </c>
      <c r="AM205">
        <f>IF(AVERAGE(AG205:AH205)&gt;9,1,0)+IF(AVERAGE(AG205:AH205)&gt;7,1,0)+IF(AG205&gt;7,1,0)+IF(AH205&gt;7,1,0)+IF(AI205&gt;8,1,0)+IF(AI205&gt;6,1,0)</f>
        <v>5</v>
      </c>
      <c r="AN205" s="6">
        <f>MIN(2,IF(OR(Y205="-",X205&lt;5),0,1+IF(Y205&gt;7,1+IF(X205&gt;7,0.25,0),IF(Y205&gt;4,0.5+IF(X205&gt;7,0.25,0),0+IF(X205&gt;7,0.25))))+IF(Z205="-",0,IF(Z205&gt;9,0.5,IF(Z205&gt;7,0.25,0)))+IF(AA205="-",0,IF(AA205&gt;7,1.1,IF(AA205&gt;4,0.6,0)))+IF(OR(AB205="-",V205&lt;5),0,IF(AB205&gt;7,1+IF(V205&gt;7,0.25,0),IF(AB205&gt;4,0.5+IF(V205&gt;7,0.25,0),0)))+IF(AC205="-",0,IF(AC205&gt;7,1.5,IF(AC205&gt;4,1,0)))+IF(AD205="-",0,IF(AD205&gt;9,0.5,IF(AD205&gt;7,0.25,0)))+IF(AE205="-",0,IF(AE205&gt;7,1.25,IF(AE205&gt;4,0.75,0)))+IF(OR(AF205="-",W205&lt;4),0,IF(AF205&gt;7,1+IF(W205&gt;7,0.15,0),IF(AF205&gt;4,0.5+IF(W205&gt;7,0.15,0),0))))</f>
        <v>0.5</v>
      </c>
      <c r="AO205" s="9">
        <f>($AK$3*AK205+$AL$3*AL205+$AM$3*AM205+$AN$3*AN205)+$J$3*VLOOKUP(J205,COND!$A$2:$C$7,2,FALSE)+$K$3*VLOOKUP(K205,COND!$A$2:$C$7,3,FALSE)</f>
        <v>6.1834090443416487</v>
      </c>
      <c r="AP205" s="37">
        <f>STANDARDIZE(AO205,AVERAGE($AO$5:$AO$1295),STDEVP($AO$5:$AO$1295))</f>
        <v>-0.62280867041844712</v>
      </c>
      <c r="AQ205" t="str">
        <f>IF(AND(Y205&lt;&gt;"-",X205&gt;1),"C",IF(AA205=MAX(AA205:AC205),"2B",IF(AC205=MAX(AA205:AC205),"SS",IF(OR(AB205=MAX(Z205:AC205),AND(AB205&lt;&gt;"-",AB205&gt;4,V205&gt;5)),"3B",IF(AE205=MAX(AD205:AF205),"CF",IF(AND(AF205=MAX(AD205,AF205),AND(W205&gt;5,AD205&lt;&gt;"-")),"RF",IF(AD205&lt;&gt;"-","LF",IF(Z205&lt;&gt;"-","1B","DH"))))))))</f>
        <v>RF</v>
      </c>
      <c r="AR205" t="s">
        <v>35</v>
      </c>
      <c r="AU205" t="str">
        <f>IF(AND($Q205&gt;=6,AVERAGE($S205:$T205)&gt;=6),"Likely",IF(OR($Q205&gt;6,AND($Q205=6,AVERAGE($S205:$T205)&gt;=3),AND($Q205&gt;=5,AVERAGE($S205:$T205)&gt;=5),AVERAGE($Q205,$S205:$T205)&gt;5),"Possible","Unlikely"))</f>
        <v>Unlikely</v>
      </c>
      <c r="AW205" t="str">
        <f>IF(VLOOKUP($B205,'Draft List'!$D$4:$AB$2598,AW$3,FALSE)&lt;&gt;0,VLOOKUP($B205,'Draft List'!$D$4:$AB$2598,AW$3,FALSE),"")</f>
        <v/>
      </c>
      <c r="AX205" t="str">
        <f>IF(VLOOKUP($B205,'Draft List'!$D$4:$AB$2598,AX$3,FALSE)&lt;&gt;0,VLOOKUP($B205,'Draft List'!$D$4:$AB$2598,AX$3,FALSE),"")</f>
        <v/>
      </c>
      <c r="AY205" t="str">
        <f>IF(VLOOKUP($B205,'Draft List'!$D$4:$AB$2598,AY$3,FALSE)&lt;&gt;0,VLOOKUP($B205,'Draft List'!$D$4:$AB$2598,AY$3,FALSE),"")</f>
        <v/>
      </c>
    </row>
    <row r="206" spans="1:51">
      <c r="A206" t="str">
        <f>IF(C206="C","C-",C206)&amp;D206&amp;E206</f>
        <v>LFJerry Crittenden20</v>
      </c>
      <c r="B206">
        <f>VLOOKUP($A206,draft_listing_batters_stats!$A$1:$B$1324,2,FALSE)</f>
        <v>6516</v>
      </c>
      <c r="C206" s="1" t="s">
        <v>2035</v>
      </c>
      <c r="D206" s="1" t="s">
        <v>1481</v>
      </c>
      <c r="E206" s="1">
        <v>20</v>
      </c>
      <c r="F206" s="1" t="s">
        <v>2022</v>
      </c>
      <c r="G206" s="1" t="s">
        <v>2022</v>
      </c>
      <c r="H206" s="1" t="s">
        <v>2033</v>
      </c>
      <c r="I206" s="1" t="s">
        <v>2033</v>
      </c>
      <c r="J206" s="1" t="s">
        <v>2030</v>
      </c>
      <c r="K206" s="1" t="s">
        <v>2036</v>
      </c>
      <c r="L206" s="1">
        <v>2</v>
      </c>
      <c r="M206" s="1">
        <v>3</v>
      </c>
      <c r="N206" s="1">
        <v>1</v>
      </c>
      <c r="O206" s="1">
        <v>2</v>
      </c>
      <c r="P206" s="1">
        <v>2</v>
      </c>
      <c r="Q206" s="1">
        <v>4</v>
      </c>
      <c r="R206" s="1">
        <v>6</v>
      </c>
      <c r="S206" s="1">
        <v>3</v>
      </c>
      <c r="T206" s="1">
        <v>3</v>
      </c>
      <c r="U206" s="1">
        <v>4</v>
      </c>
      <c r="V206" s="1">
        <v>1</v>
      </c>
      <c r="W206" s="1">
        <v>8</v>
      </c>
      <c r="X206" s="1">
        <v>2</v>
      </c>
      <c r="Y206" s="1" t="s">
        <v>2027</v>
      </c>
      <c r="Z206" s="1">
        <v>1</v>
      </c>
      <c r="AA206" s="1" t="s">
        <v>2027</v>
      </c>
      <c r="AB206" s="1" t="s">
        <v>2027</v>
      </c>
      <c r="AC206" s="1" t="s">
        <v>2027</v>
      </c>
      <c r="AD206" s="1">
        <v>4</v>
      </c>
      <c r="AE206" s="1">
        <v>1</v>
      </c>
      <c r="AF206" s="1">
        <v>1</v>
      </c>
      <c r="AG206" s="1">
        <v>6</v>
      </c>
      <c r="AH206" s="1">
        <v>10</v>
      </c>
      <c r="AI206" s="1">
        <v>7</v>
      </c>
      <c r="AJ206" s="52">
        <v>240000</v>
      </c>
      <c r="AK206" s="9">
        <f>($L$3*(L206-$Q$1)/$Q$2+$M$3*(M206-$R$1)/$R$2+$N$3*(N206-$S$1)/$S$2+$O$3*(O206-$T$1)/$T$2+$P$3*(P206-$U$1)/$U$2)/(SUM($L$3:$P$3))</f>
        <v>-1.5299418645608258</v>
      </c>
      <c r="AL206" s="9">
        <f>($L$3*(Q206-$Q$1)/$Q$2+$M$3*(R206-$R$1)/$R$2+$N$3*(S206-$S$1)/$S$2+$O$3*(T206-$T$1)/$T$2+$P$3*(U206-$U$1)/$U$2)/(SUM($L$3:$P$3))</f>
        <v>-0.39578533560781487</v>
      </c>
      <c r="AM206">
        <f>IF(AVERAGE(AG206:AH206)&gt;9,1,0)+IF(AVERAGE(AG206:AH206)&gt;7,1,0)+IF(AG206&gt;7,1,0)+IF(AH206&gt;7,1,0)+IF(AI206&gt;8,1,0)+IF(AI206&gt;6,1,0)</f>
        <v>3</v>
      </c>
      <c r="AN206" s="6">
        <f>MIN(2,IF(OR(Y206="-",X206&lt;5),0,1+IF(Y206&gt;7,1+IF(X206&gt;7,0.25,0),IF(Y206&gt;4,0.5+IF(X206&gt;7,0.25,0),0+IF(X206&gt;7,0.25))))+IF(Z206="-",0,IF(Z206&gt;9,0.5,IF(Z206&gt;7,0.25,0)))+IF(AA206="-",0,IF(AA206&gt;7,1.1,IF(AA206&gt;4,0.6,0)))+IF(OR(AB206="-",V206&lt;5),0,IF(AB206&gt;7,1+IF(V206&gt;7,0.25,0),IF(AB206&gt;4,0.5+IF(V206&gt;7,0.25,0),0)))+IF(AC206="-",0,IF(AC206&gt;7,1.5,IF(AC206&gt;4,1,0)))+IF(AD206="-",0,IF(AD206&gt;9,0.5,IF(AD206&gt;7,0.25,0)))+IF(AE206="-",0,IF(AE206&gt;7,1.25,IF(AE206&gt;4,0.75,0)))+IF(OR(AF206="-",W206&lt;4),0,IF(AF206&gt;7,1+IF(W206&gt;7,0.15,0),IF(AF206&gt;4,0.5+IF(W206&gt;7,0.15,0),0))))</f>
        <v>0</v>
      </c>
      <c r="AO206" s="9">
        <f>($AK$3*AK206+$AL$3*AL206+$AM$3*AM206+$AN$3*AN206)+$J$3*VLOOKUP(J206,COND!$A$2:$C$7,2,FALSE)+$K$3*VLOOKUP(K206,COND!$A$2:$C$7,3,FALSE)</f>
        <v>5.9475817862501392</v>
      </c>
      <c r="AP206" s="37">
        <f>STANDARDIZE(AO206,AVERAGE($AO$5:$AO$1295),STDEVP($AO$5:$AO$1295))</f>
        <v>-0.65557065456312946</v>
      </c>
      <c r="AQ206" t="str">
        <f>IF(AND(Y206&lt;&gt;"-",X206&gt;1),"C",IF(AA206=MAX(AA206:AC206),"2B",IF(AC206=MAX(AA206:AC206),"SS",IF(OR(AB206=MAX(Z206:AC206),AND(AB206&lt;&gt;"-",AB206&gt;4,V206&gt;5)),"3B",IF(AE206=MAX(AD206:AF206),"CF",IF(AND(AF206=MAX(AD206,AF206),AND(W206&gt;5,AD206&lt;&gt;"-")),"RF",IF(AD206&lt;&gt;"-","LF",IF(Z206&lt;&gt;"-","1B","DH"))))))))</f>
        <v>LF</v>
      </c>
      <c r="AR206" t="s">
        <v>35</v>
      </c>
      <c r="AT206" t="s">
        <v>155</v>
      </c>
      <c r="AU206" t="str">
        <f>IF(AND($Q206&gt;=6,AVERAGE($S206:$T206)&gt;=6),"Likely",IF(OR($Q206&gt;6,AND($Q206=6,AVERAGE($S206:$T206)&gt;=3),AND($Q206&gt;=5,AVERAGE($S206:$T206)&gt;=5),AVERAGE($Q206,$S206:$T206)&gt;5),"Possible","Unlikely"))</f>
        <v>Unlikely</v>
      </c>
      <c r="AW206" t="str">
        <f>IF(VLOOKUP($B206,'Draft List'!$D$4:$AB$2598,AW$3,FALSE)&lt;&gt;0,VLOOKUP($B206,'Draft List'!$D$4:$AB$2598,AW$3,FALSE),"")</f>
        <v/>
      </c>
      <c r="AX206" t="str">
        <f>IF(VLOOKUP($B206,'Draft List'!$D$4:$AB$2598,AX$3,FALSE)&lt;&gt;0,VLOOKUP($B206,'Draft List'!$D$4:$AB$2598,AX$3,FALSE),"")</f>
        <v/>
      </c>
      <c r="AY206" t="str">
        <f>IF(VLOOKUP($B206,'Draft List'!$D$4:$AB$2598,AY$3,FALSE)&lt;&gt;0,VLOOKUP($B206,'Draft List'!$D$4:$AB$2598,AY$3,FALSE),"")</f>
        <v/>
      </c>
    </row>
    <row r="207" spans="1:51">
      <c r="A207" t="str">
        <f>IF(C207="C","C-",C207)&amp;D207&amp;E207</f>
        <v>RFBob Stephens18</v>
      </c>
      <c r="B207">
        <f>VLOOKUP($A207,draft_listing_batters_stats!$A$1:$B$1324,2,FALSE)</f>
        <v>13787</v>
      </c>
      <c r="C207" s="1" t="s">
        <v>2057</v>
      </c>
      <c r="D207" s="1" t="s">
        <v>1223</v>
      </c>
      <c r="E207" s="1">
        <v>18</v>
      </c>
      <c r="F207" s="1" t="s">
        <v>2038</v>
      </c>
      <c r="G207" s="1" t="s">
        <v>2022</v>
      </c>
      <c r="H207" s="1" t="s">
        <v>2033</v>
      </c>
      <c r="I207" s="1" t="s">
        <v>2033</v>
      </c>
      <c r="J207" s="1" t="s">
        <v>2040</v>
      </c>
      <c r="K207" s="1" t="s">
        <v>2025</v>
      </c>
      <c r="L207" s="1">
        <v>1</v>
      </c>
      <c r="M207" s="1">
        <v>2</v>
      </c>
      <c r="N207" s="1">
        <v>1</v>
      </c>
      <c r="O207" s="1">
        <v>2</v>
      </c>
      <c r="P207" s="1">
        <v>1</v>
      </c>
      <c r="Q207" s="1">
        <v>4</v>
      </c>
      <c r="R207" s="1">
        <v>5</v>
      </c>
      <c r="S207" s="1">
        <v>3</v>
      </c>
      <c r="T207" s="1">
        <v>4</v>
      </c>
      <c r="U207" s="1">
        <v>4</v>
      </c>
      <c r="V207" s="1">
        <v>1</v>
      </c>
      <c r="W207" s="1">
        <v>8</v>
      </c>
      <c r="X207" s="1">
        <v>1</v>
      </c>
      <c r="Y207" s="1" t="s">
        <v>2027</v>
      </c>
      <c r="Z207" s="1" t="s">
        <v>2027</v>
      </c>
      <c r="AA207" s="1" t="s">
        <v>2027</v>
      </c>
      <c r="AB207" s="1" t="s">
        <v>2027</v>
      </c>
      <c r="AC207" s="1" t="s">
        <v>2027</v>
      </c>
      <c r="AD207" s="1">
        <v>1</v>
      </c>
      <c r="AE207" s="1">
        <v>2</v>
      </c>
      <c r="AF207" s="1">
        <v>1</v>
      </c>
      <c r="AG207" s="1">
        <v>8</v>
      </c>
      <c r="AH207" s="1">
        <v>9</v>
      </c>
      <c r="AI207" s="1">
        <v>10</v>
      </c>
      <c r="AJ207" s="52" t="s">
        <v>2029</v>
      </c>
      <c r="AK207" s="9">
        <f>($L$3*(L207-$Q$1)/$Q$2+$M$3*(M207-$R$1)/$R$2+$N$3*(N207-$S$1)/$S$2+$O$3*(O207-$T$1)/$T$2+$P$3*(P207-$U$1)/$U$2)/(SUM($L$3:$P$3))</f>
        <v>-1.9435739201992874</v>
      </c>
      <c r="AL207" s="9">
        <f>($L$3*(Q207-$Q$1)/$Q$2+$M$3*(R207-$R$1)/$R$2+$N$3*(S207-$S$1)/$S$2+$O$3*(T207-$T$1)/$T$2+$P$3*(U207-$U$1)/$U$2)/(SUM($L$3:$P$3))</f>
        <v>-0.35713566521693735</v>
      </c>
      <c r="AM207">
        <f>IF(AVERAGE(AG207:AH207)&gt;9,1,0)+IF(AVERAGE(AG207:AH207)&gt;7,1,0)+IF(AG207&gt;7,1,0)+IF(AH207&gt;7,1,0)+IF(AI207&gt;8,1,0)+IF(AI207&gt;6,1,0)</f>
        <v>5</v>
      </c>
      <c r="AN207" s="6">
        <f>MIN(2,IF(OR(Y207="-",X207&lt;5),0,1+IF(Y207&gt;7,1+IF(X207&gt;7,0.25,0),IF(Y207&gt;4,0.5+IF(X207&gt;7,0.25,0),0+IF(X207&gt;7,0.25))))+IF(Z207="-",0,IF(Z207&gt;9,0.5,IF(Z207&gt;7,0.25,0)))+IF(AA207="-",0,IF(AA207&gt;7,1.1,IF(AA207&gt;4,0.6,0)))+IF(OR(AB207="-",V207&lt;5),0,IF(AB207&gt;7,1+IF(V207&gt;7,0.25,0),IF(AB207&gt;4,0.5+IF(V207&gt;7,0.25,0),0)))+IF(AC207="-",0,IF(AC207&gt;7,1.5,IF(AC207&gt;4,1,0)))+IF(AD207="-",0,IF(AD207&gt;9,0.5,IF(AD207&gt;7,0.25,0)))+IF(AE207="-",0,IF(AE207&gt;7,1.25,IF(AE207&gt;4,0.75,0)))+IF(OR(AF207="-",W207&lt;4),0,IF(AF207&gt;7,1+IF(W207&gt;7,0.15,0),IF(AF207&gt;4,0.5+IF(W207&gt;7,0.15,0),0))))</f>
        <v>0</v>
      </c>
      <c r="AO207" s="9">
        <f>($AK$3*AK207+$AL$3*AL207+$AM$3*AM207+$AN$3*AN207)+$J$3*VLOOKUP(J207,COND!$A$2:$C$7,2,FALSE)+$K$3*VLOOKUP(K207,COND!$A$2:$C$7,3,FALSE)</f>
        <v>5.853347958710156</v>
      </c>
      <c r="AP207" s="37">
        <f>STANDARDIZE(AO207,AVERAGE($AO$5:$AO$1295),STDEVP($AO$5:$AO$1295))</f>
        <v>-0.66866196211062123</v>
      </c>
      <c r="AQ207" t="str">
        <f>IF(AND(Y207&lt;&gt;"-",X207&gt;1),"C",IF(AA207=MAX(AA207:AC207),"2B",IF(AC207=MAX(AA207:AC207),"SS",IF(OR(AB207=MAX(Z207:AC207),AND(AB207&lt;&gt;"-",AB207&gt;4,V207&gt;5)),"3B",IF(AE207=MAX(AD207:AF207),"CF",IF(AND(AF207=MAX(AD207,AF207),AND(W207&gt;5,AD207&lt;&gt;"-")),"RF",IF(AD207&lt;&gt;"-","LF",IF(Z207&lt;&gt;"-","1B","DH"))))))))</f>
        <v>CF</v>
      </c>
      <c r="AR207" t="s">
        <v>35</v>
      </c>
      <c r="AU207" t="str">
        <f>IF(AND($Q207&gt;=6,AVERAGE($S207:$T207)&gt;=6),"Likely",IF(OR($Q207&gt;6,AND($Q207=6,AVERAGE($S207:$T207)&gt;=3),AND($Q207&gt;=5,AVERAGE($S207:$T207)&gt;=5),AVERAGE($Q207,$S207:$T207)&gt;5),"Possible","Unlikely"))</f>
        <v>Unlikely</v>
      </c>
      <c r="AW207" t="e">
        <f>IF(VLOOKUP($B207,'Draft List'!$D$4:$AB$2598,AW$3,FALSE)&lt;&gt;0,VLOOKUP($B207,'Draft List'!$D$4:$AB$2598,AW$3,FALSE),"")</f>
        <v>#N/A</v>
      </c>
      <c r="AX207" t="e">
        <f>IF(VLOOKUP($B207,'Draft List'!$D$4:$AB$2598,AX$3,FALSE)&lt;&gt;0,VLOOKUP($B207,'Draft List'!$D$4:$AB$2598,AX$3,FALSE),"")</f>
        <v>#N/A</v>
      </c>
      <c r="AY207" t="e">
        <f>IF(VLOOKUP($B207,'Draft List'!$D$4:$AB$2598,AY$3,FALSE)&lt;&gt;0,VLOOKUP($B207,'Draft List'!$D$4:$AB$2598,AY$3,FALSE),"")</f>
        <v>#N/A</v>
      </c>
    </row>
    <row r="208" spans="1:51">
      <c r="A208" t="str">
        <f>IF(C208="C","C-",C208)&amp;D208&amp;E208</f>
        <v>SSBobby O'Brien18</v>
      </c>
      <c r="B208">
        <f>VLOOKUP($A208,draft_listing_batters_stats!$A$1:$B$1324,2,FALSE)</f>
        <v>13754</v>
      </c>
      <c r="C208" s="1" t="s">
        <v>2074</v>
      </c>
      <c r="D208" s="1" t="s">
        <v>1387</v>
      </c>
      <c r="E208" s="1">
        <v>18</v>
      </c>
      <c r="F208" s="1" t="s">
        <v>2022</v>
      </c>
      <c r="G208" s="1" t="s">
        <v>2022</v>
      </c>
      <c r="H208" s="1" t="s">
        <v>2033</v>
      </c>
      <c r="I208" s="1" t="s">
        <v>2033</v>
      </c>
      <c r="J208" s="1" t="s">
        <v>2040</v>
      </c>
      <c r="K208" s="1" t="s">
        <v>2040</v>
      </c>
      <c r="L208" s="1">
        <v>1</v>
      </c>
      <c r="M208" s="1">
        <v>2</v>
      </c>
      <c r="N208" s="1">
        <v>1</v>
      </c>
      <c r="O208" s="1">
        <v>1</v>
      </c>
      <c r="P208" s="1">
        <v>1</v>
      </c>
      <c r="Q208" s="1">
        <v>5</v>
      </c>
      <c r="R208" s="1">
        <v>5</v>
      </c>
      <c r="S208" s="1">
        <v>1</v>
      </c>
      <c r="T208" s="1">
        <v>3</v>
      </c>
      <c r="U208" s="1">
        <v>5</v>
      </c>
      <c r="V208" s="1">
        <v>9</v>
      </c>
      <c r="W208" s="1">
        <v>3</v>
      </c>
      <c r="X208" s="1">
        <v>1</v>
      </c>
      <c r="Y208" s="1" t="s">
        <v>2027</v>
      </c>
      <c r="Z208" s="1" t="s">
        <v>2027</v>
      </c>
      <c r="AA208" s="1">
        <v>1</v>
      </c>
      <c r="AB208" s="1">
        <v>1</v>
      </c>
      <c r="AC208" s="1">
        <v>3</v>
      </c>
      <c r="AD208" s="1" t="s">
        <v>2027</v>
      </c>
      <c r="AE208" s="1" t="s">
        <v>2027</v>
      </c>
      <c r="AF208" s="1" t="s">
        <v>2027</v>
      </c>
      <c r="AG208" s="1">
        <v>4</v>
      </c>
      <c r="AH208" s="1">
        <v>1</v>
      </c>
      <c r="AI208" s="1">
        <v>1</v>
      </c>
      <c r="AJ208" s="52" t="s">
        <v>2029</v>
      </c>
      <c r="AK208" s="9">
        <f>($L$3*(L208-$Q$1)/$Q$2+$M$3*(M208-$R$1)/$R$2+$N$3*(N208-$S$1)/$S$2+$O$3*(O208-$T$1)/$T$2+$P$3*(P208-$U$1)/$U$2)/(SUM($L$3:$P$3))</f>
        <v>-2.0332834702088682</v>
      </c>
      <c r="AL208" s="9">
        <f>($L$3*(Q208-$Q$1)/$Q$2+$M$3*(R208-$R$1)/$R$2+$N$3*(S208-$S$1)/$S$2+$O$3*(T208-$T$1)/$T$2+$P$3*(U208-$U$1)/$U$2)/(SUM($L$3:$P$3))</f>
        <v>-0.25039602725456322</v>
      </c>
      <c r="AM208">
        <f>IF(AVERAGE(AG208:AH208)&gt;9,1,0)+IF(AVERAGE(AG208:AH208)&gt;7,1,0)+IF(AG208&gt;7,1,0)+IF(AH208&gt;7,1,0)+IF(AI208&gt;8,1,0)+IF(AI208&gt;6,1,0)</f>
        <v>0</v>
      </c>
      <c r="AN208" s="6">
        <f>MIN(2,IF(OR(Y208="-",X208&lt;5),0,1+IF(Y208&gt;7,1+IF(X208&gt;7,0.25,0),IF(Y208&gt;4,0.5+IF(X208&gt;7,0.25,0),0+IF(X208&gt;7,0.25))))+IF(Z208="-",0,IF(Z208&gt;9,0.5,IF(Z208&gt;7,0.25,0)))+IF(AA208="-",0,IF(AA208&gt;7,1.1,IF(AA208&gt;4,0.6,0)))+IF(OR(AB208="-",V208&lt;5),0,IF(AB208&gt;7,1+IF(V208&gt;7,0.25,0),IF(AB208&gt;4,0.5+IF(V208&gt;7,0.25,0),0)))+IF(AC208="-",0,IF(AC208&gt;7,1.5,IF(AC208&gt;4,1,0)))+IF(AD208="-",0,IF(AD208&gt;9,0.5,IF(AD208&gt;7,0.25,0)))+IF(AE208="-",0,IF(AE208&gt;7,1.25,IF(AE208&gt;4,0.75,0)))+IF(OR(AF208="-",W208&lt;4),0,IF(AF208&gt;7,1+IF(W208&gt;7,0.15,0),IF(AF208&gt;4,0.5+IF(W208&gt;7,0.15,0),0))))</f>
        <v>0</v>
      </c>
      <c r="AO208" s="9">
        <f>($AK$3*AK208+$AL$3*AL208+$AM$3*AM208+$AN$3*AN208)+$J$3*VLOOKUP(J208,COND!$A$2:$C$7,2,FALSE)+$K$3*VLOOKUP(K208,COND!$A$2:$C$7,3,FALSE)</f>
        <v>5.7919193259243542</v>
      </c>
      <c r="AP208" s="37">
        <f>STANDARDIZE(AO208,AVERAGE($AO$5:$AO$1295),STDEVP($AO$5:$AO$1295))</f>
        <v>-0.67719585216915301</v>
      </c>
      <c r="AQ208" t="str">
        <f>IF(AND(Y208&lt;&gt;"-",X208&gt;1),"C",IF(AA208=MAX(AA208:AC208),"2B",IF(AC208=MAX(AA208:AC208),"SS",IF(OR(AB208=MAX(Z208:AC208),AND(AB208&lt;&gt;"-",AB208&gt;4,V208&gt;5)),"3B",IF(AE208=MAX(AD208:AF208),"CF",IF(AND(AF208=MAX(AD208,AF208),AND(W208&gt;5,AD208&lt;&gt;"-")),"RF",IF(AD208&lt;&gt;"-","LF",IF(Z208&lt;&gt;"-","1B","DH"))))))))</f>
        <v>SS</v>
      </c>
      <c r="AR208" t="s">
        <v>35</v>
      </c>
      <c r="AU208" t="str">
        <f>IF(AND($Q208&gt;=6,AVERAGE($S208:$T208)&gt;=6),"Likely",IF(OR($Q208&gt;6,AND($Q208=6,AVERAGE($S208:$T208)&gt;=3),AND($Q208&gt;=5,AVERAGE($S208:$T208)&gt;=5),AVERAGE($Q208,$S208:$T208)&gt;5),"Possible","Unlikely"))</f>
        <v>Unlikely</v>
      </c>
      <c r="AW208" t="str">
        <f>IF(VLOOKUP($B208,'Draft List'!$D$4:$AB$2598,AW$3,FALSE)&lt;&gt;0,VLOOKUP($B208,'Draft List'!$D$4:$AB$2598,AW$3,FALSE),"")</f>
        <v/>
      </c>
      <c r="AX208" t="str">
        <f>IF(VLOOKUP($B208,'Draft List'!$D$4:$AB$2598,AX$3,FALSE)&lt;&gt;0,VLOOKUP($B208,'Draft List'!$D$4:$AB$2598,AX$3,FALSE),"")</f>
        <v/>
      </c>
      <c r="AY208" t="str">
        <f>IF(VLOOKUP($B208,'Draft List'!$D$4:$AB$2598,AY$3,FALSE)&lt;&gt;0,VLOOKUP($B208,'Draft List'!$D$4:$AB$2598,AY$3,FALSE),"")</f>
        <v/>
      </c>
    </row>
    <row r="209" spans="1:51">
      <c r="A209" t="str">
        <f>IF(C209="C","C-",C209)&amp;D209&amp;E209</f>
        <v>1BClaudio García21</v>
      </c>
      <c r="B209" t="e">
        <f>VLOOKUP($A209,draft_listing_batters_stats!$A$1:$B$1324,2,FALSE)</f>
        <v>#N/A</v>
      </c>
      <c r="C209" s="1" t="s">
        <v>2092</v>
      </c>
      <c r="D209" s="1" t="s">
        <v>1500</v>
      </c>
      <c r="E209" s="1">
        <v>21</v>
      </c>
      <c r="F209" s="1" t="s">
        <v>2022</v>
      </c>
      <c r="G209" s="1" t="s">
        <v>2022</v>
      </c>
      <c r="H209" s="1" t="s">
        <v>2033</v>
      </c>
      <c r="I209" s="1" t="s">
        <v>2033</v>
      </c>
      <c r="J209" s="1" t="s">
        <v>2040</v>
      </c>
      <c r="K209" s="1" t="s">
        <v>2036</v>
      </c>
      <c r="L209" s="1">
        <v>2</v>
      </c>
      <c r="M209" s="1">
        <v>4</v>
      </c>
      <c r="N209" s="1">
        <v>1</v>
      </c>
      <c r="O209" s="1">
        <v>1</v>
      </c>
      <c r="P209" s="1">
        <v>1</v>
      </c>
      <c r="Q209" s="1">
        <v>4</v>
      </c>
      <c r="R209" s="1">
        <v>6</v>
      </c>
      <c r="S209" s="1">
        <v>2</v>
      </c>
      <c r="T209" s="1">
        <v>2</v>
      </c>
      <c r="U209" s="1">
        <v>5</v>
      </c>
      <c r="V209" s="1">
        <v>1</v>
      </c>
      <c r="W209" s="1">
        <v>8</v>
      </c>
      <c r="X209" s="1">
        <v>1</v>
      </c>
      <c r="Y209" s="1" t="s">
        <v>2027</v>
      </c>
      <c r="Z209" s="1" t="s">
        <v>2027</v>
      </c>
      <c r="AA209" s="1" t="s">
        <v>2027</v>
      </c>
      <c r="AB209" s="1" t="s">
        <v>2027</v>
      </c>
      <c r="AC209" s="1" t="s">
        <v>2027</v>
      </c>
      <c r="AD209" s="1">
        <v>6</v>
      </c>
      <c r="AE209" s="1">
        <v>8</v>
      </c>
      <c r="AF209" s="1">
        <v>8</v>
      </c>
      <c r="AG209" s="1">
        <v>8</v>
      </c>
      <c r="AH209" s="1">
        <v>7</v>
      </c>
      <c r="AI209" s="1">
        <v>7</v>
      </c>
      <c r="AJ209" s="52" t="s">
        <v>2029</v>
      </c>
      <c r="AK209" s="9">
        <f>($L$3*(L209-$Q$1)/$Q$2+$M$3*(M209-$R$1)/$R$2+$N$3*(N209-$S$1)/$S$2+$O$3*(O209-$T$1)/$T$2+$P$3*(P209-$U$1)/$U$2)/(SUM($L$3:$P$3))</f>
        <v>-1.6086078747687869</v>
      </c>
      <c r="AL209" s="9">
        <f>($L$3*(Q209-$Q$1)/$Q$2+$M$3*(R209-$R$1)/$R$2+$N$3*(S209-$S$1)/$S$2+$O$3*(T209-$T$1)/$T$2+$P$3*(U209-$U$1)/$U$2)/(SUM($L$3:$P$3))</f>
        <v>-0.52854003982421405</v>
      </c>
      <c r="AM209">
        <f>IF(AVERAGE(AG209:AH209)&gt;9,1,0)+IF(AVERAGE(AG209:AH209)&gt;7,1,0)+IF(AG209&gt;7,1,0)+IF(AH209&gt;7,1,0)+IF(AI209&gt;8,1,0)+IF(AI209&gt;6,1,0)</f>
        <v>3</v>
      </c>
      <c r="AN209" s="6">
        <f>MIN(2,IF(OR(Y209="-",X209&lt;5),0,1+IF(Y209&gt;7,1+IF(X209&gt;7,0.25,0),IF(Y209&gt;4,0.5+IF(X209&gt;7,0.25,0),0+IF(X209&gt;7,0.25))))+IF(Z209="-",0,IF(Z209&gt;9,0.5,IF(Z209&gt;7,0.25,0)))+IF(AA209="-",0,IF(AA209&gt;7,1.1,IF(AA209&gt;4,0.6,0)))+IF(OR(AB209="-",V209&lt;5),0,IF(AB209&gt;7,1+IF(V209&gt;7,0.25,0),IF(AB209&gt;4,0.5+IF(V209&gt;7,0.25,0),0)))+IF(AC209="-",0,IF(AC209&gt;7,1.5,IF(AC209&gt;4,1,0)))+IF(AD209="-",0,IF(AD209&gt;9,0.5,IF(AD209&gt;7,0.25,0)))+IF(AE209="-",0,IF(AE209&gt;7,1.25,IF(AE209&gt;4,0.75,0)))+IF(OR(AF209="-",W209&lt;4),0,IF(AF209&gt;7,1+IF(W209&gt;7,0.15,0),IF(AF209&gt;4,0.5+IF(W209&gt;7,0.15,0),0))))</f>
        <v>2</v>
      </c>
      <c r="AO209" s="9">
        <f>($AK$3*AK209+$AL$3*AL209+$AM$3*AM209+$AN$3*AN209)+$J$3*VLOOKUP(J209,COND!$A$2:$C$7,2,FALSE)+$K$3*VLOOKUP(K209,COND!$A$2:$C$7,3,FALSE)</f>
        <v>5.7466587346325531</v>
      </c>
      <c r="AP209" s="37">
        <f>STANDARDIZE(AO209,AVERAGE($AO$5:$AO$1295),STDEVP($AO$5:$AO$1295))</f>
        <v>-0.68348361884329023</v>
      </c>
      <c r="AQ209" t="str">
        <f>IF(AND(Y209&lt;&gt;"-",X209&gt;1),"C",IF(AA209=MAX(AA209:AC209),"2B",IF(AC209=MAX(AA209:AC209),"SS",IF(OR(AB209=MAX(Z209:AC209),AND(AB209&lt;&gt;"-",AB209&gt;4,V209&gt;5)),"3B",IF(AE209=MAX(AD209:AF209),"CF",IF(AND(AF209=MAX(AD209,AF209),AND(W209&gt;5,AD209&lt;&gt;"-")),"RF",IF(AD209&lt;&gt;"-","LF",IF(Z209&lt;&gt;"-","1B","DH"))))))))</f>
        <v>CF</v>
      </c>
      <c r="AR209" t="s">
        <v>35</v>
      </c>
      <c r="AU209" t="str">
        <f>IF(AND($Q209&gt;=6,AVERAGE($S209:$T209)&gt;=6),"Likely",IF(OR($Q209&gt;6,AND($Q209=6,AVERAGE($S209:$T209)&gt;=3),AND($Q209&gt;=5,AVERAGE($S209:$T209)&gt;=5),AVERAGE($Q209,$S209:$T209)&gt;5),"Possible","Unlikely"))</f>
        <v>Unlikely</v>
      </c>
      <c r="AW209" t="e">
        <f>IF(VLOOKUP($B209,'Draft List'!$D$4:$AB$2598,AW$3,FALSE)&lt;&gt;0,VLOOKUP($B209,'Draft List'!$D$4:$AB$2598,AW$3,FALSE),"")</f>
        <v>#N/A</v>
      </c>
      <c r="AX209" t="e">
        <f>IF(VLOOKUP($B209,'Draft List'!$D$4:$AB$2598,AX$3,FALSE)&lt;&gt;0,VLOOKUP($B209,'Draft List'!$D$4:$AB$2598,AX$3,FALSE),"")</f>
        <v>#N/A</v>
      </c>
      <c r="AY209" t="e">
        <f>IF(VLOOKUP($B209,'Draft List'!$D$4:$AB$2598,AY$3,FALSE)&lt;&gt;0,VLOOKUP($B209,'Draft List'!$D$4:$AB$2598,AY$3,FALSE),"")</f>
        <v>#N/A</v>
      </c>
    </row>
    <row r="210" spans="1:51">
      <c r="A210" t="str">
        <f>IF(C210="C","C-",C210)&amp;D210&amp;E210</f>
        <v>2BDennis Normand18</v>
      </c>
      <c r="B210">
        <f>VLOOKUP($A210,draft_listing_batters_stats!$A$1:$B$1324,2,FALSE)</f>
        <v>13833</v>
      </c>
      <c r="C210" s="1" t="s">
        <v>2069</v>
      </c>
      <c r="D210" s="1" t="s">
        <v>1386</v>
      </c>
      <c r="E210" s="1">
        <v>18</v>
      </c>
      <c r="F210" s="1" t="s">
        <v>2022</v>
      </c>
      <c r="G210" s="1" t="s">
        <v>2022</v>
      </c>
      <c r="H210" s="1" t="s">
        <v>2033</v>
      </c>
      <c r="I210" s="1" t="s">
        <v>2033</v>
      </c>
      <c r="J210" s="1" t="s">
        <v>2030</v>
      </c>
      <c r="K210" s="1" t="s">
        <v>2030</v>
      </c>
      <c r="L210" s="1">
        <v>1</v>
      </c>
      <c r="M210" s="1">
        <v>1</v>
      </c>
      <c r="N210" s="1">
        <v>1</v>
      </c>
      <c r="O210" s="1">
        <v>1</v>
      </c>
      <c r="P210" s="1">
        <v>1</v>
      </c>
      <c r="Q210" s="1">
        <v>4</v>
      </c>
      <c r="R210" s="1">
        <v>5</v>
      </c>
      <c r="S210" s="1">
        <v>2</v>
      </c>
      <c r="T210" s="1">
        <v>4</v>
      </c>
      <c r="U210" s="1">
        <v>4</v>
      </c>
      <c r="V210" s="1">
        <v>2</v>
      </c>
      <c r="W210" s="1">
        <v>1</v>
      </c>
      <c r="X210" s="1">
        <v>1</v>
      </c>
      <c r="Y210" s="1" t="s">
        <v>2027</v>
      </c>
      <c r="Z210" s="1">
        <v>1</v>
      </c>
      <c r="AA210" s="1">
        <v>3</v>
      </c>
      <c r="AB210" s="1" t="s">
        <v>2027</v>
      </c>
      <c r="AC210" s="1" t="s">
        <v>2027</v>
      </c>
      <c r="AD210" s="1" t="s">
        <v>2027</v>
      </c>
      <c r="AE210" s="1" t="s">
        <v>2027</v>
      </c>
      <c r="AF210" s="1" t="s">
        <v>2027</v>
      </c>
      <c r="AG210" s="1">
        <v>10</v>
      </c>
      <c r="AH210" s="1">
        <v>9</v>
      </c>
      <c r="AI210" s="1">
        <v>9</v>
      </c>
      <c r="AJ210" s="52" t="s">
        <v>2029</v>
      </c>
      <c r="AK210" s="9">
        <f>($L$3*(L210-$Q$1)/$Q$2+$M$3*(M210-$R$1)/$R$2+$N$3*(N210-$S$1)/$S$2+$O$3*(O210-$T$1)/$T$2+$P$3*(P210-$U$1)/$U$2)/(SUM($L$3:$P$3))</f>
        <v>-2.0843433498275723</v>
      </c>
      <c r="AL210" s="9">
        <f>($L$3*(Q210-$Q$1)/$Q$2+$M$3*(R210-$R$1)/$R$2+$N$3*(S210-$S$1)/$S$2+$O$3*(T210-$T$1)/$T$2+$P$3*(U210-$U$1)/$U$2)/(SUM($L$3:$P$3))</f>
        <v>-0.44019715924083891</v>
      </c>
      <c r="AM210">
        <f>IF(AVERAGE(AG210:AH210)&gt;9,1,0)+IF(AVERAGE(AG210:AH210)&gt;7,1,0)+IF(AG210&gt;7,1,0)+IF(AH210&gt;7,1,0)+IF(AI210&gt;8,1,0)+IF(AI210&gt;6,1,0)</f>
        <v>6</v>
      </c>
      <c r="AN210" s="6">
        <f>MIN(2,IF(OR(Y210="-",X210&lt;5),0,1+IF(Y210&gt;7,1+IF(X210&gt;7,0.25,0),IF(Y210&gt;4,0.5+IF(X210&gt;7,0.25,0),0+IF(X210&gt;7,0.25))))+IF(Z210="-",0,IF(Z210&gt;9,0.5,IF(Z210&gt;7,0.25,0)))+IF(AA210="-",0,IF(AA210&gt;7,1.1,IF(AA210&gt;4,0.6,0)))+IF(OR(AB210="-",V210&lt;5),0,IF(AB210&gt;7,1+IF(V210&gt;7,0.25,0),IF(AB210&gt;4,0.5+IF(V210&gt;7,0.25,0),0)))+IF(AC210="-",0,IF(AC210&gt;7,1.5,IF(AC210&gt;4,1,0)))+IF(AD210="-",0,IF(AD210&gt;9,0.5,IF(AD210&gt;7,0.25,0)))+IF(AE210="-",0,IF(AE210&gt;7,1.25,IF(AE210&gt;4,0.75,0)))+IF(OR(AF210="-",W210&lt;4),0,IF(AF210&gt;7,1+IF(W210&gt;7,0.15,0),IF(AF210&gt;4,0.5+IF(W210&gt;7,0.15,0),0))))</f>
        <v>0</v>
      </c>
      <c r="AO210" s="9">
        <f>($AK$3*AK210+$AL$3*AL210+$AM$3*AM210+$AN$3*AN210)+$J$3*VLOOKUP(J210,COND!$A$2:$C$7,2,FALSE)+$K$3*VLOOKUP(K210,COND!$A$2:$C$7,3,FALSE)</f>
        <v>5.7091997541271748</v>
      </c>
      <c r="AP210" s="37">
        <f>STANDARDIZE(AO210,AVERAGE($AO$5:$AO$1295),STDEVP($AO$5:$AO$1295))</f>
        <v>-0.68868755724856545</v>
      </c>
      <c r="AQ210" t="str">
        <f>IF(AND(Y210&lt;&gt;"-",X210&gt;1),"C",IF(AA210=MAX(AA210:AC210),"2B",IF(AC210=MAX(AA210:AC210),"SS",IF(OR(AB210=MAX(Z210:AC210),AND(AB210&lt;&gt;"-",AB210&gt;4,V210&gt;5)),"3B",IF(AE210=MAX(AD210:AF210),"CF",IF(AND(AF210=MAX(AD210,AF210),AND(W210&gt;5,AD210&lt;&gt;"-")),"RF",IF(AD210&lt;&gt;"-","LF",IF(Z210&lt;&gt;"-","1B","DH"))))))))</f>
        <v>2B</v>
      </c>
      <c r="AR210" t="s">
        <v>35</v>
      </c>
      <c r="AU210" t="str">
        <f>IF(AND($Q210&gt;=6,AVERAGE($S210:$T210)&gt;=6),"Likely",IF(OR($Q210&gt;6,AND($Q210=6,AVERAGE($S210:$T210)&gt;=3),AND($Q210&gt;=5,AVERAGE($S210:$T210)&gt;=5),AVERAGE($Q210,$S210:$T210)&gt;5),"Possible","Unlikely"))</f>
        <v>Unlikely</v>
      </c>
      <c r="AW210" t="str">
        <f>IF(VLOOKUP($B210,'Draft List'!$D$4:$AB$2598,AW$3,FALSE)&lt;&gt;0,VLOOKUP($B210,'Draft List'!$D$4:$AB$2598,AW$3,FALSE),"")</f>
        <v/>
      </c>
      <c r="AX210" t="str">
        <f>IF(VLOOKUP($B210,'Draft List'!$D$4:$AB$2598,AX$3,FALSE)&lt;&gt;0,VLOOKUP($B210,'Draft List'!$D$4:$AB$2598,AX$3,FALSE),"")</f>
        <v/>
      </c>
      <c r="AY210" t="str">
        <f>IF(VLOOKUP($B210,'Draft List'!$D$4:$AB$2598,AY$3,FALSE)&lt;&gt;0,VLOOKUP($B210,'Draft List'!$D$4:$AB$2598,AY$3,FALSE),"")</f>
        <v/>
      </c>
    </row>
    <row r="211" spans="1:51">
      <c r="A211" t="str">
        <f>IF(C211="C","C-",C211)&amp;D211&amp;E211</f>
        <v>C-Luis Ortega21</v>
      </c>
      <c r="B211">
        <f>VLOOKUP($A211,draft_listing_batters_stats!$A$1:$B$1324,2,FALSE)</f>
        <v>8261</v>
      </c>
      <c r="C211" s="1" t="s">
        <v>2091</v>
      </c>
      <c r="D211" s="1" t="s">
        <v>1390</v>
      </c>
      <c r="E211" s="1">
        <v>21</v>
      </c>
      <c r="F211" s="1" t="s">
        <v>2022</v>
      </c>
      <c r="G211" s="1" t="s">
        <v>2022</v>
      </c>
      <c r="H211" s="1" t="s">
        <v>2033</v>
      </c>
      <c r="I211" s="1" t="s">
        <v>2033</v>
      </c>
      <c r="J211" s="1" t="s">
        <v>2040</v>
      </c>
      <c r="K211" s="1" t="s">
        <v>2030</v>
      </c>
      <c r="L211" s="1">
        <v>4</v>
      </c>
      <c r="M211" s="1">
        <v>5</v>
      </c>
      <c r="N211" s="1">
        <v>1</v>
      </c>
      <c r="O211" s="1">
        <v>2</v>
      </c>
      <c r="P211" s="1">
        <v>2</v>
      </c>
      <c r="Q211" s="1">
        <v>4</v>
      </c>
      <c r="R211" s="1">
        <v>5</v>
      </c>
      <c r="S211" s="1">
        <v>3</v>
      </c>
      <c r="T211" s="1">
        <v>3</v>
      </c>
      <c r="U211" s="1">
        <v>4</v>
      </c>
      <c r="V211" s="1">
        <v>4</v>
      </c>
      <c r="W211" s="1">
        <v>4</v>
      </c>
      <c r="X211" s="1">
        <v>6</v>
      </c>
      <c r="Y211" s="1">
        <v>5</v>
      </c>
      <c r="Z211" s="1" t="s">
        <v>2027</v>
      </c>
      <c r="AA211" s="1" t="s">
        <v>2027</v>
      </c>
      <c r="AB211" s="1" t="s">
        <v>2027</v>
      </c>
      <c r="AC211" s="1" t="s">
        <v>2027</v>
      </c>
      <c r="AD211" s="1" t="s">
        <v>2027</v>
      </c>
      <c r="AE211" s="1" t="s">
        <v>2027</v>
      </c>
      <c r="AF211" s="1" t="s">
        <v>2027</v>
      </c>
      <c r="AG211" s="1">
        <v>1</v>
      </c>
      <c r="AH211" s="1">
        <v>1</v>
      </c>
      <c r="AI211" s="1">
        <v>1</v>
      </c>
      <c r="AJ211" s="52" t="s">
        <v>2029</v>
      </c>
      <c r="AK211" s="9">
        <f>($L$3*(L211-$Q$1)/$Q$2+$M$3*(M211-$R$1)/$R$2+$N$3*(N211-$S$1)/$S$2+$O$3*(O211-$T$1)/$T$2+$P$3*(P211-$U$1)/$U$2)/(SUM($L$3:$P$3))</f>
        <v>-0.78271043291806941</v>
      </c>
      <c r="AL211" s="9">
        <f>($L$3*(Q211-$Q$1)/$Q$2+$M$3*(R211-$R$1)/$R$2+$N$3*(S211-$S$1)/$S$2+$O$3*(T211-$T$1)/$T$2+$P$3*(U211-$U$1)/$U$2)/(SUM($L$3:$P$3))</f>
        <v>-0.44684521522651838</v>
      </c>
      <c r="AM211">
        <f>IF(AVERAGE(AG211:AH211)&gt;9,1,0)+IF(AVERAGE(AG211:AH211)&gt;7,1,0)+IF(AG211&gt;7,1,0)+IF(AH211&gt;7,1,0)+IF(AI211&gt;8,1,0)+IF(AI211&gt;6,1,0)</f>
        <v>0</v>
      </c>
      <c r="AN211" s="6">
        <f>MIN(2,IF(OR(Y211="-",X211&lt;5),0,1+IF(Y211&gt;7,1+IF(X211&gt;7,0.25,0),IF(Y211&gt;4,0.5+IF(X211&gt;7,0.25,0),0+IF(X211&gt;7,0.25))))+IF(Z211="-",0,IF(Z211&gt;9,0.5,IF(Z211&gt;7,0.25,0)))+IF(AA211="-",0,IF(AA211&gt;7,1.1,IF(AA211&gt;4,0.6,0)))+IF(OR(AB211="-",V211&lt;5),0,IF(AB211&gt;7,1+IF(V211&gt;7,0.25,0),IF(AB211&gt;4,0.5+IF(V211&gt;7,0.25,0),0)))+IF(AC211="-",0,IF(AC211&gt;7,1.5,IF(AC211&gt;4,1,0)))+IF(AD211="-",0,IF(AD211&gt;9,0.5,IF(AD211&gt;7,0.25,0)))+IF(AE211="-",0,IF(AE211&gt;7,1.25,IF(AE211&gt;4,0.75,0)))+IF(OR(AF211="-",W211&lt;4),0,IF(AF211&gt;7,1+IF(W211&gt;7,0.15,0),IF(AF211&gt;4,0.5+IF(W211&gt;7,0.15,0),0))))</f>
        <v>1.5</v>
      </c>
      <c r="AO211" s="9">
        <f>($AK$3*AK211+$AL$3*AL211+$AM$3*AM211+$AN$3*AN211)+$J$3*VLOOKUP(J211,COND!$A$2:$C$7,2,FALSE)+$K$3*VLOOKUP(K211,COND!$A$2:$C$7,3,FALSE)</f>
        <v>5.6595863739899723</v>
      </c>
      <c r="AP211" s="37">
        <f>STANDARDIZE(AO211,AVERAGE($AO$5:$AO$1295),STDEVP($AO$5:$AO$1295))</f>
        <v>-0.6955800292493568</v>
      </c>
      <c r="AQ211" t="str">
        <f>IF(AND(Y211&lt;&gt;"-",X211&gt;1),"C",IF(AA211=MAX(AA211:AC211),"2B",IF(AC211=MAX(AA211:AC211),"SS",IF(OR(AB211=MAX(Z211:AC211),AND(AB211&lt;&gt;"-",AB211&gt;4,V211&gt;5)),"3B",IF(AE211=MAX(AD211:AF211),"CF",IF(AND(AF211=MAX(AD211,AF211),AND(W211&gt;5,AD211&lt;&gt;"-")),"RF",IF(AD211&lt;&gt;"-","LF",IF(Z211&lt;&gt;"-","1B","DH"))))))))</f>
        <v>C</v>
      </c>
      <c r="AR211" t="s">
        <v>35</v>
      </c>
      <c r="AU211" t="str">
        <f>IF(AND($Q211&gt;=6,AVERAGE($S211:$T211)&gt;=6),"Likely",IF(OR($Q211&gt;6,AND($Q211=6,AVERAGE($S211:$T211)&gt;=3),AND($Q211&gt;=5,AVERAGE($S211:$T211)&gt;=5),AVERAGE($Q211,$S211:$T211)&gt;5),"Possible","Unlikely"))</f>
        <v>Unlikely</v>
      </c>
      <c r="AW211" t="str">
        <f>IF(VLOOKUP($B211,'Draft List'!$D$4:$AB$2598,AW$3,FALSE)&lt;&gt;0,VLOOKUP($B211,'Draft List'!$D$4:$AB$2598,AW$3,FALSE),"")</f>
        <v/>
      </c>
      <c r="AX211" t="str">
        <f>IF(VLOOKUP($B211,'Draft List'!$D$4:$AB$2598,AX$3,FALSE)&lt;&gt;0,VLOOKUP($B211,'Draft List'!$D$4:$AB$2598,AX$3,FALSE),"")</f>
        <v/>
      </c>
      <c r="AY211" t="str">
        <f>IF(VLOOKUP($B211,'Draft List'!$D$4:$AB$2598,AY$3,FALSE)&lt;&gt;0,VLOOKUP($B211,'Draft List'!$D$4:$AB$2598,AY$3,FALSE),"")</f>
        <v/>
      </c>
    </row>
    <row r="212" spans="1:51">
      <c r="A212" t="str">
        <f>IF(C212="C","C-",C212)&amp;D212&amp;E212</f>
        <v>1BBob Wright18</v>
      </c>
      <c r="B212">
        <f>VLOOKUP($A212,draft_listing_batters_stats!$A$1:$B$1324,2,FALSE)</f>
        <v>13792</v>
      </c>
      <c r="C212" s="1" t="s">
        <v>2092</v>
      </c>
      <c r="D212" s="1" t="s">
        <v>1263</v>
      </c>
      <c r="E212" s="1">
        <v>18</v>
      </c>
      <c r="F212" s="1" t="s">
        <v>2022</v>
      </c>
      <c r="G212" s="1" t="s">
        <v>2022</v>
      </c>
      <c r="H212" s="1" t="s">
        <v>2033</v>
      </c>
      <c r="I212" s="1" t="s">
        <v>2033</v>
      </c>
      <c r="J212" s="1" t="s">
        <v>2040</v>
      </c>
      <c r="K212" s="1" t="s">
        <v>2025</v>
      </c>
      <c r="L212" s="1">
        <v>1</v>
      </c>
      <c r="M212" s="1">
        <v>2</v>
      </c>
      <c r="N212" s="1">
        <v>1</v>
      </c>
      <c r="O212" s="1">
        <v>1</v>
      </c>
      <c r="P212" s="1">
        <v>1</v>
      </c>
      <c r="Q212" s="1">
        <v>4</v>
      </c>
      <c r="R212" s="1">
        <v>7</v>
      </c>
      <c r="S212" s="1">
        <v>1</v>
      </c>
      <c r="T212" s="1">
        <v>5</v>
      </c>
      <c r="U212" s="1">
        <v>4</v>
      </c>
      <c r="V212" s="1">
        <v>5</v>
      </c>
      <c r="W212" s="1">
        <v>1</v>
      </c>
      <c r="X212" s="1">
        <v>1</v>
      </c>
      <c r="Y212" s="1" t="s">
        <v>2027</v>
      </c>
      <c r="Z212" s="1">
        <v>5</v>
      </c>
      <c r="AA212" s="1">
        <v>1</v>
      </c>
      <c r="AB212" s="1">
        <v>1</v>
      </c>
      <c r="AC212" s="1">
        <v>1</v>
      </c>
      <c r="AD212" s="1" t="s">
        <v>2027</v>
      </c>
      <c r="AE212" s="1" t="s">
        <v>2027</v>
      </c>
      <c r="AF212" s="1" t="s">
        <v>2027</v>
      </c>
      <c r="AG212" s="1">
        <v>8</v>
      </c>
      <c r="AH212" s="1">
        <v>7</v>
      </c>
      <c r="AI212" s="1">
        <v>5</v>
      </c>
      <c r="AJ212" s="52">
        <v>2200000</v>
      </c>
      <c r="AK212" s="9">
        <f>($L$3*(L212-$Q$1)/$Q$2+$M$3*(M212-$R$1)/$R$2+$N$3*(N212-$S$1)/$S$2+$O$3*(O212-$T$1)/$T$2+$P$3*(P212-$U$1)/$U$2)/(SUM($L$3:$P$3))</f>
        <v>-2.0332834702088682</v>
      </c>
      <c r="AL212" s="9">
        <f>($L$3*(Q212-$Q$1)/$Q$2+$M$3*(R212-$R$1)/$R$2+$N$3*(S212-$S$1)/$S$2+$O$3*(T212-$T$1)/$T$2+$P$3*(U212-$U$1)/$U$2)/(SUM($L$3:$P$3))</f>
        <v>-0.33142934401775231</v>
      </c>
      <c r="AM212">
        <f>IF(AVERAGE(AG212:AH212)&gt;9,1,0)+IF(AVERAGE(AG212:AH212)&gt;7,1,0)+IF(AG212&gt;7,1,0)+IF(AH212&gt;7,1,0)+IF(AI212&gt;8,1,0)+IF(AI212&gt;6,1,0)</f>
        <v>2</v>
      </c>
      <c r="AN212" s="6">
        <f>MIN(2,IF(OR(Y212="-",X212&lt;5),0,1+IF(Y212&gt;7,1+IF(X212&gt;7,0.25,0),IF(Y212&gt;4,0.5+IF(X212&gt;7,0.25,0),0+IF(X212&gt;7,0.25))))+IF(Z212="-",0,IF(Z212&gt;9,0.5,IF(Z212&gt;7,0.25,0)))+IF(AA212="-",0,IF(AA212&gt;7,1.1,IF(AA212&gt;4,0.6,0)))+IF(OR(AB212="-",V212&lt;5),0,IF(AB212&gt;7,1+IF(V212&gt;7,0.25,0),IF(AB212&gt;4,0.5+IF(V212&gt;7,0.25,0),0)))+IF(AC212="-",0,IF(AC212&gt;7,1.5,IF(AC212&gt;4,1,0)))+IF(AD212="-",0,IF(AD212&gt;9,0.5,IF(AD212&gt;7,0.25,0)))+IF(AE212="-",0,IF(AE212&gt;7,1.25,IF(AE212&gt;4,0.75,0)))+IF(OR(AF212="-",W212&lt;4),0,IF(AF212&gt;7,1+IF(W212&gt;7,0.15,0),IF(AF212&gt;4,0.5+IF(W212&gt;7,0.15,0),0))))</f>
        <v>0</v>
      </c>
      <c r="AO212" s="9">
        <f>($AK$3*AK212+$AL$3*AL212+$AM$3*AM212+$AN$3*AN212)+$J$3*VLOOKUP(J212,COND!$A$2:$C$7,2,FALSE)+$K$3*VLOOKUP(K212,COND!$A$2:$C$7,3,FALSE)</f>
        <v>5.6528528580994184</v>
      </c>
      <c r="AP212" s="37">
        <f>STANDARDIZE(AO212,AVERAGE($AO$5:$AO$1295),STDEVP($AO$5:$AO$1295))</f>
        <v>-0.69651547387365331</v>
      </c>
      <c r="AQ212" t="str">
        <f>IF(AND(Y212&lt;&gt;"-",X212&gt;1),"C",IF(AA212=MAX(AA212:AC212),"2B",IF(AC212=MAX(AA212:AC212),"SS",IF(OR(AB212=MAX(Z212:AC212),AND(AB212&lt;&gt;"-",AB212&gt;4,V212&gt;5)),"3B",IF(AE212=MAX(AD212:AF212),"CF",IF(AND(AF212=MAX(AD212,AF212),AND(W212&gt;5,AD212&lt;&gt;"-")),"RF",IF(AD212&lt;&gt;"-","LF",IF(Z212&lt;&gt;"-","1B","DH"))))))))</f>
        <v>2B</v>
      </c>
      <c r="AR212" t="s">
        <v>35</v>
      </c>
      <c r="AT212" t="s">
        <v>155</v>
      </c>
      <c r="AU212" t="str">
        <f>IF(AND($Q212&gt;=6,AVERAGE($S212:$T212)&gt;=6),"Likely",IF(OR($Q212&gt;6,AND($Q212=6,AVERAGE($S212:$T212)&gt;=3),AND($Q212&gt;=5,AVERAGE($S212:$T212)&gt;=5),AVERAGE($Q212,$S212:$T212)&gt;5),"Possible","Unlikely"))</f>
        <v>Unlikely</v>
      </c>
      <c r="AW212" t="str">
        <f>IF(VLOOKUP($B212,'Draft List'!$D$4:$AB$2598,AW$3,FALSE)&lt;&gt;0,VLOOKUP($B212,'Draft List'!$D$4:$AB$2598,AW$3,FALSE),"")</f>
        <v/>
      </c>
      <c r="AX212" t="str">
        <f>IF(VLOOKUP($B212,'Draft List'!$D$4:$AB$2598,AX$3,FALSE)&lt;&gt;0,VLOOKUP($B212,'Draft List'!$D$4:$AB$2598,AX$3,FALSE),"")</f>
        <v/>
      </c>
      <c r="AY212" t="str">
        <f>IF(VLOOKUP($B212,'Draft List'!$D$4:$AB$2598,AY$3,FALSE)&lt;&gt;0,VLOOKUP($B212,'Draft List'!$D$4:$AB$2598,AY$3,FALSE),"")</f>
        <v/>
      </c>
    </row>
    <row r="213" spans="1:51">
      <c r="A213" t="str">
        <f>IF(C213="C","C-",C213)&amp;D213&amp;E213</f>
        <v>LFSterling Catron21</v>
      </c>
      <c r="B213">
        <f>VLOOKUP($A213,draft_listing_batters_stats!$A$1:$B$1324,2,FALSE)</f>
        <v>6054</v>
      </c>
      <c r="C213" s="1" t="s">
        <v>2035</v>
      </c>
      <c r="D213" s="1" t="s">
        <v>1470</v>
      </c>
      <c r="E213" s="1">
        <v>21</v>
      </c>
      <c r="F213" s="1" t="s">
        <v>2022</v>
      </c>
      <c r="G213" s="1" t="s">
        <v>2022</v>
      </c>
      <c r="H213" s="1" t="s">
        <v>2033</v>
      </c>
      <c r="I213" s="1" t="s">
        <v>2033</v>
      </c>
      <c r="J213" s="1" t="s">
        <v>2040</v>
      </c>
      <c r="K213" s="1" t="s">
        <v>2025</v>
      </c>
      <c r="L213" s="1">
        <v>4</v>
      </c>
      <c r="M213" s="1">
        <v>4</v>
      </c>
      <c r="N213" s="1">
        <v>3</v>
      </c>
      <c r="O213" s="1">
        <v>2</v>
      </c>
      <c r="P213" s="1">
        <v>3</v>
      </c>
      <c r="Q213" s="1">
        <v>4</v>
      </c>
      <c r="R213" s="1">
        <v>5</v>
      </c>
      <c r="S213" s="1">
        <v>4</v>
      </c>
      <c r="T213" s="1">
        <v>3</v>
      </c>
      <c r="U213" s="1">
        <v>4</v>
      </c>
      <c r="V213" s="1">
        <v>1</v>
      </c>
      <c r="W213" s="1">
        <v>7</v>
      </c>
      <c r="X213" s="1">
        <v>2</v>
      </c>
      <c r="Y213" s="1" t="s">
        <v>2027</v>
      </c>
      <c r="Z213" s="1" t="s">
        <v>2027</v>
      </c>
      <c r="AA213" s="1" t="s">
        <v>2027</v>
      </c>
      <c r="AB213" s="1" t="s">
        <v>2027</v>
      </c>
      <c r="AC213" s="1" t="s">
        <v>2027</v>
      </c>
      <c r="AD213" s="1">
        <v>6</v>
      </c>
      <c r="AE213" s="1">
        <v>3</v>
      </c>
      <c r="AF213" s="1">
        <v>6</v>
      </c>
      <c r="AG213" s="1">
        <v>6</v>
      </c>
      <c r="AH213" s="1">
        <v>7</v>
      </c>
      <c r="AI213" s="1">
        <v>5</v>
      </c>
      <c r="AJ213" s="52" t="s">
        <v>2029</v>
      </c>
      <c r="AK213" s="9">
        <f>($L$3*(L213-$Q$1)/$Q$2+$M$3*(M213-$R$1)/$R$2+$N$3*(N213-$S$1)/$S$2+$O$3*(O213-$T$1)/$T$2+$P$3*(P213-$U$1)/$U$2)/(SUM($L$3:$P$3))</f>
        <v>-0.62763098467188649</v>
      </c>
      <c r="AL213" s="9">
        <f>($L$3*(Q213-$Q$1)/$Q$2+$M$3*(R213-$R$1)/$R$2+$N$3*(S213-$S$1)/$S$2+$O$3*(T213-$T$1)/$T$2+$P$3*(U213-$U$1)/$U$2)/(SUM($L$3:$P$3))</f>
        <v>-0.36378372120261693</v>
      </c>
      <c r="AM213">
        <f>IF(AVERAGE(AG213:AH213)&gt;9,1,0)+IF(AVERAGE(AG213:AH213)&gt;7,1,0)+IF(AG213&gt;7,1,0)+IF(AH213&gt;7,1,0)+IF(AI213&gt;8,1,0)+IF(AI213&gt;6,1,0)</f>
        <v>0</v>
      </c>
      <c r="AN213" s="6">
        <f>MIN(2,IF(OR(Y213="-",X213&lt;5),0,1+IF(Y213&gt;7,1+IF(X213&gt;7,0.25,0),IF(Y213&gt;4,0.5+IF(X213&gt;7,0.25,0),0+IF(X213&gt;7,0.25))))+IF(Z213="-",0,IF(Z213&gt;9,0.5,IF(Z213&gt;7,0.25,0)))+IF(AA213="-",0,IF(AA213&gt;7,1.1,IF(AA213&gt;4,0.6,0)))+IF(OR(AB213="-",V213&lt;5),0,IF(AB213&gt;7,1+IF(V213&gt;7,0.25,0),IF(AB213&gt;4,0.5+IF(V213&gt;7,0.25,0),0)))+IF(AC213="-",0,IF(AC213&gt;7,1.5,IF(AC213&gt;4,1,0)))+IF(AD213="-",0,IF(AD213&gt;9,0.5,IF(AD213&gt;7,0.25,0)))+IF(AE213="-",0,IF(AE213&gt;7,1.25,IF(AE213&gt;4,0.75,0)))+IF(OR(AF213="-",W213&lt;4),0,IF(AF213&gt;7,1+IF(W213&gt;7,0.15,0),IF(AF213&gt;4,0.5+IF(W213&gt;7,0.15,0),0))))</f>
        <v>0.5</v>
      </c>
      <c r="AO213" s="9">
        <f>($AK$3*AK213+$AL$3*AL213+$AM$3*AM213+$AN$3*AN213)+$J$3*VLOOKUP(J213,COND!$A$2:$C$7,2,FALSE)+$K$3*VLOOKUP(K213,COND!$A$2:$C$7,3,FALSE)</f>
        <v>5.5718322471014083</v>
      </c>
      <c r="AP213" s="37">
        <f>STANDARDIZE(AO213,AVERAGE($AO$5:$AO$1295),STDEVP($AO$5:$AO$1295))</f>
        <v>-0.70777115311273131</v>
      </c>
      <c r="AQ213" t="str">
        <f>IF(AND(Y213&lt;&gt;"-",X213&gt;1),"C",IF(AA213=MAX(AA213:AC213),"2B",IF(AC213=MAX(AA213:AC213),"SS",IF(OR(AB213=MAX(Z213:AC213),AND(AB213&lt;&gt;"-",AB213&gt;4,V213&gt;5)),"3B",IF(AE213=MAX(AD213:AF213),"CF",IF(AND(AF213=MAX(AD213,AF213),AND(W213&gt;5,AD213&lt;&gt;"-")),"RF",IF(AD213&lt;&gt;"-","LF",IF(Z213&lt;&gt;"-","1B","DH"))))))))</f>
        <v>RF</v>
      </c>
      <c r="AR213" t="s">
        <v>35</v>
      </c>
      <c r="AU213" t="str">
        <f>IF(AND($Q213&gt;=6,AVERAGE($S213:$T213)&gt;=6),"Likely",IF(OR($Q213&gt;6,AND($Q213=6,AVERAGE($S213:$T213)&gt;=3),AND($Q213&gt;=5,AVERAGE($S213:$T213)&gt;=5),AVERAGE($Q213,$S213:$T213)&gt;5),"Possible","Unlikely"))</f>
        <v>Unlikely</v>
      </c>
      <c r="AW213" t="e">
        <f>IF(VLOOKUP($B213,'Draft List'!$D$4:$AB$2598,AW$3,FALSE)&lt;&gt;0,VLOOKUP($B213,'Draft List'!$D$4:$AB$2598,AW$3,FALSE),"")</f>
        <v>#N/A</v>
      </c>
      <c r="AX213" t="e">
        <f>IF(VLOOKUP($B213,'Draft List'!$D$4:$AB$2598,AX$3,FALSE)&lt;&gt;0,VLOOKUP($B213,'Draft List'!$D$4:$AB$2598,AX$3,FALSE),"")</f>
        <v>#N/A</v>
      </c>
      <c r="AY213" t="e">
        <f>IF(VLOOKUP($B213,'Draft List'!$D$4:$AB$2598,AY$3,FALSE)&lt;&gt;0,VLOOKUP($B213,'Draft List'!$D$4:$AB$2598,AY$3,FALSE),"")</f>
        <v>#N/A</v>
      </c>
    </row>
    <row r="214" spans="1:51">
      <c r="A214" t="str">
        <f>IF(C214="C","C-",C214)&amp;D214&amp;E214</f>
        <v>C-Joaquín Pérez20</v>
      </c>
      <c r="B214" t="e">
        <f>VLOOKUP($A214,draft_listing_batters_stats!$A$1:$B$1324,2,FALSE)</f>
        <v>#N/A</v>
      </c>
      <c r="C214" s="1" t="s">
        <v>2091</v>
      </c>
      <c r="D214" s="1" t="s">
        <v>1398</v>
      </c>
      <c r="E214" s="1">
        <v>20</v>
      </c>
      <c r="F214" s="1" t="s">
        <v>2038</v>
      </c>
      <c r="G214" s="1" t="s">
        <v>2022</v>
      </c>
      <c r="H214" s="1" t="s">
        <v>2033</v>
      </c>
      <c r="I214" s="1" t="s">
        <v>2033</v>
      </c>
      <c r="J214" s="1" t="s">
        <v>2026</v>
      </c>
      <c r="K214" s="1" t="s">
        <v>2030</v>
      </c>
      <c r="L214" s="1">
        <v>1</v>
      </c>
      <c r="M214" s="1">
        <v>4</v>
      </c>
      <c r="N214" s="1">
        <v>1</v>
      </c>
      <c r="O214" s="1">
        <v>2</v>
      </c>
      <c r="P214" s="1">
        <v>1</v>
      </c>
      <c r="Q214" s="1">
        <v>4</v>
      </c>
      <c r="R214" s="1">
        <v>5</v>
      </c>
      <c r="S214" s="1">
        <v>2</v>
      </c>
      <c r="T214" s="1">
        <v>4</v>
      </c>
      <c r="U214" s="1">
        <v>4</v>
      </c>
      <c r="V214" s="1">
        <v>4</v>
      </c>
      <c r="W214" s="1">
        <v>4</v>
      </c>
      <c r="X214" s="1">
        <v>6</v>
      </c>
      <c r="Y214" s="1">
        <v>4</v>
      </c>
      <c r="Z214" s="1" t="s">
        <v>2027</v>
      </c>
      <c r="AA214" s="1" t="s">
        <v>2027</v>
      </c>
      <c r="AB214" s="1" t="s">
        <v>2027</v>
      </c>
      <c r="AC214" s="1" t="s">
        <v>2027</v>
      </c>
      <c r="AD214" s="1" t="s">
        <v>2027</v>
      </c>
      <c r="AE214" s="1" t="s">
        <v>2027</v>
      </c>
      <c r="AF214" s="1" t="s">
        <v>2027</v>
      </c>
      <c r="AG214" s="1">
        <v>1</v>
      </c>
      <c r="AH214" s="1">
        <v>1</v>
      </c>
      <c r="AI214" s="1">
        <v>1</v>
      </c>
      <c r="AJ214" s="52">
        <v>240000</v>
      </c>
      <c r="AK214" s="9">
        <f>($L$3*(L214-$Q$1)/$Q$2+$M$3*(M214-$R$1)/$R$2+$N$3*(N214-$S$1)/$S$2+$O$3*(O214-$T$1)/$T$2+$P$3*(P214-$U$1)/$U$2)/(SUM($L$3:$P$3))</f>
        <v>-1.8414541609618804</v>
      </c>
      <c r="AL214" s="9">
        <f>($L$3*(Q214-$Q$1)/$Q$2+$M$3*(R214-$R$1)/$R$2+$N$3*(S214-$S$1)/$S$2+$O$3*(T214-$T$1)/$T$2+$P$3*(U214-$U$1)/$U$2)/(SUM($L$3:$P$3))</f>
        <v>-0.44019715924083891</v>
      </c>
      <c r="AM214">
        <f>IF(AVERAGE(AG214:AH214)&gt;9,1,0)+IF(AVERAGE(AG214:AH214)&gt;7,1,0)+IF(AG214&gt;7,1,0)+IF(AH214&gt;7,1,0)+IF(AI214&gt;8,1,0)+IF(AI214&gt;6,1,0)</f>
        <v>0</v>
      </c>
      <c r="AN214" s="6">
        <f>MIN(2,IF(OR(Y214="-",X214&lt;5),0,1+IF(Y214&gt;7,1+IF(X214&gt;7,0.25,0),IF(Y214&gt;4,0.5+IF(X214&gt;7,0.25,0),0+IF(X214&gt;7,0.25))))+IF(Z214="-",0,IF(Z214&gt;9,0.5,IF(Z214&gt;7,0.25,0)))+IF(AA214="-",0,IF(AA214&gt;7,1.1,IF(AA214&gt;4,0.6,0)))+IF(OR(AB214="-",V214&lt;5),0,IF(AB214&gt;7,1+IF(V214&gt;7,0.25,0),IF(AB214&gt;4,0.5+IF(V214&gt;7,0.25,0),0)))+IF(AC214="-",0,IF(AC214&gt;7,1.5,IF(AC214&gt;4,1,0)))+IF(AD214="-",0,IF(AD214&gt;9,0.5,IF(AD214&gt;7,0.25,0)))+IF(AE214="-",0,IF(AE214&gt;7,1.25,IF(AE214&gt;4,0.75,0)))+IF(OR(AF214="-",W214&lt;4),0,IF(AF214&gt;7,1+IF(W214&gt;7,0.15,0),IF(AF214&gt;4,0.5+IF(W214&gt;7,0.15,0),0))))</f>
        <v>1</v>
      </c>
      <c r="AO214" s="9">
        <f>($AK$3*AK214+$AL$3*AL214+$AM$3*AM214+$AN$3*AN214)+$J$3*VLOOKUP(J214,COND!$A$2:$C$7,2,FALSE)+$K$3*VLOOKUP(K214,COND!$A$2:$C$7,3,FALSE)</f>
        <v>5.5334886730137454</v>
      </c>
      <c r="AP214" s="37">
        <f>STANDARDIZE(AO214,AVERAGE($AO$5:$AO$1295),STDEVP($AO$5:$AO$1295))</f>
        <v>-0.71309798248977896</v>
      </c>
      <c r="AQ214" t="str">
        <f>IF(AND(Y214&lt;&gt;"-",X214&gt;1),"C",IF(AA214=MAX(AA214:AC214),"2B",IF(AC214=MAX(AA214:AC214),"SS",IF(OR(AB214=MAX(Z214:AC214),AND(AB214&lt;&gt;"-",AB214&gt;4,V214&gt;5)),"3B",IF(AE214=MAX(AD214:AF214),"CF",IF(AND(AF214=MAX(AD214,AF214),AND(W214&gt;5,AD214&lt;&gt;"-")),"RF",IF(AD214&lt;&gt;"-","LF",IF(Z214&lt;&gt;"-","1B","DH"))))))))</f>
        <v>C</v>
      </c>
      <c r="AR214" t="s">
        <v>35</v>
      </c>
      <c r="AT214" t="s">
        <v>155</v>
      </c>
      <c r="AU214" t="str">
        <f>IF(AND($Q214&gt;=6,AVERAGE($S214:$T214)&gt;=6),"Likely",IF(OR($Q214&gt;6,AND($Q214=6,AVERAGE($S214:$T214)&gt;=3),AND($Q214&gt;=5,AVERAGE($S214:$T214)&gt;=5),AVERAGE($Q214,$S214:$T214)&gt;5),"Possible","Unlikely"))</f>
        <v>Unlikely</v>
      </c>
      <c r="AW214" t="e">
        <f>IF(VLOOKUP($B214,'Draft List'!$D$4:$AB$2598,AW$3,FALSE)&lt;&gt;0,VLOOKUP($B214,'Draft List'!$D$4:$AB$2598,AW$3,FALSE),"")</f>
        <v>#N/A</v>
      </c>
      <c r="AX214" t="e">
        <f>IF(VLOOKUP($B214,'Draft List'!$D$4:$AB$2598,AX$3,FALSE)&lt;&gt;0,VLOOKUP($B214,'Draft List'!$D$4:$AB$2598,AX$3,FALSE),"")</f>
        <v>#N/A</v>
      </c>
      <c r="AY214" t="e">
        <f>IF(VLOOKUP($B214,'Draft List'!$D$4:$AB$2598,AY$3,FALSE)&lt;&gt;0,VLOOKUP($B214,'Draft List'!$D$4:$AB$2598,AY$3,FALSE),"")</f>
        <v>#N/A</v>
      </c>
    </row>
    <row r="215" spans="1:51">
      <c r="A215" t="str">
        <f>IF(C215="C","C-",C215)&amp;D215&amp;E215</f>
        <v>2BBob Campbell17</v>
      </c>
      <c r="B215">
        <f>VLOOKUP($A215,draft_listing_batters_stats!$A$1:$B$1324,2,FALSE)</f>
        <v>4905</v>
      </c>
      <c r="C215" s="1" t="s">
        <v>2069</v>
      </c>
      <c r="D215" s="1" t="s">
        <v>1467</v>
      </c>
      <c r="E215" s="1">
        <v>17</v>
      </c>
      <c r="F215" s="1" t="s">
        <v>2049</v>
      </c>
      <c r="G215" s="1" t="s">
        <v>2022</v>
      </c>
      <c r="H215" s="1" t="s">
        <v>2033</v>
      </c>
      <c r="I215" s="1" t="s">
        <v>2033</v>
      </c>
      <c r="J215" s="1" t="s">
        <v>2025</v>
      </c>
      <c r="K215" s="1" t="s">
        <v>2040</v>
      </c>
      <c r="L215" s="1">
        <v>1</v>
      </c>
      <c r="M215" s="1">
        <v>2</v>
      </c>
      <c r="N215" s="1">
        <v>1</v>
      </c>
      <c r="O215" s="1">
        <v>1</v>
      </c>
      <c r="P215" s="1">
        <v>1</v>
      </c>
      <c r="Q215" s="1">
        <v>5</v>
      </c>
      <c r="R215" s="1">
        <v>4</v>
      </c>
      <c r="S215" s="1">
        <v>1</v>
      </c>
      <c r="T215" s="1">
        <v>3</v>
      </c>
      <c r="U215" s="1">
        <v>4</v>
      </c>
      <c r="V215" s="1">
        <v>4</v>
      </c>
      <c r="W215" s="1">
        <v>1</v>
      </c>
      <c r="X215" s="1">
        <v>1</v>
      </c>
      <c r="Y215" s="1" t="s">
        <v>2027</v>
      </c>
      <c r="Z215" s="1" t="s">
        <v>2027</v>
      </c>
      <c r="AA215" s="1">
        <v>1</v>
      </c>
      <c r="AB215" s="1" t="s">
        <v>2027</v>
      </c>
      <c r="AC215" s="1">
        <v>1</v>
      </c>
      <c r="AD215" s="1" t="s">
        <v>2027</v>
      </c>
      <c r="AE215" s="1" t="s">
        <v>2027</v>
      </c>
      <c r="AF215" s="1" t="s">
        <v>2027</v>
      </c>
      <c r="AG215" s="1">
        <v>8</v>
      </c>
      <c r="AH215" s="1">
        <v>6</v>
      </c>
      <c r="AI215" s="1">
        <v>8</v>
      </c>
      <c r="AJ215" s="52">
        <v>2400000</v>
      </c>
      <c r="AK215" s="9">
        <f>($L$3*(L215-$Q$1)/$Q$2+$M$3*(M215-$R$1)/$R$2+$N$3*(N215-$S$1)/$S$2+$O$3*(O215-$T$1)/$T$2+$P$3*(P215-$U$1)/$U$2)/(SUM($L$3:$P$3))</f>
        <v>-2.0332834702088682</v>
      </c>
      <c r="AL215" s="9">
        <f>($L$3*(Q215-$Q$1)/$Q$2+$M$3*(R215-$R$1)/$R$2+$N$3*(S215-$S$1)/$S$2+$O$3*(T215-$T$1)/$T$2+$P$3*(U215-$U$1)/$U$2)/(SUM($L$3:$P$3))</f>
        <v>-0.3414722466903502</v>
      </c>
      <c r="AM215">
        <f>IF(AVERAGE(AG215:AH215)&gt;9,1,0)+IF(AVERAGE(AG215:AH215)&gt;7,1,0)+IF(AG215&gt;7,1,0)+IF(AH215&gt;7,1,0)+IF(AI215&gt;8,1,0)+IF(AI215&gt;6,1,0)</f>
        <v>2</v>
      </c>
      <c r="AN215" s="6">
        <f>MIN(2,IF(OR(Y215="-",X215&lt;5),0,1+IF(Y215&gt;7,1+IF(X215&gt;7,0.25,0),IF(Y215&gt;4,0.5+IF(X215&gt;7,0.25,0),0+IF(X215&gt;7,0.25))))+IF(Z215="-",0,IF(Z215&gt;9,0.5,IF(Z215&gt;7,0.25,0)))+IF(AA215="-",0,IF(AA215&gt;7,1.1,IF(AA215&gt;4,0.6,0)))+IF(OR(AB215="-",V215&lt;5),0,IF(AB215&gt;7,1+IF(V215&gt;7,0.25,0),IF(AB215&gt;4,0.5+IF(V215&gt;7,0.25,0),0)))+IF(AC215="-",0,IF(AC215&gt;7,1.5,IF(AC215&gt;4,1,0)))+IF(AD215="-",0,IF(AD215&gt;9,0.5,IF(AD215&gt;7,0.25,0)))+IF(AE215="-",0,IF(AE215&gt;7,1.25,IF(AE215&gt;4,0.75,0)))+IF(OR(AF215="-",W215&lt;4),0,IF(AF215&gt;7,1+IF(W215&gt;7,0.15,0),IF(AF215&gt;4,0.5+IF(W215&gt;7,0.15,0),0))))</f>
        <v>0</v>
      </c>
      <c r="AO215" s="9">
        <f>($AK$3*AK215+$AL$3*AL215+$AM$3*AM215+$AN$3*AN215)+$J$3*VLOOKUP(J215,COND!$A$2:$C$7,2,FALSE)+$K$3*VLOOKUP(K215,COND!$A$2:$C$7,3,FALSE)</f>
        <v>5.5323380260282438</v>
      </c>
      <c r="AP215" s="37">
        <f>STANDARDIZE(AO215,AVERAGE($AO$5:$AO$1295),STDEVP($AO$5:$AO$1295))</f>
        <v>-0.71325783457218972</v>
      </c>
      <c r="AQ215" t="str">
        <f>IF(AND(Y215&lt;&gt;"-",X215&gt;1),"C",IF(AA215=MAX(AA215:AC215),"2B",IF(AC215=MAX(AA215:AC215),"SS",IF(OR(AB215=MAX(Z215:AC215),AND(AB215&lt;&gt;"-",AB215&gt;4,V215&gt;5)),"3B",IF(AE215=MAX(AD215:AF215),"CF",IF(AND(AF215=MAX(AD215,AF215),AND(W215&gt;5,AD215&lt;&gt;"-")),"RF",IF(AD215&lt;&gt;"-","LF",IF(Z215&lt;&gt;"-","1B","DH"))))))))</f>
        <v>2B</v>
      </c>
      <c r="AR215" t="s">
        <v>35</v>
      </c>
      <c r="AT215" t="s">
        <v>155</v>
      </c>
      <c r="AU215" t="str">
        <f>IF(AND($Q215&gt;=6,AVERAGE($S215:$T215)&gt;=6),"Likely",IF(OR($Q215&gt;6,AND($Q215=6,AVERAGE($S215:$T215)&gt;=3),AND($Q215&gt;=5,AVERAGE($S215:$T215)&gt;=5),AVERAGE($Q215,$S215:$T215)&gt;5),"Possible","Unlikely"))</f>
        <v>Unlikely</v>
      </c>
      <c r="AW215" t="str">
        <f>IF(VLOOKUP($B215,'Draft List'!$D$4:$AB$2598,AW$3,FALSE)&lt;&gt;0,VLOOKUP($B215,'Draft List'!$D$4:$AB$2598,AW$3,FALSE),"")</f>
        <v/>
      </c>
      <c r="AX215" t="str">
        <f>IF(VLOOKUP($B215,'Draft List'!$D$4:$AB$2598,AX$3,FALSE)&lt;&gt;0,VLOOKUP($B215,'Draft List'!$D$4:$AB$2598,AX$3,FALSE),"")</f>
        <v/>
      </c>
      <c r="AY215" t="str">
        <f>IF(VLOOKUP($B215,'Draft List'!$D$4:$AB$2598,AY$3,FALSE)&lt;&gt;0,VLOOKUP($B215,'Draft List'!$D$4:$AB$2598,AY$3,FALSE),"")</f>
        <v/>
      </c>
    </row>
    <row r="216" spans="1:51">
      <c r="A216" t="str">
        <f>IF(C216="C","C-",C216)&amp;D216&amp;E216</f>
        <v>LFHenry Miller21</v>
      </c>
      <c r="B216">
        <f>VLOOKUP($A216,draft_listing_batters_stats!$A$1:$B$1324,2,FALSE)</f>
        <v>8805</v>
      </c>
      <c r="C216" s="1" t="s">
        <v>2035</v>
      </c>
      <c r="D216" s="1" t="s">
        <v>1371</v>
      </c>
      <c r="E216" s="1">
        <v>21</v>
      </c>
      <c r="F216" s="1" t="s">
        <v>2022</v>
      </c>
      <c r="G216" s="1" t="s">
        <v>2022</v>
      </c>
      <c r="H216" s="1" t="s">
        <v>2033</v>
      </c>
      <c r="I216" s="1" t="s">
        <v>2033</v>
      </c>
      <c r="J216" s="1" t="s">
        <v>2040</v>
      </c>
      <c r="K216" s="1" t="s">
        <v>2026</v>
      </c>
      <c r="L216" s="1">
        <v>3</v>
      </c>
      <c r="M216" s="1">
        <v>2</v>
      </c>
      <c r="N216" s="1">
        <v>1</v>
      </c>
      <c r="O216" s="1">
        <v>3</v>
      </c>
      <c r="P216" s="1">
        <v>4</v>
      </c>
      <c r="Q216" s="1">
        <v>4</v>
      </c>
      <c r="R216" s="1">
        <v>5</v>
      </c>
      <c r="S216" s="1">
        <v>3</v>
      </c>
      <c r="T216" s="1">
        <v>4</v>
      </c>
      <c r="U216" s="1">
        <v>4</v>
      </c>
      <c r="V216" s="1">
        <v>1</v>
      </c>
      <c r="W216" s="1">
        <v>7</v>
      </c>
      <c r="X216" s="1">
        <v>1</v>
      </c>
      <c r="Y216" s="1" t="s">
        <v>2027</v>
      </c>
      <c r="Z216" s="1">
        <v>1</v>
      </c>
      <c r="AA216" s="1" t="s">
        <v>2027</v>
      </c>
      <c r="AB216" s="1" t="s">
        <v>2027</v>
      </c>
      <c r="AC216" s="1" t="s">
        <v>2027</v>
      </c>
      <c r="AD216" s="1">
        <v>5</v>
      </c>
      <c r="AE216" s="1">
        <v>2</v>
      </c>
      <c r="AF216" s="1">
        <v>3</v>
      </c>
      <c r="AG216" s="1">
        <v>6</v>
      </c>
      <c r="AH216" s="1">
        <v>9</v>
      </c>
      <c r="AI216" s="1">
        <v>7</v>
      </c>
      <c r="AJ216" s="52" t="s">
        <v>2029</v>
      </c>
      <c r="AK216" s="9">
        <f>($L$3*(L216-$Q$1)/$Q$2+$M$3*(M216-$R$1)/$R$2+$N$3*(N216-$S$1)/$S$2+$O$3*(O216-$T$1)/$T$2+$P$3*(P216-$U$1)/$U$2)/(SUM($L$3:$P$3))</f>
        <v>-1.0887036783331068</v>
      </c>
      <c r="AL216" s="9">
        <f>($L$3*(Q216-$Q$1)/$Q$2+$M$3*(R216-$R$1)/$R$2+$N$3*(S216-$S$1)/$S$2+$O$3*(T216-$T$1)/$T$2+$P$3*(U216-$U$1)/$U$2)/(SUM($L$3:$P$3))</f>
        <v>-0.35713566521693735</v>
      </c>
      <c r="AM216">
        <f>IF(AVERAGE(AG216:AH216)&gt;9,1,0)+IF(AVERAGE(AG216:AH216)&gt;7,1,0)+IF(AG216&gt;7,1,0)+IF(AH216&gt;7,1,0)+IF(AI216&gt;8,1,0)+IF(AI216&gt;6,1,0)</f>
        <v>3</v>
      </c>
      <c r="AN216" s="6">
        <f>MIN(2,IF(OR(Y216="-",X216&lt;5),0,1+IF(Y216&gt;7,1+IF(X216&gt;7,0.25,0),IF(Y216&gt;4,0.5+IF(X216&gt;7,0.25,0),0+IF(X216&gt;7,0.25))))+IF(Z216="-",0,IF(Z216&gt;9,0.5,IF(Z216&gt;7,0.25,0)))+IF(AA216="-",0,IF(AA216&gt;7,1.1,IF(AA216&gt;4,0.6,0)))+IF(OR(AB216="-",V216&lt;5),0,IF(AB216&gt;7,1+IF(V216&gt;7,0.25,0),IF(AB216&gt;4,0.5+IF(V216&gt;7,0.25,0),0)))+IF(AC216="-",0,IF(AC216&gt;7,1.5,IF(AC216&gt;4,1,0)))+IF(AD216="-",0,IF(AD216&gt;9,0.5,IF(AD216&gt;7,0.25,0)))+IF(AE216="-",0,IF(AE216&gt;7,1.25,IF(AE216&gt;4,0.75,0)))+IF(OR(AF216="-",W216&lt;4),0,IF(AF216&gt;7,1+IF(W216&gt;7,0.15,0),IF(AF216&gt;4,0.5+IF(W216&gt;7,0.15,0),0))))</f>
        <v>0</v>
      </c>
      <c r="AO216" s="9">
        <f>($AK$3*AK216+$AL$3*AL216+$AM$3*AM216+$AN$3*AN216)+$J$3*VLOOKUP(J216,COND!$A$2:$C$7,2,FALSE)+$K$3*VLOOKUP(K216,COND!$A$2:$C$7,3,FALSE)</f>
        <v>5.505501649563441</v>
      </c>
      <c r="AP216" s="37">
        <f>STANDARDIZE(AO216,AVERAGE($AO$5:$AO$1295),STDEVP($AO$5:$AO$1295))</f>
        <v>-0.71698604202096317</v>
      </c>
      <c r="AQ216" t="str">
        <f>IF(AND(Y216&lt;&gt;"-",X216&gt;1),"C",IF(AA216=MAX(AA216:AC216),"2B",IF(AC216=MAX(AA216:AC216),"SS",IF(OR(AB216=MAX(Z216:AC216),AND(AB216&lt;&gt;"-",AB216&gt;4,V216&gt;5)),"3B",IF(AE216=MAX(AD216:AF216),"CF",IF(AND(AF216=MAX(AD216,AF216),AND(W216&gt;5,AD216&lt;&gt;"-")),"RF",IF(AD216&lt;&gt;"-","LF",IF(Z216&lt;&gt;"-","1B","DH"))))))))</f>
        <v>LF</v>
      </c>
      <c r="AR216" t="s">
        <v>35</v>
      </c>
      <c r="AU216" t="str">
        <f>IF(AND($Q216&gt;=6,AVERAGE($S216:$T216)&gt;=6),"Likely",IF(OR($Q216&gt;6,AND($Q216=6,AVERAGE($S216:$T216)&gt;=3),AND($Q216&gt;=5,AVERAGE($S216:$T216)&gt;=5),AVERAGE($Q216,$S216:$T216)&gt;5),"Possible","Unlikely"))</f>
        <v>Unlikely</v>
      </c>
      <c r="AW216" t="str">
        <f>IF(VLOOKUP($B216,'Draft List'!$D$4:$AB$2598,AW$3,FALSE)&lt;&gt;0,VLOOKUP($B216,'Draft List'!$D$4:$AB$2598,AW$3,FALSE),"")</f>
        <v/>
      </c>
      <c r="AX216" t="str">
        <f>IF(VLOOKUP($B216,'Draft List'!$D$4:$AB$2598,AX$3,FALSE)&lt;&gt;0,VLOOKUP($B216,'Draft List'!$D$4:$AB$2598,AX$3,FALSE),"")</f>
        <v/>
      </c>
      <c r="AY216" t="str">
        <f>IF(VLOOKUP($B216,'Draft List'!$D$4:$AB$2598,AY$3,FALSE)&lt;&gt;0,VLOOKUP($B216,'Draft List'!$D$4:$AB$2598,AY$3,FALSE),"")</f>
        <v/>
      </c>
    </row>
    <row r="217" spans="1:51">
      <c r="A217" t="str">
        <f>IF(C217="C","C-",C217)&amp;D217&amp;E217</f>
        <v>LFJorge Torres21</v>
      </c>
      <c r="B217">
        <f>VLOOKUP($A217,draft_listing_batters_stats!$A$1:$B$1324,2,FALSE)</f>
        <v>3177</v>
      </c>
      <c r="C217" s="1" t="s">
        <v>2035</v>
      </c>
      <c r="D217" s="1" t="s">
        <v>1231</v>
      </c>
      <c r="E217" s="1">
        <v>21</v>
      </c>
      <c r="F217" s="1" t="s">
        <v>2022</v>
      </c>
      <c r="G217" s="1" t="s">
        <v>2022</v>
      </c>
      <c r="H217" s="1" t="s">
        <v>2033</v>
      </c>
      <c r="I217" s="1" t="s">
        <v>2033</v>
      </c>
      <c r="J217" s="1" t="s">
        <v>2025</v>
      </c>
      <c r="K217" s="1" t="s">
        <v>2030</v>
      </c>
      <c r="L217" s="1">
        <v>4</v>
      </c>
      <c r="M217" s="1">
        <v>5</v>
      </c>
      <c r="N217" s="1">
        <v>1</v>
      </c>
      <c r="O217" s="1">
        <v>2</v>
      </c>
      <c r="P217" s="1">
        <v>3</v>
      </c>
      <c r="Q217" s="1">
        <v>4</v>
      </c>
      <c r="R217" s="1">
        <v>6</v>
      </c>
      <c r="S217" s="1">
        <v>2</v>
      </c>
      <c r="T217" s="1">
        <v>3</v>
      </c>
      <c r="U217" s="1">
        <v>4</v>
      </c>
      <c r="V217" s="1">
        <v>1</v>
      </c>
      <c r="W217" s="1">
        <v>5</v>
      </c>
      <c r="X217" s="1">
        <v>1</v>
      </c>
      <c r="Y217" s="1" t="s">
        <v>2027</v>
      </c>
      <c r="Z217" s="1" t="s">
        <v>2027</v>
      </c>
      <c r="AA217" s="1" t="s">
        <v>2027</v>
      </c>
      <c r="AB217" s="1" t="s">
        <v>2027</v>
      </c>
      <c r="AC217" s="1" t="s">
        <v>2027</v>
      </c>
      <c r="AD217" s="1">
        <v>8</v>
      </c>
      <c r="AE217" s="1">
        <v>4</v>
      </c>
      <c r="AF217" s="1">
        <v>4</v>
      </c>
      <c r="AG217" s="1">
        <v>8</v>
      </c>
      <c r="AH217" s="1">
        <v>9</v>
      </c>
      <c r="AI217" s="1">
        <v>10</v>
      </c>
      <c r="AJ217" s="52" t="s">
        <v>2029</v>
      </c>
      <c r="AK217" s="9">
        <f>($L$3*(L217-$Q$1)/$Q$2+$M$3*(M217-$R$1)/$R$2+$N$3*(N217-$S$1)/$S$2+$O$3*(O217-$T$1)/$T$2+$P$3*(P217-$U$1)/$U$2)/(SUM($L$3:$P$3))</f>
        <v>-0.742694093100986</v>
      </c>
      <c r="AL217" s="9">
        <f>($L$3*(Q217-$Q$1)/$Q$2+$M$3*(R217-$R$1)/$R$2+$N$3*(S217-$S$1)/$S$2+$O$3*(T217-$T$1)/$T$2+$P$3*(U217-$U$1)/$U$2)/(SUM($L$3:$P$3))</f>
        <v>-0.47884682963171643</v>
      </c>
      <c r="AM217">
        <f>IF(AVERAGE(AG217:AH217)&gt;9,1,0)+IF(AVERAGE(AG217:AH217)&gt;7,1,0)+IF(AG217&gt;7,1,0)+IF(AH217&gt;7,1,0)+IF(AI217&gt;8,1,0)+IF(AI217&gt;6,1,0)</f>
        <v>5</v>
      </c>
      <c r="AN217" s="6">
        <f>MIN(2,IF(OR(Y217="-",X217&lt;5),0,1+IF(Y217&gt;7,1+IF(X217&gt;7,0.25,0),IF(Y217&gt;4,0.5+IF(X217&gt;7,0.25,0),0+IF(X217&gt;7,0.25))))+IF(Z217="-",0,IF(Z217&gt;9,0.5,IF(Z217&gt;7,0.25,0)))+IF(AA217="-",0,IF(AA217&gt;7,1.1,IF(AA217&gt;4,0.6,0)))+IF(OR(AB217="-",V217&lt;5),0,IF(AB217&gt;7,1+IF(V217&gt;7,0.25,0),IF(AB217&gt;4,0.5+IF(V217&gt;7,0.25,0),0)))+IF(AC217="-",0,IF(AC217&gt;7,1.5,IF(AC217&gt;4,1,0)))+IF(AD217="-",0,IF(AD217&gt;9,0.5,IF(AD217&gt;7,0.25,0)))+IF(AE217="-",0,IF(AE217&gt;7,1.25,IF(AE217&gt;4,0.75,0)))+IF(OR(AF217="-",W217&lt;4),0,IF(AF217&gt;7,1+IF(W217&gt;7,0.15,0),IF(AF217&gt;4,0.5+IF(W217&gt;7,0.15,0),0))))</f>
        <v>0.25</v>
      </c>
      <c r="AO217" s="9">
        <f>($AK$3*AK217+$AL$3*AL217+$AM$3*AM217+$AN$3*AN217)+$J$3*VLOOKUP(J217,COND!$A$2:$C$7,2,FALSE)+$K$3*VLOOKUP(K217,COND!$A$2:$C$7,3,FALSE)</f>
        <v>5.3629019684426371</v>
      </c>
      <c r="AP217" s="37">
        <f>STANDARDIZE(AO217,AVERAGE($AO$5:$AO$1295),STDEVP($AO$5:$AO$1295))</f>
        <v>-0.7367965106229587</v>
      </c>
      <c r="AQ217" t="str">
        <f>IF(AND(Y217&lt;&gt;"-",X217&gt;1),"C",IF(AA217=MAX(AA217:AC217),"2B",IF(AC217=MAX(AA217:AC217),"SS",IF(OR(AB217=MAX(Z217:AC217),AND(AB217&lt;&gt;"-",AB217&gt;4,V217&gt;5)),"3B",IF(AE217=MAX(AD217:AF217),"CF",IF(AND(AF217=MAX(AD217,AF217),AND(W217&gt;5,AD217&lt;&gt;"-")),"RF",IF(AD217&lt;&gt;"-","LF",IF(Z217&lt;&gt;"-","1B","DH"))))))))</f>
        <v>LF</v>
      </c>
      <c r="AR217" t="s">
        <v>35</v>
      </c>
      <c r="AU217" t="str">
        <f>IF(AND($Q217&gt;=6,AVERAGE($S217:$T217)&gt;=6),"Likely",IF(OR($Q217&gt;6,AND($Q217=6,AVERAGE($S217:$T217)&gt;=3),AND($Q217&gt;=5,AVERAGE($S217:$T217)&gt;=5),AVERAGE($Q217,$S217:$T217)&gt;5),"Possible","Unlikely"))</f>
        <v>Unlikely</v>
      </c>
      <c r="AW217" t="str">
        <f>IF(VLOOKUP($B217,'Draft List'!$D$4:$AB$2598,AW$3,FALSE)&lt;&gt;0,VLOOKUP($B217,'Draft List'!$D$4:$AB$2598,AW$3,FALSE),"")</f>
        <v/>
      </c>
      <c r="AX217" t="str">
        <f>IF(VLOOKUP($B217,'Draft List'!$D$4:$AB$2598,AX$3,FALSE)&lt;&gt;0,VLOOKUP($B217,'Draft List'!$D$4:$AB$2598,AX$3,FALSE),"")</f>
        <v/>
      </c>
      <c r="AY217" t="str">
        <f>IF(VLOOKUP($B217,'Draft List'!$D$4:$AB$2598,AY$3,FALSE)&lt;&gt;0,VLOOKUP($B217,'Draft List'!$D$4:$AB$2598,AY$3,FALSE),"")</f>
        <v/>
      </c>
    </row>
    <row r="218" spans="1:51">
      <c r="A218" t="str">
        <f>IF(C218="C","C-",C218)&amp;D218&amp;E218</f>
        <v>1BAlden Brockington18</v>
      </c>
      <c r="B218">
        <f>VLOOKUP($A218,draft_listing_batters_stats!$A$1:$B$1324,2,FALSE)</f>
        <v>221</v>
      </c>
      <c r="C218" s="1" t="s">
        <v>2092</v>
      </c>
      <c r="D218" s="1" t="s">
        <v>1462</v>
      </c>
      <c r="E218" s="1">
        <v>18</v>
      </c>
      <c r="F218" s="1" t="s">
        <v>2022</v>
      </c>
      <c r="G218" s="1" t="s">
        <v>2038</v>
      </c>
      <c r="H218" s="1" t="s">
        <v>2033</v>
      </c>
      <c r="I218" s="1" t="s">
        <v>2033</v>
      </c>
      <c r="J218" s="1" t="s">
        <v>2026</v>
      </c>
      <c r="K218" s="1" t="s">
        <v>2025</v>
      </c>
      <c r="L218" s="1">
        <v>1</v>
      </c>
      <c r="M218" s="1">
        <v>2</v>
      </c>
      <c r="N218" s="1">
        <v>1</v>
      </c>
      <c r="O218" s="1">
        <v>1</v>
      </c>
      <c r="P218" s="1">
        <v>1</v>
      </c>
      <c r="Q218" s="1">
        <v>4</v>
      </c>
      <c r="R218" s="1">
        <v>5</v>
      </c>
      <c r="S218" s="1">
        <v>4</v>
      </c>
      <c r="T218" s="1">
        <v>3</v>
      </c>
      <c r="U218" s="1">
        <v>4</v>
      </c>
      <c r="V218" s="1">
        <v>4</v>
      </c>
      <c r="W218" s="1">
        <v>2</v>
      </c>
      <c r="X218" s="1">
        <v>1</v>
      </c>
      <c r="Y218" s="1" t="s">
        <v>2027</v>
      </c>
      <c r="Z218" s="1">
        <v>1</v>
      </c>
      <c r="AA218" s="1" t="s">
        <v>2027</v>
      </c>
      <c r="AB218" s="1" t="s">
        <v>2027</v>
      </c>
      <c r="AC218" s="1" t="s">
        <v>2027</v>
      </c>
      <c r="AD218" s="1" t="s">
        <v>2027</v>
      </c>
      <c r="AE218" s="1" t="s">
        <v>2027</v>
      </c>
      <c r="AF218" s="1" t="s">
        <v>2027</v>
      </c>
      <c r="AG218" s="1">
        <v>3</v>
      </c>
      <c r="AH218" s="1">
        <v>5</v>
      </c>
      <c r="AI218" s="1">
        <v>5</v>
      </c>
      <c r="AJ218" s="52" t="s">
        <v>2029</v>
      </c>
      <c r="AK218" s="9">
        <f>($L$3*(L218-$Q$1)/$Q$2+$M$3*(M218-$R$1)/$R$2+$N$3*(N218-$S$1)/$S$2+$O$3*(O218-$T$1)/$T$2+$P$3*(P218-$U$1)/$U$2)/(SUM($L$3:$P$3))</f>
        <v>-2.0332834702088682</v>
      </c>
      <c r="AL218" s="9">
        <f>($L$3*(Q218-$Q$1)/$Q$2+$M$3*(R218-$R$1)/$R$2+$N$3*(S218-$S$1)/$S$2+$O$3*(T218-$T$1)/$T$2+$P$3*(U218-$U$1)/$U$2)/(SUM($L$3:$P$3))</f>
        <v>-0.36378372120261693</v>
      </c>
      <c r="AM218">
        <f>IF(AVERAGE(AG218:AH218)&gt;9,1,0)+IF(AVERAGE(AG218:AH218)&gt;7,1,0)+IF(AG218&gt;7,1,0)+IF(AH218&gt;7,1,0)+IF(AI218&gt;8,1,0)+IF(AI218&gt;6,1,0)</f>
        <v>0</v>
      </c>
      <c r="AN218" s="6">
        <f>MIN(2,IF(OR(Y218="-",X218&lt;5),0,1+IF(Y218&gt;7,1+IF(X218&gt;7,0.25,0),IF(Y218&gt;4,0.5+IF(X218&gt;7,0.25,0),0+IF(X218&gt;7,0.25))))+IF(Z218="-",0,IF(Z218&gt;9,0.5,IF(Z218&gt;7,0.25,0)))+IF(AA218="-",0,IF(AA218&gt;7,1.1,IF(AA218&gt;4,0.6,0)))+IF(OR(AB218="-",V218&lt;5),0,IF(AB218&gt;7,1+IF(V218&gt;7,0.25,0),IF(AB218&gt;4,0.5+IF(V218&gt;7,0.25,0),0)))+IF(AC218="-",0,IF(AC218&gt;7,1.5,IF(AC218&gt;4,1,0)))+IF(AD218="-",0,IF(AD218&gt;9,0.5,IF(AD218&gt;7,0.25,0)))+IF(AE218="-",0,IF(AE218&gt;7,1.25,IF(AE218&gt;4,0.75,0)))+IF(OR(AF218="-",W218&lt;4),0,IF(AF218&gt;7,1+IF(W218&gt;7,0.15,0),IF(AF218&gt;4,0.5+IF(W218&gt;7,0.15,0),0))))</f>
        <v>0</v>
      </c>
      <c r="AO218" s="9">
        <f>($AK$3*AK218+$AL$3*AL218+$AM$3*AM218+$AN$3*AN218)+$J$3*VLOOKUP(J218,COND!$A$2:$C$7,2,FALSE)+$K$3*VLOOKUP(K218,COND!$A$2:$C$7,3,FALSE)</f>
        <v>5.3312669985477106</v>
      </c>
      <c r="AP218" s="37">
        <f>STANDARDIZE(AO218,AVERAGE($AO$5:$AO$1295),STDEVP($AO$5:$AO$1295))</f>
        <v>-0.74119135619977028</v>
      </c>
      <c r="AQ218" t="str">
        <f>IF(AND(Y218&lt;&gt;"-",X218&gt;1),"C",IF(AA218=MAX(AA218:AC218),"2B",IF(AC218=MAX(AA218:AC218),"SS",IF(OR(AB218=MAX(Z218:AC218),AND(AB218&lt;&gt;"-",AB218&gt;4,V218&gt;5)),"3B",IF(AE218=MAX(AD218:AF218),"CF",IF(AND(AF218=MAX(AD218,AF218),AND(W218&gt;5,AD218&lt;&gt;"-")),"RF",IF(AD218&lt;&gt;"-","LF",IF(Z218&lt;&gt;"-","1B","DH"))))))))</f>
        <v>1B</v>
      </c>
      <c r="AR218" t="s">
        <v>35</v>
      </c>
      <c r="AU218" t="str">
        <f>IF(AND($Q218&gt;=6,AVERAGE($S218:$T218)&gt;=6),"Likely",IF(OR($Q218&gt;6,AND($Q218=6,AVERAGE($S218:$T218)&gt;=3),AND($Q218&gt;=5,AVERAGE($S218:$T218)&gt;=5),AVERAGE($Q218,$S218:$T218)&gt;5),"Possible","Unlikely"))</f>
        <v>Unlikely</v>
      </c>
      <c r="AW218" t="str">
        <f>IF(VLOOKUP($B218,'Draft List'!$D$4:$AB$2598,AW$3,FALSE)&lt;&gt;0,VLOOKUP($B218,'Draft List'!$D$4:$AB$2598,AW$3,FALSE),"")</f>
        <v/>
      </c>
      <c r="AX218" t="str">
        <f>IF(VLOOKUP($B218,'Draft List'!$D$4:$AB$2598,AX$3,FALSE)&lt;&gt;0,VLOOKUP($B218,'Draft List'!$D$4:$AB$2598,AX$3,FALSE),"")</f>
        <v/>
      </c>
      <c r="AY218" t="str">
        <f>IF(VLOOKUP($B218,'Draft List'!$D$4:$AB$2598,AY$3,FALSE)&lt;&gt;0,VLOOKUP($B218,'Draft List'!$D$4:$AB$2598,AY$3,FALSE),"")</f>
        <v/>
      </c>
    </row>
    <row r="219" spans="1:51">
      <c r="A219" t="str">
        <f>IF(C219="C","C-",C219)&amp;D219&amp;E219</f>
        <v>RFDrew Davis18</v>
      </c>
      <c r="B219">
        <f>VLOOKUP($A219,draft_listing_batters_stats!$A$1:$B$1324,2,FALSE)</f>
        <v>13759</v>
      </c>
      <c r="C219" s="1" t="s">
        <v>2057</v>
      </c>
      <c r="D219" s="1" t="s">
        <v>1484</v>
      </c>
      <c r="E219" s="1">
        <v>18</v>
      </c>
      <c r="F219" s="1" t="s">
        <v>2022</v>
      </c>
      <c r="G219" s="1" t="s">
        <v>2022</v>
      </c>
      <c r="H219" s="1" t="s">
        <v>2033</v>
      </c>
      <c r="I219" s="1" t="s">
        <v>2033</v>
      </c>
      <c r="J219" s="1" t="s">
        <v>2026</v>
      </c>
      <c r="K219" s="1" t="s">
        <v>2025</v>
      </c>
      <c r="L219" s="1">
        <v>1</v>
      </c>
      <c r="M219" s="1">
        <v>3</v>
      </c>
      <c r="N219" s="1">
        <v>1</v>
      </c>
      <c r="O219" s="1">
        <v>1</v>
      </c>
      <c r="P219" s="1">
        <v>1</v>
      </c>
      <c r="Q219" s="1">
        <v>4</v>
      </c>
      <c r="R219" s="1">
        <v>4</v>
      </c>
      <c r="S219" s="1">
        <v>5</v>
      </c>
      <c r="T219" s="1">
        <v>2</v>
      </c>
      <c r="U219" s="1">
        <v>4</v>
      </c>
      <c r="V219" s="1">
        <v>1</v>
      </c>
      <c r="W219" s="1">
        <v>5</v>
      </c>
      <c r="X219" s="1">
        <v>1</v>
      </c>
      <c r="Y219" s="1" t="s">
        <v>2027</v>
      </c>
      <c r="Z219" s="1" t="s">
        <v>2027</v>
      </c>
      <c r="AA219" s="1" t="s">
        <v>2027</v>
      </c>
      <c r="AB219" s="1" t="s">
        <v>2027</v>
      </c>
      <c r="AC219" s="1" t="s">
        <v>2027</v>
      </c>
      <c r="AD219" s="1">
        <v>1</v>
      </c>
      <c r="AE219" s="1" t="s">
        <v>2027</v>
      </c>
      <c r="AF219" s="1">
        <v>3</v>
      </c>
      <c r="AG219" s="1">
        <v>8</v>
      </c>
      <c r="AH219" s="1">
        <v>9</v>
      </c>
      <c r="AI219" s="1">
        <v>8</v>
      </c>
      <c r="AJ219" s="52" t="s">
        <v>2029</v>
      </c>
      <c r="AK219" s="9">
        <f>($L$3*(L219-$Q$1)/$Q$2+$M$3*(M219-$R$1)/$R$2+$N$3*(N219-$S$1)/$S$2+$O$3*(O219-$T$1)/$T$2+$P$3*(P219-$U$1)/$U$2)/(SUM($L$3:$P$3))</f>
        <v>-1.9822235905901651</v>
      </c>
      <c r="AL219" s="9">
        <f>($L$3*(Q219-$Q$1)/$Q$2+$M$3*(R219-$R$1)/$R$2+$N$3*(S219-$S$1)/$S$2+$O$3*(T219-$T$1)/$T$2+$P$3*(U219-$U$1)/$U$2)/(SUM($L$3:$P$3))</f>
        <v>-0.42149165680700001</v>
      </c>
      <c r="AM219">
        <f>IF(AVERAGE(AG219:AH219)&gt;9,1,0)+IF(AVERAGE(AG219:AH219)&gt;7,1,0)+IF(AG219&gt;7,1,0)+IF(AH219&gt;7,1,0)+IF(AI219&gt;8,1,0)+IF(AI219&gt;6,1,0)</f>
        <v>4</v>
      </c>
      <c r="AN219" s="6">
        <f>MIN(2,IF(OR(Y219="-",X219&lt;5),0,1+IF(Y219&gt;7,1+IF(X219&gt;7,0.25,0),IF(Y219&gt;4,0.5+IF(X219&gt;7,0.25,0),0+IF(X219&gt;7,0.25))))+IF(Z219="-",0,IF(Z219&gt;9,0.5,IF(Z219&gt;7,0.25,0)))+IF(AA219="-",0,IF(AA219&gt;7,1.1,IF(AA219&gt;4,0.6,0)))+IF(OR(AB219="-",V219&lt;5),0,IF(AB219&gt;7,1+IF(V219&gt;7,0.25,0),IF(AB219&gt;4,0.5+IF(V219&gt;7,0.25,0),0)))+IF(AC219="-",0,IF(AC219&gt;7,1.5,IF(AC219&gt;4,1,0)))+IF(AD219="-",0,IF(AD219&gt;9,0.5,IF(AD219&gt;7,0.25,0)))+IF(AE219="-",0,IF(AE219&gt;7,1.25,IF(AE219&gt;4,0.75,0)))+IF(OR(AF219="-",W219&lt;4),0,IF(AF219&gt;7,1+IF(W219&gt;7,0.15,0),IF(AF219&gt;4,0.5+IF(W219&gt;7,0.15,0),0))))</f>
        <v>0</v>
      </c>
      <c r="AO219" s="9">
        <f>($AK$3*AK219+$AL$3*AL219+$AM$3*AM219+$AN$3*AN219)+$J$3*VLOOKUP(J219,COND!$A$2:$C$7,2,FALSE)+$K$3*VLOOKUP(K219,COND!$A$2:$C$7,3,FALSE)</f>
        <v>5.3105444259236503</v>
      </c>
      <c r="AP219" s="37">
        <f>STANDARDIZE(AO219,AVERAGE($AO$5:$AO$1295),STDEVP($AO$5:$AO$1295))</f>
        <v>-0.74407021168594589</v>
      </c>
      <c r="AQ219" t="str">
        <f>IF(AND(Y219&lt;&gt;"-",X219&gt;1),"C",IF(AA219=MAX(AA219:AC219),"2B",IF(AC219=MAX(AA219:AC219),"SS",IF(OR(AB219=MAX(Z219:AC219),AND(AB219&lt;&gt;"-",AB219&gt;4,V219&gt;5)),"3B",IF(AE219=MAX(AD219:AF219),"CF",IF(AND(AF219=MAX(AD219,AF219),AND(W219&gt;5,AD219&lt;&gt;"-")),"RF",IF(AD219&lt;&gt;"-","LF",IF(Z219&lt;&gt;"-","1B","DH"))))))))</f>
        <v>LF</v>
      </c>
      <c r="AR219" t="s">
        <v>35</v>
      </c>
      <c r="AU219" t="str">
        <f>IF(AND($Q219&gt;=6,AVERAGE($S219:$T219)&gt;=6),"Likely",IF(OR($Q219&gt;6,AND($Q219=6,AVERAGE($S219:$T219)&gt;=3),AND($Q219&gt;=5,AVERAGE($S219:$T219)&gt;=5),AVERAGE($Q219,$S219:$T219)&gt;5),"Possible","Unlikely"))</f>
        <v>Unlikely</v>
      </c>
      <c r="AW219" t="str">
        <f>IF(VLOOKUP($B219,'Draft List'!$D$4:$AB$2598,AW$3,FALSE)&lt;&gt;0,VLOOKUP($B219,'Draft List'!$D$4:$AB$2598,AW$3,FALSE),"")</f>
        <v/>
      </c>
      <c r="AX219" t="str">
        <f>IF(VLOOKUP($B219,'Draft List'!$D$4:$AB$2598,AX$3,FALSE)&lt;&gt;0,VLOOKUP($B219,'Draft List'!$D$4:$AB$2598,AX$3,FALSE),"")</f>
        <v/>
      </c>
      <c r="AY219" t="str">
        <f>IF(VLOOKUP($B219,'Draft List'!$D$4:$AB$2598,AY$3,FALSE)&lt;&gt;0,VLOOKUP($B219,'Draft List'!$D$4:$AB$2598,AY$3,FALSE),"")</f>
        <v/>
      </c>
    </row>
    <row r="220" spans="1:51">
      <c r="A220" t="str">
        <f>IF(C220="C","C-",C220)&amp;D220&amp;E220</f>
        <v>C-Steve Wallace18</v>
      </c>
      <c r="B220">
        <f>VLOOKUP($A220,draft_listing_batters_stats!$A$1:$B$1324,2,FALSE)</f>
        <v>13783</v>
      </c>
      <c r="C220" s="1" t="s">
        <v>2091</v>
      </c>
      <c r="D220" s="1" t="s">
        <v>1246</v>
      </c>
      <c r="E220" s="1">
        <v>18</v>
      </c>
      <c r="F220" s="1" t="s">
        <v>2022</v>
      </c>
      <c r="G220" s="1" t="s">
        <v>2022</v>
      </c>
      <c r="H220" s="1" t="s">
        <v>2033</v>
      </c>
      <c r="I220" s="1" t="s">
        <v>2033</v>
      </c>
      <c r="J220" s="1" t="s">
        <v>2030</v>
      </c>
      <c r="K220" s="1" t="s">
        <v>2025</v>
      </c>
      <c r="L220" s="1">
        <v>1</v>
      </c>
      <c r="M220" s="1">
        <v>2</v>
      </c>
      <c r="N220" s="1">
        <v>1</v>
      </c>
      <c r="O220" s="1">
        <v>1</v>
      </c>
      <c r="P220" s="1">
        <v>1</v>
      </c>
      <c r="Q220" s="1">
        <v>4</v>
      </c>
      <c r="R220" s="1">
        <v>7</v>
      </c>
      <c r="S220" s="1">
        <v>2</v>
      </c>
      <c r="T220" s="1">
        <v>3</v>
      </c>
      <c r="U220" s="1">
        <v>5</v>
      </c>
      <c r="V220" s="1">
        <v>3</v>
      </c>
      <c r="W220" s="1">
        <v>3</v>
      </c>
      <c r="X220" s="1">
        <v>6</v>
      </c>
      <c r="Y220" s="1" t="s">
        <v>2027</v>
      </c>
      <c r="Z220" s="1" t="s">
        <v>2027</v>
      </c>
      <c r="AA220" s="1" t="s">
        <v>2027</v>
      </c>
      <c r="AB220" s="1" t="s">
        <v>2027</v>
      </c>
      <c r="AC220" s="1" t="s">
        <v>2027</v>
      </c>
      <c r="AD220" s="1" t="s">
        <v>2027</v>
      </c>
      <c r="AE220" s="1" t="s">
        <v>2027</v>
      </c>
      <c r="AF220" s="1" t="s">
        <v>2027</v>
      </c>
      <c r="AG220" s="1">
        <v>3</v>
      </c>
      <c r="AH220" s="1">
        <v>2</v>
      </c>
      <c r="AI220" s="1">
        <v>3</v>
      </c>
      <c r="AJ220" s="52" t="s">
        <v>2029</v>
      </c>
      <c r="AK220" s="9">
        <f>($L$3*(L220-$Q$1)/$Q$2+$M$3*(M220-$R$1)/$R$2+$N$3*(N220-$S$1)/$S$2+$O$3*(O220-$T$1)/$T$2+$P$3*(P220-$U$1)/$U$2)/(SUM($L$3:$P$3))</f>
        <v>-2.0332834702088682</v>
      </c>
      <c r="AL220" s="9">
        <f>($L$3*(Q220-$Q$1)/$Q$2+$M$3*(R220-$R$1)/$R$2+$N$3*(S220-$S$1)/$S$2+$O$3*(T220-$T$1)/$T$2+$P$3*(U220-$U$1)/$U$2)/(SUM($L$3:$P$3))</f>
        <v>-0.38777061019592951</v>
      </c>
      <c r="AM220">
        <f>IF(AVERAGE(AG220:AH220)&gt;9,1,0)+IF(AVERAGE(AG220:AH220)&gt;7,1,0)+IF(AG220&gt;7,1,0)+IF(AH220&gt;7,1,0)+IF(AI220&gt;8,1,0)+IF(AI220&gt;6,1,0)</f>
        <v>0</v>
      </c>
      <c r="AN220" s="6">
        <f>MIN(2,IF(OR(Y220="-",X220&lt;5),0,1+IF(Y220&gt;7,1+IF(X220&gt;7,0.25,0),IF(Y220&gt;4,0.5+IF(X220&gt;7,0.25,0),0+IF(X220&gt;7,0.25))))+IF(Z220="-",0,IF(Z220&gt;9,0.5,IF(Z220&gt;7,0.25,0)))+IF(AA220="-",0,IF(AA220&gt;7,1.1,IF(AA220&gt;4,0.6,0)))+IF(OR(AB220="-",V220&lt;5),0,IF(AB220&gt;7,1+IF(V220&gt;7,0.25,0),IF(AB220&gt;4,0.5+IF(V220&gt;7,0.25,0),0)))+IF(AC220="-",0,IF(AC220&gt;7,1.5,IF(AC220&gt;4,1,0)))+IF(AD220="-",0,IF(AD220&gt;9,0.5,IF(AD220&gt;7,0.25,0)))+IF(AE220="-",0,IF(AE220&gt;7,1.25,IF(AE220&gt;4,0.75,0)))+IF(OR(AF220="-",W220&lt;4),0,IF(AF220&gt;7,1+IF(W220&gt;7,0.15,0),IF(AF220&gt;4,0.5+IF(W220&gt;7,0.15,0),0))))</f>
        <v>0</v>
      </c>
      <c r="AO220" s="9">
        <f>($AK$3*AK220+$AL$3*AL220+$AM$3*AM220+$AN$3*AN220)+$J$3*VLOOKUP(J220,COND!$A$2:$C$7,2,FALSE)+$K$3*VLOOKUP(K220,COND!$A$2:$C$7,3,FALSE)</f>
        <v>5.2434243306279589</v>
      </c>
      <c r="AP220" s="37">
        <f>STANDARDIZE(AO220,AVERAGE($AO$5:$AO$1295),STDEVP($AO$5:$AO$1295))</f>
        <v>-0.75339478050662789</v>
      </c>
      <c r="AQ220" t="str">
        <f>IF(AND(Y220&lt;&gt;"-",X220&gt;1),"C",IF(AA220=MAX(AA220:AC220),"2B",IF(AC220=MAX(AA220:AC220),"SS",IF(OR(AB220=MAX(Z220:AC220),AND(AB220&lt;&gt;"-",AB220&gt;4,V220&gt;5)),"3B",IF(AE220=MAX(AD220:AF220),"CF",IF(AND(AF220=MAX(AD220,AF220),AND(W220&gt;5,AD220&lt;&gt;"-")),"RF",IF(AD220&lt;&gt;"-","LF",IF(Z220&lt;&gt;"-","1B","DH"))))))))</f>
        <v>DH</v>
      </c>
      <c r="AR220" t="s">
        <v>35</v>
      </c>
      <c r="AU220" t="str">
        <f>IF(AND($Q220&gt;=6,AVERAGE($S220:$T220)&gt;=6),"Likely",IF(OR($Q220&gt;6,AND($Q220=6,AVERAGE($S220:$T220)&gt;=3),AND($Q220&gt;=5,AVERAGE($S220:$T220)&gt;=5),AVERAGE($Q220,$S220:$T220)&gt;5),"Possible","Unlikely"))</f>
        <v>Unlikely</v>
      </c>
      <c r="AW220" t="str">
        <f>IF(VLOOKUP($B220,'Draft List'!$D$4:$AB$2598,AW$3,FALSE)&lt;&gt;0,VLOOKUP($B220,'Draft List'!$D$4:$AB$2598,AW$3,FALSE),"")</f>
        <v/>
      </c>
      <c r="AX220" t="str">
        <f>IF(VLOOKUP($B220,'Draft List'!$D$4:$AB$2598,AX$3,FALSE)&lt;&gt;0,VLOOKUP($B220,'Draft List'!$D$4:$AB$2598,AX$3,FALSE),"")</f>
        <v/>
      </c>
      <c r="AY220" t="str">
        <f>IF(VLOOKUP($B220,'Draft List'!$D$4:$AB$2598,AY$3,FALSE)&lt;&gt;0,VLOOKUP($B220,'Draft List'!$D$4:$AB$2598,AY$3,FALSE),"")</f>
        <v/>
      </c>
    </row>
    <row r="221" spans="1:51">
      <c r="A221" t="str">
        <f>IF(C221="C","C-",C221)&amp;D221&amp;E221</f>
        <v>C-Colton Lawrence21</v>
      </c>
      <c r="B221">
        <f>VLOOKUP($A221,draft_listing_batters_stats!$A$1:$B$1324,2,FALSE)</f>
        <v>4308</v>
      </c>
      <c r="C221" s="1" t="s">
        <v>2091</v>
      </c>
      <c r="D221" s="1" t="s">
        <v>1342</v>
      </c>
      <c r="E221" s="1">
        <v>21</v>
      </c>
      <c r="F221" s="1" t="s">
        <v>2038</v>
      </c>
      <c r="G221" s="1" t="s">
        <v>2022</v>
      </c>
      <c r="H221" s="1" t="s">
        <v>2033</v>
      </c>
      <c r="I221" s="1" t="s">
        <v>2033</v>
      </c>
      <c r="J221" s="1" t="s">
        <v>2026</v>
      </c>
      <c r="K221" s="1" t="s">
        <v>2036</v>
      </c>
      <c r="L221" s="1">
        <v>3</v>
      </c>
      <c r="M221" s="1">
        <v>3</v>
      </c>
      <c r="N221" s="1">
        <v>2</v>
      </c>
      <c r="O221" s="1">
        <v>4</v>
      </c>
      <c r="P221" s="1">
        <v>1</v>
      </c>
      <c r="Q221" s="1">
        <v>4</v>
      </c>
      <c r="R221" s="1">
        <v>4</v>
      </c>
      <c r="S221" s="1">
        <v>2</v>
      </c>
      <c r="T221" s="1">
        <v>5</v>
      </c>
      <c r="U221" s="1">
        <v>4</v>
      </c>
      <c r="V221" s="1">
        <v>3</v>
      </c>
      <c r="W221" s="1">
        <v>2</v>
      </c>
      <c r="X221" s="1">
        <v>4</v>
      </c>
      <c r="Y221" s="1">
        <v>3</v>
      </c>
      <c r="Z221" s="1" t="s">
        <v>2027</v>
      </c>
      <c r="AA221" s="1" t="s">
        <v>2027</v>
      </c>
      <c r="AB221" s="1" t="s">
        <v>2027</v>
      </c>
      <c r="AC221" s="1" t="s">
        <v>2027</v>
      </c>
      <c r="AD221" s="1" t="s">
        <v>2027</v>
      </c>
      <c r="AE221" s="1" t="s">
        <v>2027</v>
      </c>
      <c r="AF221" s="1" t="s">
        <v>2027</v>
      </c>
      <c r="AG221" s="1">
        <v>1</v>
      </c>
      <c r="AH221" s="1">
        <v>2</v>
      </c>
      <c r="AI221" s="1">
        <v>2</v>
      </c>
      <c r="AJ221" s="52" t="s">
        <v>2029</v>
      </c>
      <c r="AK221" s="9">
        <f>($L$3*(L221-$Q$1)/$Q$2+$M$3*(M221-$R$1)/$R$2+$N$3*(N221-$S$1)/$S$2+$O$3*(O221-$T$1)/$T$2+$P$3*(P221-$U$1)/$U$2)/(SUM($L$3:$P$3))</f>
        <v>-0.98492177413217086</v>
      </c>
      <c r="AL221" s="9">
        <f>($L$3*(Q221-$Q$1)/$Q$2+$M$3*(R221-$R$1)/$R$2+$N$3*(S221-$S$1)/$S$2+$O$3*(T221-$T$1)/$T$2+$P$3*(U221-$U$1)/$U$2)/(SUM($L$3:$P$3))</f>
        <v>-0.40154748884996139</v>
      </c>
      <c r="AM221">
        <f>IF(AVERAGE(AG221:AH221)&gt;9,1,0)+IF(AVERAGE(AG221:AH221)&gt;7,1,0)+IF(AG221&gt;7,1,0)+IF(AH221&gt;7,1,0)+IF(AI221&gt;8,1,0)+IF(AI221&gt;6,1,0)</f>
        <v>0</v>
      </c>
      <c r="AN221" s="6">
        <f>MIN(2,IF(OR(Y221="-",X221&lt;5),0,1+IF(Y221&gt;7,1+IF(X221&gt;7,0.25,0),IF(Y221&gt;4,0.5+IF(X221&gt;7,0.25,0),0+IF(X221&gt;7,0.25))))+IF(Z221="-",0,IF(Z221&gt;9,0.5,IF(Z221&gt;7,0.25,0)))+IF(AA221="-",0,IF(AA221&gt;7,1.1,IF(AA221&gt;4,0.6,0)))+IF(OR(AB221="-",V221&lt;5),0,IF(AB221&gt;7,1+IF(V221&gt;7,0.25,0),IF(AB221&gt;4,0.5+IF(V221&gt;7,0.25,0),0)))+IF(AC221="-",0,IF(AC221&gt;7,1.5,IF(AC221&gt;4,1,0)))+IF(AD221="-",0,IF(AD221&gt;9,0.5,IF(AD221&gt;7,0.25,0)))+IF(AE221="-",0,IF(AE221&gt;7,1.25,IF(AE221&gt;4,0.75,0)))+IF(OR(AF221="-",W221&lt;4),0,IF(AF221&gt;7,1+IF(W221&gt;7,0.15,0),IF(AF221&gt;4,0.5+IF(W221&gt;7,0.15,0),0))))</f>
        <v>0</v>
      </c>
      <c r="AO221" s="9">
        <f>($AK$3*AK221+$AL$3*AL221+$AM$3*AM221+$AN$3*AN221)+$J$3*VLOOKUP(J221,COND!$A$2:$C$7,2,FALSE)+$K$3*VLOOKUP(K221,COND!$A$2:$C$7,3,FALSE)</f>
        <v>5.2329379563872465</v>
      </c>
      <c r="AP221" s="37">
        <f>STANDARDIZE(AO221,AVERAGE($AO$5:$AO$1295),STDEVP($AO$5:$AO$1295))</f>
        <v>-0.75485158592170043</v>
      </c>
      <c r="AQ221" t="str">
        <f>IF(AND(Y221&lt;&gt;"-",X221&gt;1),"C",IF(AA221=MAX(AA221:AC221),"2B",IF(AC221=MAX(AA221:AC221),"SS",IF(OR(AB221=MAX(Z221:AC221),AND(AB221&lt;&gt;"-",AB221&gt;4,V221&gt;5)),"3B",IF(AE221=MAX(AD221:AF221),"CF",IF(AND(AF221=MAX(AD221,AF221),AND(W221&gt;5,AD221&lt;&gt;"-")),"RF",IF(AD221&lt;&gt;"-","LF",IF(Z221&lt;&gt;"-","1B","DH"))))))))</f>
        <v>C</v>
      </c>
      <c r="AR221" t="s">
        <v>35</v>
      </c>
      <c r="AU221" t="str">
        <f>IF(AND($Q221&gt;=6,AVERAGE($S221:$T221)&gt;=6),"Likely",IF(OR($Q221&gt;6,AND($Q221=6,AVERAGE($S221:$T221)&gt;=3),AND($Q221&gt;=5,AVERAGE($S221:$T221)&gt;=5),AVERAGE($Q221,$S221:$T221)&gt;5),"Possible","Unlikely"))</f>
        <v>Unlikely</v>
      </c>
      <c r="AW221" t="str">
        <f>IF(VLOOKUP($B221,'Draft List'!$D$4:$AB$2598,AW$3,FALSE)&lt;&gt;0,VLOOKUP($B221,'Draft List'!$D$4:$AB$2598,AW$3,FALSE),"")</f>
        <v/>
      </c>
      <c r="AX221" t="str">
        <f>IF(VLOOKUP($B221,'Draft List'!$D$4:$AB$2598,AX$3,FALSE)&lt;&gt;0,VLOOKUP($B221,'Draft List'!$D$4:$AB$2598,AX$3,FALSE),"")</f>
        <v/>
      </c>
      <c r="AY221" t="str">
        <f>IF(VLOOKUP($B221,'Draft List'!$D$4:$AB$2598,AY$3,FALSE)&lt;&gt;0,VLOOKUP($B221,'Draft List'!$D$4:$AB$2598,AY$3,FALSE),"")</f>
        <v/>
      </c>
    </row>
    <row r="222" spans="1:51">
      <c r="A222" t="str">
        <f>IF(C222="C","C-",C222)&amp;D222&amp;E222</f>
        <v>3BScott Coleman21</v>
      </c>
      <c r="B222">
        <f>VLOOKUP($A222,draft_listing_batters_stats!$A$1:$B$1324,2,FALSE)</f>
        <v>6555</v>
      </c>
      <c r="C222" s="1" t="s">
        <v>2061</v>
      </c>
      <c r="D222" s="1" t="s">
        <v>1475</v>
      </c>
      <c r="E222" s="1">
        <v>21</v>
      </c>
      <c r="F222" s="1" t="s">
        <v>2022</v>
      </c>
      <c r="G222" s="1" t="s">
        <v>2022</v>
      </c>
      <c r="H222" s="1" t="s">
        <v>2033</v>
      </c>
      <c r="I222" s="1" t="s">
        <v>2033</v>
      </c>
      <c r="J222" s="1" t="s">
        <v>2040</v>
      </c>
      <c r="K222" s="1" t="s">
        <v>2040</v>
      </c>
      <c r="L222" s="1">
        <v>4</v>
      </c>
      <c r="M222" s="1">
        <v>3</v>
      </c>
      <c r="N222" s="1">
        <v>2</v>
      </c>
      <c r="O222" s="1">
        <v>3</v>
      </c>
      <c r="P222" s="1">
        <v>2</v>
      </c>
      <c r="Q222" s="1">
        <v>4</v>
      </c>
      <c r="R222" s="1">
        <v>4</v>
      </c>
      <c r="S222" s="1">
        <v>2</v>
      </c>
      <c r="T222" s="1">
        <v>4</v>
      </c>
      <c r="U222" s="1">
        <v>4</v>
      </c>
      <c r="V222" s="1">
        <v>6</v>
      </c>
      <c r="W222" s="1">
        <v>1</v>
      </c>
      <c r="X222" s="1">
        <v>1</v>
      </c>
      <c r="Y222" s="1" t="s">
        <v>2027</v>
      </c>
      <c r="Z222" s="1" t="s">
        <v>2027</v>
      </c>
      <c r="AA222" s="1">
        <v>2</v>
      </c>
      <c r="AB222" s="1">
        <v>5</v>
      </c>
      <c r="AC222" s="1">
        <v>6</v>
      </c>
      <c r="AD222" s="1" t="s">
        <v>2027</v>
      </c>
      <c r="AE222" s="1" t="s">
        <v>2027</v>
      </c>
      <c r="AF222" s="1" t="s">
        <v>2027</v>
      </c>
      <c r="AG222" s="1">
        <v>8</v>
      </c>
      <c r="AH222" s="1">
        <v>10</v>
      </c>
      <c r="AI222" s="1">
        <v>7</v>
      </c>
      <c r="AJ222" s="52" t="s">
        <v>2029</v>
      </c>
      <c r="AK222" s="9">
        <f>($L$3*(L222-$Q$1)/$Q$2+$M$3*(M222-$R$1)/$R$2+$N$3*(N222-$S$1)/$S$2+$O$3*(O222-$T$1)/$T$2+$P$3*(P222-$U$1)/$U$2)/(SUM($L$3:$P$3))</f>
        <v>-0.71205914812199378</v>
      </c>
      <c r="AL222" s="9">
        <f>($L$3*(Q222-$Q$1)/$Q$2+$M$3*(R222-$R$1)/$R$2+$N$3*(S222-$S$1)/$S$2+$O$3*(T222-$T$1)/$T$2+$P$3*(U222-$U$1)/$U$2)/(SUM($L$3:$P$3))</f>
        <v>-0.49125703885954242</v>
      </c>
      <c r="AM222">
        <f>IF(AVERAGE(AG222:AH222)&gt;9,1,0)+IF(AVERAGE(AG222:AH222)&gt;7,1,0)+IF(AG222&gt;7,1,0)+IF(AH222&gt;7,1,0)+IF(AI222&gt;8,1,0)+IF(AI222&gt;6,1,0)</f>
        <v>4</v>
      </c>
      <c r="AN222" s="6">
        <f>MIN(2,IF(OR(Y222="-",X222&lt;5),0,1+IF(Y222&gt;7,1+IF(X222&gt;7,0.25,0),IF(Y222&gt;4,0.5+IF(X222&gt;7,0.25,0),0+IF(X222&gt;7,0.25))))+IF(Z222="-",0,IF(Z222&gt;9,0.5,IF(Z222&gt;7,0.25,0)))+IF(AA222="-",0,IF(AA222&gt;7,1.1,IF(AA222&gt;4,0.6,0)))+IF(OR(AB222="-",V222&lt;5),0,IF(AB222&gt;7,1+IF(V222&gt;7,0.25,0),IF(AB222&gt;4,0.5+IF(V222&gt;7,0.25,0),0)))+IF(AC222="-",0,IF(AC222&gt;7,1.5,IF(AC222&gt;4,1,0)))+IF(AD222="-",0,IF(AD222&gt;9,0.5,IF(AD222&gt;7,0.25,0)))+IF(AE222="-",0,IF(AE222&gt;7,1.25,IF(AE222&gt;4,0.75,0)))+IF(OR(AF222="-",W222&lt;4),0,IF(AF222&gt;7,1+IF(W222&gt;7,0.15,0),IF(AF222&gt;4,0.5+IF(W222&gt;7,0.15,0),0))))</f>
        <v>1.5</v>
      </c>
      <c r="AO222" s="9">
        <f>($AK$3*AK222+$AL$3*AL222+$AM$3*AM222+$AN$3*AN222)+$J$3*VLOOKUP(J222,COND!$A$2:$C$7,2,FALSE)+$K$3*VLOOKUP(K222,COND!$A$2:$C$7,3,FALSE)</f>
        <v>5.2003762855399582</v>
      </c>
      <c r="AP222" s="37">
        <f>STANDARDIZE(AO222,AVERAGE($AO$5:$AO$1295),STDEVP($AO$5:$AO$1295))</f>
        <v>-0.7593751721799491</v>
      </c>
      <c r="AQ222" t="str">
        <f>IF(AND(Y222&lt;&gt;"-",X222&gt;1),"C",IF(AA222=MAX(AA222:AC222),"2B",IF(AC222=MAX(AA222:AC222),"SS",IF(OR(AB222=MAX(Z222:AC222),AND(AB222&lt;&gt;"-",AB222&gt;4,V222&gt;5)),"3B",IF(AE222=MAX(AD222:AF222),"CF",IF(AND(AF222=MAX(AD222,AF222),AND(W222&gt;5,AD222&lt;&gt;"-")),"RF",IF(AD222&lt;&gt;"-","LF",IF(Z222&lt;&gt;"-","1B","DH"))))))))</f>
        <v>SS</v>
      </c>
      <c r="AR222" t="s">
        <v>35</v>
      </c>
      <c r="AU222" t="str">
        <f>IF(AND($Q222&gt;=6,AVERAGE($S222:$T222)&gt;=6),"Likely",IF(OR($Q222&gt;6,AND($Q222=6,AVERAGE($S222:$T222)&gt;=3),AND($Q222&gt;=5,AVERAGE($S222:$T222)&gt;=5),AVERAGE($Q222,$S222:$T222)&gt;5),"Possible","Unlikely"))</f>
        <v>Unlikely</v>
      </c>
      <c r="AW222" t="str">
        <f>IF(VLOOKUP($B222,'Draft List'!$D$4:$AB$2598,AW$3,FALSE)&lt;&gt;0,VLOOKUP($B222,'Draft List'!$D$4:$AB$2598,AW$3,FALSE),"")</f>
        <v/>
      </c>
      <c r="AX222" t="str">
        <f>IF(VLOOKUP($B222,'Draft List'!$D$4:$AB$2598,AX$3,FALSE)&lt;&gt;0,VLOOKUP($B222,'Draft List'!$D$4:$AB$2598,AX$3,FALSE),"")</f>
        <v/>
      </c>
      <c r="AY222" t="str">
        <f>IF(VLOOKUP($B222,'Draft List'!$D$4:$AB$2598,AY$3,FALSE)&lt;&gt;0,VLOOKUP($B222,'Draft List'!$D$4:$AB$2598,AY$3,FALSE),"")</f>
        <v/>
      </c>
    </row>
    <row r="223" spans="1:51">
      <c r="A223" t="str">
        <f>IF(C223="C","C-",C223)&amp;D223&amp;E223</f>
        <v>CFLuis Manuel Ramírez21</v>
      </c>
      <c r="B223" t="e">
        <f>VLOOKUP($A223,draft_listing_batters_stats!$A$1:$B$1324,2,FALSE)</f>
        <v>#N/A</v>
      </c>
      <c r="C223" s="1" t="s">
        <v>2079</v>
      </c>
      <c r="D223" s="1" t="s">
        <v>1198</v>
      </c>
      <c r="E223" s="1">
        <v>21</v>
      </c>
      <c r="F223" s="1" t="s">
        <v>2038</v>
      </c>
      <c r="G223" s="1" t="s">
        <v>2038</v>
      </c>
      <c r="H223" s="1" t="s">
        <v>2033</v>
      </c>
      <c r="I223" s="1" t="s">
        <v>2033</v>
      </c>
      <c r="J223" s="1" t="s">
        <v>2040</v>
      </c>
      <c r="K223" s="1" t="s">
        <v>2030</v>
      </c>
      <c r="L223" s="1">
        <v>2</v>
      </c>
      <c r="M223" s="1">
        <v>5</v>
      </c>
      <c r="N223" s="1">
        <v>1</v>
      </c>
      <c r="O223" s="1">
        <v>1</v>
      </c>
      <c r="P223" s="1">
        <v>1</v>
      </c>
      <c r="Q223" s="1">
        <v>4</v>
      </c>
      <c r="R223" s="1">
        <v>6</v>
      </c>
      <c r="S223" s="1">
        <v>3</v>
      </c>
      <c r="T223" s="1">
        <v>3</v>
      </c>
      <c r="U223" s="1">
        <v>4</v>
      </c>
      <c r="V223" s="1">
        <v>1</v>
      </c>
      <c r="W223" s="1">
        <v>8</v>
      </c>
      <c r="X223" s="1">
        <v>1</v>
      </c>
      <c r="Y223" s="1" t="s">
        <v>2027</v>
      </c>
      <c r="Z223" s="1" t="s">
        <v>2027</v>
      </c>
      <c r="AA223" s="1" t="s">
        <v>2027</v>
      </c>
      <c r="AB223" s="1" t="s">
        <v>2027</v>
      </c>
      <c r="AC223" s="1" t="s">
        <v>2027</v>
      </c>
      <c r="AD223" s="1">
        <v>4</v>
      </c>
      <c r="AE223" s="1">
        <v>1</v>
      </c>
      <c r="AF223" s="1">
        <v>4</v>
      </c>
      <c r="AG223" s="1">
        <v>8</v>
      </c>
      <c r="AH223" s="1">
        <v>10</v>
      </c>
      <c r="AI223" s="1">
        <v>6</v>
      </c>
      <c r="AJ223" s="52" t="s">
        <v>2029</v>
      </c>
      <c r="AK223" s="9">
        <f>($L$3*(L223-$Q$1)/$Q$2+$M$3*(M223-$R$1)/$R$2+$N$3*(N223-$S$1)/$S$2+$O$3*(O223-$T$1)/$T$2+$P$3*(P223-$U$1)/$U$2)/(SUM($L$3:$P$3))</f>
        <v>-1.5575479951500835</v>
      </c>
      <c r="AL223" s="9">
        <f>($L$3*(Q223-$Q$1)/$Q$2+$M$3*(R223-$R$1)/$R$2+$N$3*(S223-$S$1)/$S$2+$O$3*(T223-$T$1)/$T$2+$P$3*(U223-$U$1)/$U$2)/(SUM($L$3:$P$3))</f>
        <v>-0.39578533560781487</v>
      </c>
      <c r="AM223">
        <f>IF(AVERAGE(AG223:AH223)&gt;9,1,0)+IF(AVERAGE(AG223:AH223)&gt;7,1,0)+IF(AG223&gt;7,1,0)+IF(AH223&gt;7,1,0)+IF(AI223&gt;8,1,0)+IF(AI223&gt;6,1,0)</f>
        <v>3</v>
      </c>
      <c r="AN223" s="6">
        <f>MIN(2,IF(OR(Y223="-",X223&lt;5),0,1+IF(Y223&gt;7,1+IF(X223&gt;7,0.25,0),IF(Y223&gt;4,0.5+IF(X223&gt;7,0.25,0),0+IF(X223&gt;7,0.25))))+IF(Z223="-",0,IF(Z223&gt;9,0.5,IF(Z223&gt;7,0.25,0)))+IF(AA223="-",0,IF(AA223&gt;7,1.1,IF(AA223&gt;4,0.6,0)))+IF(OR(AB223="-",V223&lt;5),0,IF(AB223&gt;7,1+IF(V223&gt;7,0.25,0),IF(AB223&gt;4,0.5+IF(V223&gt;7,0.25,0),0)))+IF(AC223="-",0,IF(AC223&gt;7,1.5,IF(AC223&gt;4,1,0)))+IF(AD223="-",0,IF(AD223&gt;9,0.5,IF(AD223&gt;7,0.25,0)))+IF(AE223="-",0,IF(AE223&gt;7,1.25,IF(AE223&gt;4,0.75,0)))+IF(OR(AF223="-",W223&lt;4),0,IF(AF223&gt;7,1+IF(W223&gt;7,0.15,0),IF(AF223&gt;4,0.5+IF(W223&gt;7,0.15,0),0))))</f>
        <v>0</v>
      </c>
      <c r="AO223" s="9">
        <f>($AK$3*AK223+$AL$3*AL223+$AM$3*AM223+$AN$3*AN223)+$J$3*VLOOKUP(J223,COND!$A$2:$C$7,2,FALSE)+$K$3*VLOOKUP(K223,COND!$A$2:$C$7,3,FALSE)</f>
        <v>5.1948211731912135</v>
      </c>
      <c r="AP223" s="37">
        <f>STANDARDIZE(AO223,AVERAGE($AO$5:$AO$1295),STDEVP($AO$5:$AO$1295))</f>
        <v>-0.76014690867964108</v>
      </c>
      <c r="AQ223" t="str">
        <f>IF(AND(Y223&lt;&gt;"-",X223&gt;1),"C",IF(AA223=MAX(AA223:AC223),"2B",IF(AC223=MAX(AA223:AC223),"SS",IF(OR(AB223=MAX(Z223:AC223),AND(AB223&lt;&gt;"-",AB223&gt;4,V223&gt;5)),"3B",IF(AE223=MAX(AD223:AF223),"CF",IF(AND(AF223=MAX(AD223,AF223),AND(W223&gt;5,AD223&lt;&gt;"-")),"RF",IF(AD223&lt;&gt;"-","LF",IF(Z223&lt;&gt;"-","1B","DH"))))))))</f>
        <v>RF</v>
      </c>
      <c r="AR223" t="s">
        <v>35</v>
      </c>
      <c r="AU223" t="str">
        <f>IF(AND($Q223&gt;=6,AVERAGE($S223:$T223)&gt;=6),"Likely",IF(OR($Q223&gt;6,AND($Q223=6,AVERAGE($S223:$T223)&gt;=3),AND($Q223&gt;=5,AVERAGE($S223:$T223)&gt;=5),AVERAGE($Q223,$S223:$T223)&gt;5),"Possible","Unlikely"))</f>
        <v>Unlikely</v>
      </c>
      <c r="AW223" t="e">
        <f>IF(VLOOKUP($B223,'Draft List'!$D$4:$AB$2598,AW$3,FALSE)&lt;&gt;0,VLOOKUP($B223,'Draft List'!$D$4:$AB$2598,AW$3,FALSE),"")</f>
        <v>#N/A</v>
      </c>
      <c r="AX223" t="e">
        <f>IF(VLOOKUP($B223,'Draft List'!$D$4:$AB$2598,AX$3,FALSE)&lt;&gt;0,VLOOKUP($B223,'Draft List'!$D$4:$AB$2598,AX$3,FALSE),"")</f>
        <v>#N/A</v>
      </c>
      <c r="AY223" t="e">
        <f>IF(VLOOKUP($B223,'Draft List'!$D$4:$AB$2598,AY$3,FALSE)&lt;&gt;0,VLOOKUP($B223,'Draft List'!$D$4:$AB$2598,AY$3,FALSE),"")</f>
        <v>#N/A</v>
      </c>
    </row>
    <row r="224" spans="1:51">
      <c r="A224" t="str">
        <f>IF(C224="C","C-",C224)&amp;D224&amp;E224</f>
        <v>RFMiguel Rosa21</v>
      </c>
      <c r="B224">
        <f>VLOOKUP($A224,draft_listing_batters_stats!$A$1:$B$1324,2,FALSE)</f>
        <v>6217</v>
      </c>
      <c r="C224" s="1" t="s">
        <v>2057</v>
      </c>
      <c r="D224" s="1" t="s">
        <v>1208</v>
      </c>
      <c r="E224" s="1">
        <v>21</v>
      </c>
      <c r="F224" s="1" t="s">
        <v>2022</v>
      </c>
      <c r="G224" s="1" t="s">
        <v>2022</v>
      </c>
      <c r="H224" s="1" t="s">
        <v>2033</v>
      </c>
      <c r="I224" s="1" t="s">
        <v>2033</v>
      </c>
      <c r="J224" s="1" t="s">
        <v>2036</v>
      </c>
      <c r="K224" s="1" t="s">
        <v>2025</v>
      </c>
      <c r="L224" s="1">
        <v>4</v>
      </c>
      <c r="M224" s="1">
        <v>3</v>
      </c>
      <c r="N224" s="1">
        <v>2</v>
      </c>
      <c r="O224" s="1">
        <v>2</v>
      </c>
      <c r="P224" s="1">
        <v>2</v>
      </c>
      <c r="Q224" s="1">
        <v>4</v>
      </c>
      <c r="R224" s="1">
        <v>5</v>
      </c>
      <c r="S224" s="1">
        <v>3</v>
      </c>
      <c r="T224" s="1">
        <v>3</v>
      </c>
      <c r="U224" s="1">
        <v>4</v>
      </c>
      <c r="V224" s="1">
        <v>1</v>
      </c>
      <c r="W224" s="1">
        <v>6</v>
      </c>
      <c r="X224" s="1">
        <v>1</v>
      </c>
      <c r="Y224" s="1" t="s">
        <v>2027</v>
      </c>
      <c r="Z224" s="1" t="s">
        <v>2027</v>
      </c>
      <c r="AA224" s="1" t="s">
        <v>2027</v>
      </c>
      <c r="AB224" s="1" t="s">
        <v>2027</v>
      </c>
      <c r="AC224" s="1" t="s">
        <v>2027</v>
      </c>
      <c r="AD224" s="1">
        <v>6</v>
      </c>
      <c r="AE224" s="1" t="s">
        <v>2027</v>
      </c>
      <c r="AF224" s="1">
        <v>3</v>
      </c>
      <c r="AG224" s="1">
        <v>6</v>
      </c>
      <c r="AH224" s="1">
        <v>8</v>
      </c>
      <c r="AI224" s="1">
        <v>8</v>
      </c>
      <c r="AJ224" s="52" t="s">
        <v>2029</v>
      </c>
      <c r="AK224" s="9">
        <f>($L$3*(L224-$Q$1)/$Q$2+$M$3*(M224-$R$1)/$R$2+$N$3*(N224-$S$1)/$S$2+$O$3*(O224-$T$1)/$T$2+$P$3*(P224-$U$1)/$U$2)/(SUM($L$3:$P$3))</f>
        <v>-0.80176869813157481</v>
      </c>
      <c r="AL224" s="9">
        <f>($L$3*(Q224-$Q$1)/$Q$2+$M$3*(R224-$R$1)/$R$2+$N$3*(S224-$S$1)/$S$2+$O$3*(T224-$T$1)/$T$2+$P$3*(U224-$U$1)/$U$2)/(SUM($L$3:$P$3))</f>
        <v>-0.44684521522651838</v>
      </c>
      <c r="AM224">
        <f>IF(AVERAGE(AG224:AH224)&gt;9,1,0)+IF(AVERAGE(AG224:AH224)&gt;7,1,0)+IF(AG224&gt;7,1,0)+IF(AH224&gt;7,1,0)+IF(AI224&gt;8,1,0)+IF(AI224&gt;6,1,0)</f>
        <v>2</v>
      </c>
      <c r="AN224" s="6">
        <f>MIN(2,IF(OR(Y224="-",X224&lt;5),0,1+IF(Y224&gt;7,1+IF(X224&gt;7,0.25,0),IF(Y224&gt;4,0.5+IF(X224&gt;7,0.25,0),0+IF(X224&gt;7,0.25))))+IF(Z224="-",0,IF(Z224&gt;9,0.5,IF(Z224&gt;7,0.25,0)))+IF(AA224="-",0,IF(AA224&gt;7,1.1,IF(AA224&gt;4,0.6,0)))+IF(OR(AB224="-",V224&lt;5),0,IF(AB224&gt;7,1+IF(V224&gt;7,0.25,0),IF(AB224&gt;4,0.5+IF(V224&gt;7,0.25,0),0)))+IF(AC224="-",0,IF(AC224&gt;7,1.5,IF(AC224&gt;4,1,0)))+IF(AD224="-",0,IF(AD224&gt;9,0.5,IF(AD224&gt;7,0.25,0)))+IF(AE224="-",0,IF(AE224&gt;7,1.25,IF(AE224&gt;4,0.75,0)))+IF(OR(AF224="-",W224&lt;4),0,IF(AF224&gt;7,1+IF(W224&gt;7,0.15,0),IF(AF224&gt;4,0.5+IF(W224&gt;7,0.15,0),0))))</f>
        <v>0</v>
      </c>
      <c r="AO224" s="9">
        <f>($AK$3*AK224+$AL$3*AL224+$AM$3*AM224+$AN$3*AN224)+$J$3*VLOOKUP(J224,COND!$A$2:$C$7,2,FALSE)+$K$3*VLOOKUP(K224,COND!$A$2:$C$7,3,FALSE)</f>
        <v>5.141013880801955</v>
      </c>
      <c r="AP224" s="37">
        <f>STANDARDIZE(AO224,AVERAGE($AO$5:$AO$1295),STDEVP($AO$5:$AO$1295))</f>
        <v>-0.76762201429038068</v>
      </c>
      <c r="AQ224" t="str">
        <f>IF(AND(Y224&lt;&gt;"-",X224&gt;1),"C",IF(AA224=MAX(AA224:AC224),"2B",IF(AC224=MAX(AA224:AC224),"SS",IF(OR(AB224=MAX(Z224:AC224),AND(AB224&lt;&gt;"-",AB224&gt;4,V224&gt;5)),"3B",IF(AE224=MAX(AD224:AF224),"CF",IF(AND(AF224=MAX(AD224,AF224),AND(W224&gt;5,AD224&lt;&gt;"-")),"RF",IF(AD224&lt;&gt;"-","LF",IF(Z224&lt;&gt;"-","1B","DH"))))))))</f>
        <v>LF</v>
      </c>
      <c r="AR224" t="s">
        <v>35</v>
      </c>
      <c r="AU224" t="str">
        <f>IF(AND($Q224&gt;=6,AVERAGE($S224:$T224)&gt;=6),"Likely",IF(OR($Q224&gt;6,AND($Q224=6,AVERAGE($S224:$T224)&gt;=3),AND($Q224&gt;=5,AVERAGE($S224:$T224)&gt;=5),AVERAGE($Q224,$S224:$T224)&gt;5),"Possible","Unlikely"))</f>
        <v>Unlikely</v>
      </c>
      <c r="AW224" t="e">
        <f>IF(VLOOKUP($B224,'Draft List'!$D$4:$AB$2598,AW$3,FALSE)&lt;&gt;0,VLOOKUP($B224,'Draft List'!$D$4:$AB$2598,AW$3,FALSE),"")</f>
        <v>#N/A</v>
      </c>
      <c r="AX224" t="e">
        <f>IF(VLOOKUP($B224,'Draft List'!$D$4:$AB$2598,AX$3,FALSE)&lt;&gt;0,VLOOKUP($B224,'Draft List'!$D$4:$AB$2598,AX$3,FALSE),"")</f>
        <v>#N/A</v>
      </c>
      <c r="AY224" t="e">
        <f>IF(VLOOKUP($B224,'Draft List'!$D$4:$AB$2598,AY$3,FALSE)&lt;&gt;0,VLOOKUP($B224,'Draft List'!$D$4:$AB$2598,AY$3,FALSE),"")</f>
        <v>#N/A</v>
      </c>
    </row>
    <row r="225" spans="1:51">
      <c r="A225" t="str">
        <f>IF(C225="C","C-",C225)&amp;D225&amp;E225</f>
        <v>RFScott Coleman21</v>
      </c>
      <c r="B225">
        <f>VLOOKUP($A225,draft_listing_batters_stats!$A$1:$B$1324,2,FALSE)</f>
        <v>9289</v>
      </c>
      <c r="C225" s="1" t="s">
        <v>2057</v>
      </c>
      <c r="D225" s="1" t="s">
        <v>1475</v>
      </c>
      <c r="E225" s="1">
        <v>21</v>
      </c>
      <c r="F225" s="1" t="s">
        <v>2022</v>
      </c>
      <c r="G225" s="1" t="s">
        <v>2022</v>
      </c>
      <c r="H225" s="1" t="s">
        <v>2033</v>
      </c>
      <c r="I225" s="1" t="s">
        <v>2033</v>
      </c>
      <c r="J225" s="1" t="s">
        <v>2040</v>
      </c>
      <c r="K225" s="1" t="s">
        <v>2030</v>
      </c>
      <c r="L225" s="1">
        <v>3</v>
      </c>
      <c r="M225" s="1">
        <v>4</v>
      </c>
      <c r="N225" s="1">
        <v>1</v>
      </c>
      <c r="O225" s="1">
        <v>2</v>
      </c>
      <c r="P225" s="1">
        <v>3</v>
      </c>
      <c r="Q225" s="1">
        <v>4</v>
      </c>
      <c r="R225" s="1">
        <v>5</v>
      </c>
      <c r="S225" s="1">
        <v>4</v>
      </c>
      <c r="T225" s="1">
        <v>3</v>
      </c>
      <c r="U225" s="1">
        <v>4</v>
      </c>
      <c r="V225" s="1">
        <v>1</v>
      </c>
      <c r="W225" s="1">
        <v>6</v>
      </c>
      <c r="X225" s="1">
        <v>1</v>
      </c>
      <c r="Y225" s="1" t="s">
        <v>2027</v>
      </c>
      <c r="Z225" s="1" t="s">
        <v>2027</v>
      </c>
      <c r="AA225" s="1" t="s">
        <v>2027</v>
      </c>
      <c r="AB225" s="1" t="s">
        <v>2027</v>
      </c>
      <c r="AC225" s="1" t="s">
        <v>2027</v>
      </c>
      <c r="AD225" s="1">
        <v>4</v>
      </c>
      <c r="AE225" s="1" t="s">
        <v>2027</v>
      </c>
      <c r="AF225" s="1">
        <v>2</v>
      </c>
      <c r="AG225" s="1">
        <v>6</v>
      </c>
      <c r="AH225" s="1">
        <v>3</v>
      </c>
      <c r="AI225" s="1">
        <v>5</v>
      </c>
      <c r="AJ225" s="52" t="s">
        <v>2029</v>
      </c>
      <c r="AK225" s="9">
        <f>($L$3*(L225-$Q$1)/$Q$2+$M$3*(M225-$R$1)/$R$2+$N$3*(N225-$S$1)/$S$2+$O$3*(O225-$T$1)/$T$2+$P$3*(P225-$U$1)/$U$2)/(SUM($L$3:$P$3))</f>
        <v>-1.1163098089223642</v>
      </c>
      <c r="AL225" s="9">
        <f>($L$3*(Q225-$Q$1)/$Q$2+$M$3*(R225-$R$1)/$R$2+$N$3*(S225-$S$1)/$S$2+$O$3*(T225-$T$1)/$T$2+$P$3*(U225-$U$1)/$U$2)/(SUM($L$3:$P$3))</f>
        <v>-0.36378372120261693</v>
      </c>
      <c r="AM225">
        <f>IF(AVERAGE(AG225:AH225)&gt;9,1,0)+IF(AVERAGE(AG225:AH225)&gt;7,1,0)+IF(AG225&gt;7,1,0)+IF(AH225&gt;7,1,0)+IF(AI225&gt;8,1,0)+IF(AI225&gt;6,1,0)</f>
        <v>0</v>
      </c>
      <c r="AN225" s="6">
        <f>MIN(2,IF(OR(Y225="-",X225&lt;5),0,1+IF(Y225&gt;7,1+IF(X225&gt;7,0.25,0),IF(Y225&gt;4,0.5+IF(X225&gt;7,0.25,0),0+IF(X225&gt;7,0.25))))+IF(Z225="-",0,IF(Z225&gt;9,0.5,IF(Z225&gt;7,0.25,0)))+IF(AA225="-",0,IF(AA225&gt;7,1.1,IF(AA225&gt;4,0.6,0)))+IF(OR(AB225="-",V225&lt;5),0,IF(AB225&gt;7,1+IF(V225&gt;7,0.25,0),IF(AB225&gt;4,0.5+IF(V225&gt;7,0.25,0),0)))+IF(AC225="-",0,IF(AC225&gt;7,1.5,IF(AC225&gt;4,1,0)))+IF(AD225="-",0,IF(AD225&gt;9,0.5,IF(AD225&gt;7,0.25,0)))+IF(AE225="-",0,IF(AE225&gt;7,1.25,IF(AE225&gt;4,0.75,0)))+IF(OR(AF225="-",W225&lt;4),0,IF(AF225&gt;7,1+IF(W225&gt;7,0.15,0),IF(AF225&gt;4,0.5+IF(W225&gt;7,0.15,0),0))))</f>
        <v>0</v>
      </c>
      <c r="AO225" s="9">
        <f>($AK$3*AK225+$AL$3*AL225+$AM$3*AM225+$AN$3*AN225)+$J$3*VLOOKUP(J225,COND!$A$2:$C$7,2,FALSE)+$K$3*VLOOKUP(K225,COND!$A$2:$C$7,3,FALSE)</f>
        <v>5.1229643646763598</v>
      </c>
      <c r="AP225" s="37">
        <f>STANDARDIZE(AO225,AVERAGE($AO$5:$AO$1295),STDEVP($AO$5:$AO$1295))</f>
        <v>-0.77012951900341298</v>
      </c>
      <c r="AQ225" t="str">
        <f>IF(AND(Y225&lt;&gt;"-",X225&gt;1),"C",IF(AA225=MAX(AA225:AC225),"2B",IF(AC225=MAX(AA225:AC225),"SS",IF(OR(AB225=MAX(Z225:AC225),AND(AB225&lt;&gt;"-",AB225&gt;4,V225&gt;5)),"3B",IF(AE225=MAX(AD225:AF225),"CF",IF(AND(AF225=MAX(AD225,AF225),AND(W225&gt;5,AD225&lt;&gt;"-")),"RF",IF(AD225&lt;&gt;"-","LF",IF(Z225&lt;&gt;"-","1B","DH"))))))))</f>
        <v>LF</v>
      </c>
      <c r="AR225" t="s">
        <v>35</v>
      </c>
      <c r="AU225" t="str">
        <f>IF(AND($Q225&gt;=6,AVERAGE($S225:$T225)&gt;=6),"Likely",IF(OR($Q225&gt;6,AND($Q225=6,AVERAGE($S225:$T225)&gt;=3),AND($Q225&gt;=5,AVERAGE($S225:$T225)&gt;=5),AVERAGE($Q225,$S225:$T225)&gt;5),"Possible","Unlikely"))</f>
        <v>Unlikely</v>
      </c>
      <c r="AW225" t="e">
        <f>IF(VLOOKUP($B225,'Draft List'!$D$4:$AB$2598,AW$3,FALSE)&lt;&gt;0,VLOOKUP($B225,'Draft List'!$D$4:$AB$2598,AW$3,FALSE),"")</f>
        <v>#N/A</v>
      </c>
      <c r="AX225" t="e">
        <f>IF(VLOOKUP($B225,'Draft List'!$D$4:$AB$2598,AX$3,FALSE)&lt;&gt;0,VLOOKUP($B225,'Draft List'!$D$4:$AB$2598,AX$3,FALSE),"")</f>
        <v>#N/A</v>
      </c>
      <c r="AY225" t="e">
        <f>IF(VLOOKUP($B225,'Draft List'!$D$4:$AB$2598,AY$3,FALSE)&lt;&gt;0,VLOOKUP($B225,'Draft List'!$D$4:$AB$2598,AY$3,FALSE),"")</f>
        <v>#N/A</v>
      </c>
    </row>
    <row r="226" spans="1:51">
      <c r="A226" t="str">
        <f>IF(C226="C","C-",C226)&amp;D226&amp;E226</f>
        <v>SSJosé Quiñones21</v>
      </c>
      <c r="B226" t="e">
        <f>VLOOKUP($A226,draft_listing_batters_stats!$A$1:$B$1324,2,FALSE)</f>
        <v>#N/A</v>
      </c>
      <c r="C226" s="1" t="s">
        <v>2074</v>
      </c>
      <c r="D226" s="1" t="s">
        <v>1197</v>
      </c>
      <c r="E226" s="1">
        <v>21</v>
      </c>
      <c r="F226" s="1" t="s">
        <v>2022</v>
      </c>
      <c r="G226" s="1" t="s">
        <v>2022</v>
      </c>
      <c r="H226" s="1" t="s">
        <v>2033</v>
      </c>
      <c r="I226" s="1" t="s">
        <v>2033</v>
      </c>
      <c r="J226" s="1" t="s">
        <v>2026</v>
      </c>
      <c r="K226" s="1" t="s">
        <v>2030</v>
      </c>
      <c r="L226" s="1">
        <v>4</v>
      </c>
      <c r="M226" s="1">
        <v>3</v>
      </c>
      <c r="N226" s="1">
        <v>1</v>
      </c>
      <c r="O226" s="1">
        <v>2</v>
      </c>
      <c r="P226" s="1">
        <v>3</v>
      </c>
      <c r="Q226" s="1">
        <v>4</v>
      </c>
      <c r="R226" s="1">
        <v>5</v>
      </c>
      <c r="S226" s="1">
        <v>2</v>
      </c>
      <c r="T226" s="1">
        <v>3</v>
      </c>
      <c r="U226" s="1">
        <v>4</v>
      </c>
      <c r="V226" s="1">
        <v>7</v>
      </c>
      <c r="W226" s="1">
        <v>2</v>
      </c>
      <c r="X226" s="1">
        <v>1</v>
      </c>
      <c r="Y226" s="1" t="s">
        <v>2027</v>
      </c>
      <c r="Z226" s="1" t="s">
        <v>2027</v>
      </c>
      <c r="AA226" s="1" t="s">
        <v>2027</v>
      </c>
      <c r="AB226" s="1" t="s">
        <v>2027</v>
      </c>
      <c r="AC226" s="1">
        <v>9</v>
      </c>
      <c r="AD226" s="1" t="s">
        <v>2027</v>
      </c>
      <c r="AE226" s="1" t="s">
        <v>2027</v>
      </c>
      <c r="AF226" s="1" t="s">
        <v>2027</v>
      </c>
      <c r="AG226" s="1">
        <v>7</v>
      </c>
      <c r="AH226" s="1">
        <v>7</v>
      </c>
      <c r="AI226" s="1">
        <v>6</v>
      </c>
      <c r="AJ226" s="52" t="s">
        <v>2029</v>
      </c>
      <c r="AK226" s="9">
        <f>($L$3*(L226-$Q$1)/$Q$2+$M$3*(M226-$R$1)/$R$2+$N$3*(N226-$S$1)/$S$2+$O$3*(O226-$T$1)/$T$2+$P$3*(P226-$U$1)/$U$2)/(SUM($L$3:$P$3))</f>
        <v>-0.8448138523383929</v>
      </c>
      <c r="AL226" s="9">
        <f>($L$3*(Q226-$Q$1)/$Q$2+$M$3*(R226-$R$1)/$R$2+$N$3*(S226-$S$1)/$S$2+$O$3*(T226-$T$1)/$T$2+$P$3*(U226-$U$1)/$U$2)/(SUM($L$3:$P$3))</f>
        <v>-0.52990670925041994</v>
      </c>
      <c r="AM226">
        <f>IF(AVERAGE(AG226:AH226)&gt;9,1,0)+IF(AVERAGE(AG226:AH226)&gt;7,1,0)+IF(AG226&gt;7,1,0)+IF(AH226&gt;7,1,0)+IF(AI226&gt;8,1,0)+IF(AI226&gt;6,1,0)</f>
        <v>0</v>
      </c>
      <c r="AN226" s="6">
        <f>MIN(2,IF(OR(Y226="-",X226&lt;5),0,1+IF(Y226&gt;7,1+IF(X226&gt;7,0.25,0),IF(Y226&gt;4,0.5+IF(X226&gt;7,0.25,0),0+IF(X226&gt;7,0.25))))+IF(Z226="-",0,IF(Z226&gt;9,0.5,IF(Z226&gt;7,0.25,0)))+IF(AA226="-",0,IF(AA226&gt;7,1.1,IF(AA226&gt;4,0.6,0)))+IF(OR(AB226="-",V226&lt;5),0,IF(AB226&gt;7,1+IF(V226&gt;7,0.25,0),IF(AB226&gt;4,0.5+IF(V226&gt;7,0.25,0),0)))+IF(AC226="-",0,IF(AC226&gt;7,1.5,IF(AC226&gt;4,1,0)))+IF(AD226="-",0,IF(AD226&gt;9,0.5,IF(AD226&gt;7,0.25,0)))+IF(AE226="-",0,IF(AE226&gt;7,1.25,IF(AE226&gt;4,0.75,0)))+IF(OR(AF226="-",W226&lt;4),0,IF(AF226&gt;7,1+IF(W226&gt;7,0.15,0),IF(AF226&gt;4,0.5+IF(W226&gt;7,0.15,0),0))))</f>
        <v>1.5</v>
      </c>
      <c r="AO226" s="9">
        <f>($AK$3*AK226+$AL$3*AL226+$AM$3*AM226+$AN$3*AN226)+$J$3*VLOOKUP(J226,COND!$A$2:$C$7,2,FALSE)+$K$3*VLOOKUP(K226,COND!$A$2:$C$7,3,FALSE)</f>
        <v>5.0566381037611219</v>
      </c>
      <c r="AP226" s="37">
        <f>STANDARDIZE(AO226,AVERAGE($AO$5:$AO$1295),STDEVP($AO$5:$AO$1295))</f>
        <v>-0.77934380545217408</v>
      </c>
      <c r="AQ226" t="str">
        <f>IF(AND(Y226&lt;&gt;"-",X226&gt;1),"C",IF(AA226=MAX(AA226:AC226),"2B",IF(AC226=MAX(AA226:AC226),"SS",IF(OR(AB226=MAX(Z226:AC226),AND(AB226&lt;&gt;"-",AB226&gt;4,V226&gt;5)),"3B",IF(AE226=MAX(AD226:AF226),"CF",IF(AND(AF226=MAX(AD226,AF226),AND(W226&gt;5,AD226&lt;&gt;"-")),"RF",IF(AD226&lt;&gt;"-","LF",IF(Z226&lt;&gt;"-","1B","DH"))))))))</f>
        <v>SS</v>
      </c>
      <c r="AR226" t="s">
        <v>35</v>
      </c>
      <c r="AU226" t="str">
        <f>IF(AND($Q226&gt;=6,AVERAGE($S226:$T226)&gt;=6),"Likely",IF(OR($Q226&gt;6,AND($Q226=6,AVERAGE($S226:$T226)&gt;=3),AND($Q226&gt;=5,AVERAGE($S226:$T226)&gt;=5),AVERAGE($Q226,$S226:$T226)&gt;5),"Possible","Unlikely"))</f>
        <v>Unlikely</v>
      </c>
      <c r="AW226" t="e">
        <f>IF(VLOOKUP($B226,'Draft List'!$D$4:$AB$2598,AW$3,FALSE)&lt;&gt;0,VLOOKUP($B226,'Draft List'!$D$4:$AB$2598,AW$3,FALSE),"")</f>
        <v>#N/A</v>
      </c>
      <c r="AX226" t="e">
        <f>IF(VLOOKUP($B226,'Draft List'!$D$4:$AB$2598,AX$3,FALSE)&lt;&gt;0,VLOOKUP($B226,'Draft List'!$D$4:$AB$2598,AX$3,FALSE),"")</f>
        <v>#N/A</v>
      </c>
      <c r="AY226" t="e">
        <f>IF(VLOOKUP($B226,'Draft List'!$D$4:$AB$2598,AY$3,FALSE)&lt;&gt;0,VLOOKUP($B226,'Draft List'!$D$4:$AB$2598,AY$3,FALSE),"")</f>
        <v>#N/A</v>
      </c>
    </row>
    <row r="227" spans="1:51">
      <c r="A227" t="str">
        <f>IF(C227="C","C-",C227)&amp;D227&amp;E227</f>
        <v>1BJeff King18</v>
      </c>
      <c r="B227">
        <f>VLOOKUP($A227,draft_listing_batters_stats!$A$1:$B$1324,2,FALSE)</f>
        <v>472</v>
      </c>
      <c r="C227" s="1" t="s">
        <v>2092</v>
      </c>
      <c r="D227" s="1" t="s">
        <v>1337</v>
      </c>
      <c r="E227" s="1">
        <v>18</v>
      </c>
      <c r="F227" s="1" t="s">
        <v>2022</v>
      </c>
      <c r="G227" s="1" t="s">
        <v>2022</v>
      </c>
      <c r="H227" s="1" t="s">
        <v>2033</v>
      </c>
      <c r="I227" s="1" t="s">
        <v>2033</v>
      </c>
      <c r="J227" s="1" t="s">
        <v>2040</v>
      </c>
      <c r="K227" s="1" t="s">
        <v>2040</v>
      </c>
      <c r="L227" s="1">
        <v>1</v>
      </c>
      <c r="M227" s="1">
        <v>2</v>
      </c>
      <c r="N227" s="1">
        <v>1</v>
      </c>
      <c r="O227" s="1">
        <v>1</v>
      </c>
      <c r="P227" s="1">
        <v>1</v>
      </c>
      <c r="Q227" s="1">
        <v>4</v>
      </c>
      <c r="R227" s="1">
        <v>6</v>
      </c>
      <c r="S227" s="1">
        <v>4</v>
      </c>
      <c r="T227" s="1">
        <v>3</v>
      </c>
      <c r="U227" s="1">
        <v>4</v>
      </c>
      <c r="V227" s="1">
        <v>4</v>
      </c>
      <c r="W227" s="1">
        <v>2</v>
      </c>
      <c r="X227" s="1">
        <v>1</v>
      </c>
      <c r="Y227" s="1" t="s">
        <v>2027</v>
      </c>
      <c r="Z227" s="1">
        <v>1</v>
      </c>
      <c r="AA227" s="1" t="s">
        <v>2027</v>
      </c>
      <c r="AB227" s="1">
        <v>1</v>
      </c>
      <c r="AC227" s="1" t="s">
        <v>2027</v>
      </c>
      <c r="AD227" s="1" t="s">
        <v>2027</v>
      </c>
      <c r="AE227" s="1" t="s">
        <v>2027</v>
      </c>
      <c r="AF227" s="1" t="s">
        <v>2027</v>
      </c>
      <c r="AG227" s="1">
        <v>2</v>
      </c>
      <c r="AH227" s="1">
        <v>2</v>
      </c>
      <c r="AI227" s="1">
        <v>1</v>
      </c>
      <c r="AJ227" s="52">
        <v>1700000</v>
      </c>
      <c r="AK227" s="9">
        <f>($L$3*(L227-$Q$1)/$Q$2+$M$3*(M227-$R$1)/$R$2+$N$3*(N227-$S$1)/$S$2+$O$3*(O227-$T$1)/$T$2+$P$3*(P227-$U$1)/$U$2)/(SUM($L$3:$P$3))</f>
        <v>-2.0332834702088682</v>
      </c>
      <c r="AL227" s="9">
        <f>($L$3*(Q227-$Q$1)/$Q$2+$M$3*(R227-$R$1)/$R$2+$N$3*(S227-$S$1)/$S$2+$O$3*(T227-$T$1)/$T$2+$P$3*(U227-$U$1)/$U$2)/(SUM($L$3:$P$3))</f>
        <v>-0.31272384158391342</v>
      </c>
      <c r="AM227">
        <f>IF(AVERAGE(AG227:AH227)&gt;9,1,0)+IF(AVERAGE(AG227:AH227)&gt;7,1,0)+IF(AG227&gt;7,1,0)+IF(AH227&gt;7,1,0)+IF(AI227&gt;8,1,0)+IF(AI227&gt;6,1,0)</f>
        <v>0</v>
      </c>
      <c r="AN227" s="6">
        <f>MIN(2,IF(OR(Y227="-",X227&lt;5),0,1+IF(Y227&gt;7,1+IF(X227&gt;7,0.25,0),IF(Y227&gt;4,0.5+IF(X227&gt;7,0.25,0),0+IF(X227&gt;7,0.25))))+IF(Z227="-",0,IF(Z227&gt;9,0.5,IF(Z227&gt;7,0.25,0)))+IF(AA227="-",0,IF(AA227&gt;7,1.1,IF(AA227&gt;4,0.6,0)))+IF(OR(AB227="-",V227&lt;5),0,IF(AB227&gt;7,1+IF(V227&gt;7,0.25,0),IF(AB227&gt;4,0.5+IF(V227&gt;7,0.25,0),0)))+IF(AC227="-",0,IF(AC227&gt;7,1.5,IF(AC227&gt;4,1,0)))+IF(AD227="-",0,IF(AD227&gt;9,0.5,IF(AD227&gt;7,0.25,0)))+IF(AE227="-",0,IF(AE227&gt;7,1.25,IF(AE227&gt;4,0.75,0)))+IF(OR(AF227="-",W227&lt;4),0,IF(AF227&gt;7,1+IF(W227&gt;7,0.15,0),IF(AF227&gt;4,0.5+IF(W227&gt;7,0.15,0),0))))</f>
        <v>0</v>
      </c>
      <c r="AO227" s="9">
        <f>($AK$3*AK227+$AL$3*AL227+$AM$3*AM227+$AN$3*AN227)+$J$3*VLOOKUP(J227,COND!$A$2:$C$7,2,FALSE)+$K$3*VLOOKUP(K227,COND!$A$2:$C$7,3,FALSE)</f>
        <v>5.0439855539721528</v>
      </c>
      <c r="AP227" s="37">
        <f>STANDARDIZE(AO227,AVERAGE($AO$5:$AO$1295),STDEVP($AO$5:$AO$1295))</f>
        <v>-0.78110154388720754</v>
      </c>
      <c r="AQ227" t="str">
        <f>IF(AND(Y227&lt;&gt;"-",X227&gt;1),"C",IF(AA227=MAX(AA227:AC227),"2B",IF(AC227=MAX(AA227:AC227),"SS",IF(OR(AB227=MAX(Z227:AC227),AND(AB227&lt;&gt;"-",AB227&gt;4,V227&gt;5)),"3B",IF(AE227=MAX(AD227:AF227),"CF",IF(AND(AF227=MAX(AD227,AF227),AND(W227&gt;5,AD227&lt;&gt;"-")),"RF",IF(AD227&lt;&gt;"-","LF",IF(Z227&lt;&gt;"-","1B","DH"))))))))</f>
        <v>3B</v>
      </c>
      <c r="AR227" t="s">
        <v>35</v>
      </c>
      <c r="AT227" t="s">
        <v>155</v>
      </c>
      <c r="AU227" t="str">
        <f>IF(AND($Q227&gt;=6,AVERAGE($S227:$T227)&gt;=6),"Likely",IF(OR($Q227&gt;6,AND($Q227=6,AVERAGE($S227:$T227)&gt;=3),AND($Q227&gt;=5,AVERAGE($S227:$T227)&gt;=5),AVERAGE($Q227,$S227:$T227)&gt;5),"Possible","Unlikely"))</f>
        <v>Unlikely</v>
      </c>
      <c r="AW227" t="str">
        <f>IF(VLOOKUP($B227,'Draft List'!$D$4:$AB$2598,AW$3,FALSE)&lt;&gt;0,VLOOKUP($B227,'Draft List'!$D$4:$AB$2598,AW$3,FALSE),"")</f>
        <v/>
      </c>
      <c r="AX227" t="str">
        <f>IF(VLOOKUP($B227,'Draft List'!$D$4:$AB$2598,AX$3,FALSE)&lt;&gt;0,VLOOKUP($B227,'Draft List'!$D$4:$AB$2598,AX$3,FALSE),"")</f>
        <v/>
      </c>
      <c r="AY227" t="str">
        <f>IF(VLOOKUP($B227,'Draft List'!$D$4:$AB$2598,AY$3,FALSE)&lt;&gt;0,VLOOKUP($B227,'Draft List'!$D$4:$AB$2598,AY$3,FALSE),"")</f>
        <v/>
      </c>
    </row>
    <row r="228" spans="1:51">
      <c r="A228" t="str">
        <f>IF(C228="C","C-",C228)&amp;D228&amp;E228</f>
        <v>3BJohn Walter18</v>
      </c>
      <c r="B228">
        <f>VLOOKUP($A228,draft_listing_batters_stats!$A$1:$B$1324,2,FALSE)</f>
        <v>13771</v>
      </c>
      <c r="C228" s="1" t="s">
        <v>2061</v>
      </c>
      <c r="D228" s="1" t="s">
        <v>1247</v>
      </c>
      <c r="E228" s="1">
        <v>18</v>
      </c>
      <c r="F228" s="1" t="s">
        <v>2022</v>
      </c>
      <c r="G228" s="1" t="s">
        <v>2022</v>
      </c>
      <c r="H228" s="1" t="s">
        <v>2033</v>
      </c>
      <c r="I228" s="1" t="s">
        <v>2033</v>
      </c>
      <c r="J228" s="1" t="s">
        <v>2025</v>
      </c>
      <c r="K228" s="1" t="s">
        <v>2026</v>
      </c>
      <c r="L228" s="1">
        <v>1</v>
      </c>
      <c r="M228" s="1">
        <v>2</v>
      </c>
      <c r="N228" s="1">
        <v>1</v>
      </c>
      <c r="O228" s="1">
        <v>2</v>
      </c>
      <c r="P228" s="1">
        <v>1</v>
      </c>
      <c r="Q228" s="1">
        <v>4</v>
      </c>
      <c r="R228" s="1">
        <v>6</v>
      </c>
      <c r="S228" s="1">
        <v>2</v>
      </c>
      <c r="T228" s="1">
        <v>4</v>
      </c>
      <c r="U228" s="1">
        <v>4</v>
      </c>
      <c r="V228" s="1">
        <v>4</v>
      </c>
      <c r="W228" s="1">
        <v>1</v>
      </c>
      <c r="X228" s="1">
        <v>1</v>
      </c>
      <c r="Y228" s="1" t="s">
        <v>2027</v>
      </c>
      <c r="Z228" s="1" t="s">
        <v>2027</v>
      </c>
      <c r="AA228" s="1">
        <v>1</v>
      </c>
      <c r="AB228" s="1">
        <v>1</v>
      </c>
      <c r="AC228" s="1">
        <v>1</v>
      </c>
      <c r="AD228" s="1" t="s">
        <v>2027</v>
      </c>
      <c r="AE228" s="1" t="s">
        <v>2027</v>
      </c>
      <c r="AF228" s="1" t="s">
        <v>2027</v>
      </c>
      <c r="AG228" s="1">
        <v>7</v>
      </c>
      <c r="AH228" s="1">
        <v>3</v>
      </c>
      <c r="AI228" s="1">
        <v>3</v>
      </c>
      <c r="AJ228" s="52" t="s">
        <v>2029</v>
      </c>
      <c r="AK228" s="9">
        <f>($L$3*(L228-$Q$1)/$Q$2+$M$3*(M228-$R$1)/$R$2+$N$3*(N228-$S$1)/$S$2+$O$3*(O228-$T$1)/$T$2+$P$3*(P228-$U$1)/$U$2)/(SUM($L$3:$P$3))</f>
        <v>-1.9435739201992874</v>
      </c>
      <c r="AL228" s="9">
        <f>($L$3*(Q228-$Q$1)/$Q$2+$M$3*(R228-$R$1)/$R$2+$N$3*(S228-$S$1)/$S$2+$O$3*(T228-$T$1)/$T$2+$P$3*(U228-$U$1)/$U$2)/(SUM($L$3:$P$3))</f>
        <v>-0.3891372796221354</v>
      </c>
      <c r="AM228">
        <f>IF(AVERAGE(AG228:AH228)&gt;9,1,0)+IF(AVERAGE(AG228:AH228)&gt;7,1,0)+IF(AG228&gt;7,1,0)+IF(AH228&gt;7,1,0)+IF(AI228&gt;8,1,0)+IF(AI228&gt;6,1,0)</f>
        <v>0</v>
      </c>
      <c r="AN228" s="6">
        <f>MIN(2,IF(OR(Y228="-",X228&lt;5),0,1+IF(Y228&gt;7,1+IF(X228&gt;7,0.25,0),IF(Y228&gt;4,0.5+IF(X228&gt;7,0.25,0),0+IF(X228&gt;7,0.25))))+IF(Z228="-",0,IF(Z228&gt;9,0.5,IF(Z228&gt;7,0.25,0)))+IF(AA228="-",0,IF(AA228&gt;7,1.1,IF(AA228&gt;4,0.6,0)))+IF(OR(AB228="-",V228&lt;5),0,IF(AB228&gt;7,1+IF(V228&gt;7,0.25,0),IF(AB228&gt;4,0.5+IF(V228&gt;7,0.25,0),0)))+IF(AC228="-",0,IF(AC228&gt;7,1.5,IF(AC228&gt;4,1,0)))+IF(AD228="-",0,IF(AD228&gt;9,0.5,IF(AD228&gt;7,0.25,0)))+IF(AE228="-",0,IF(AE228&gt;7,1.25,IF(AE228&gt;4,0.75,0)))+IF(OR(AF228="-",W228&lt;4),0,IF(AF228&gt;7,1+IF(W228&gt;7,0.15,0),IF(AF228&gt;4,0.5+IF(W228&gt;7,0.15,0),0))))</f>
        <v>0</v>
      </c>
      <c r="AO228" s="9">
        <f>($AK$3*AK228+$AL$3*AL228+$AM$3*AM228+$AN$3*AN228)+$J$3*VLOOKUP(J228,COND!$A$2:$C$7,2,FALSE)+$K$3*VLOOKUP(K228,COND!$A$2:$C$7,3,FALSE)</f>
        <v>5.0359952525144474</v>
      </c>
      <c r="AP228" s="37">
        <f>STANDARDIZE(AO228,AVERAGE($AO$5:$AO$1295),STDEVP($AO$5:$AO$1295))</f>
        <v>-0.78221158575339</v>
      </c>
      <c r="AQ228" t="str">
        <f>IF(AND(Y228&lt;&gt;"-",X228&gt;1),"C",IF(AA228=MAX(AA228:AC228),"2B",IF(AC228=MAX(AA228:AC228),"SS",IF(OR(AB228=MAX(Z228:AC228),AND(AB228&lt;&gt;"-",AB228&gt;4,V228&gt;5)),"3B",IF(AE228=MAX(AD228:AF228),"CF",IF(AND(AF228=MAX(AD228,AF228),AND(W228&gt;5,AD228&lt;&gt;"-")),"RF",IF(AD228&lt;&gt;"-","LF",IF(Z228&lt;&gt;"-","1B","DH"))))))))</f>
        <v>2B</v>
      </c>
      <c r="AR228" t="s">
        <v>35</v>
      </c>
      <c r="AU228" t="str">
        <f>IF(AND($Q228&gt;=6,AVERAGE($S228:$T228)&gt;=6),"Likely",IF(OR($Q228&gt;6,AND($Q228=6,AVERAGE($S228:$T228)&gt;=3),AND($Q228&gt;=5,AVERAGE($S228:$T228)&gt;=5),AVERAGE($Q228,$S228:$T228)&gt;5),"Possible","Unlikely"))</f>
        <v>Unlikely</v>
      </c>
      <c r="AW228" t="e">
        <f>IF(VLOOKUP($B228,'Draft List'!$D$4:$AB$2598,AW$3,FALSE)&lt;&gt;0,VLOOKUP($B228,'Draft List'!$D$4:$AB$2598,AW$3,FALSE),"")</f>
        <v>#N/A</v>
      </c>
      <c r="AX228" t="e">
        <f>IF(VLOOKUP($B228,'Draft List'!$D$4:$AB$2598,AX$3,FALSE)&lt;&gt;0,VLOOKUP($B228,'Draft List'!$D$4:$AB$2598,AX$3,FALSE),"")</f>
        <v>#N/A</v>
      </c>
      <c r="AY228" t="e">
        <f>IF(VLOOKUP($B228,'Draft List'!$D$4:$AB$2598,AY$3,FALSE)&lt;&gt;0,VLOOKUP($B228,'Draft List'!$D$4:$AB$2598,AY$3,FALSE),"")</f>
        <v>#N/A</v>
      </c>
    </row>
    <row r="229" spans="1:51">
      <c r="A229" t="str">
        <f>IF(C229="C","C-",C229)&amp;D229&amp;E229</f>
        <v>2BManolito Padilla21</v>
      </c>
      <c r="B229">
        <f>VLOOKUP($A229,draft_listing_batters_stats!$A$1:$B$1324,2,FALSE)</f>
        <v>3014</v>
      </c>
      <c r="C229" s="1" t="s">
        <v>2069</v>
      </c>
      <c r="D229" s="1" t="s">
        <v>1392</v>
      </c>
      <c r="E229" s="1">
        <v>21</v>
      </c>
      <c r="F229" s="1" t="s">
        <v>2022</v>
      </c>
      <c r="G229" s="1" t="s">
        <v>2022</v>
      </c>
      <c r="H229" s="1" t="s">
        <v>2033</v>
      </c>
      <c r="I229" s="1" t="s">
        <v>2033</v>
      </c>
      <c r="J229" s="1" t="s">
        <v>2040</v>
      </c>
      <c r="K229" s="1" t="s">
        <v>2030</v>
      </c>
      <c r="L229" s="1">
        <v>3</v>
      </c>
      <c r="M229" s="1">
        <v>4</v>
      </c>
      <c r="N229" s="1">
        <v>2</v>
      </c>
      <c r="O229" s="1">
        <v>2</v>
      </c>
      <c r="P229" s="1">
        <v>2</v>
      </c>
      <c r="Q229" s="1">
        <v>4</v>
      </c>
      <c r="R229" s="1">
        <v>4</v>
      </c>
      <c r="S229" s="1">
        <v>2</v>
      </c>
      <c r="T229" s="1">
        <v>4</v>
      </c>
      <c r="U229" s="1">
        <v>4</v>
      </c>
      <c r="V229" s="1">
        <v>4</v>
      </c>
      <c r="W229" s="1">
        <v>2</v>
      </c>
      <c r="X229" s="1">
        <v>1</v>
      </c>
      <c r="Y229" s="1" t="s">
        <v>2027</v>
      </c>
      <c r="Z229" s="1" t="s">
        <v>2027</v>
      </c>
      <c r="AA229" s="1">
        <v>6</v>
      </c>
      <c r="AB229" s="1">
        <v>3</v>
      </c>
      <c r="AC229" s="1" t="s">
        <v>2027</v>
      </c>
      <c r="AD229" s="1" t="s">
        <v>2027</v>
      </c>
      <c r="AE229" s="1" t="s">
        <v>2027</v>
      </c>
      <c r="AF229" s="1" t="s">
        <v>2027</v>
      </c>
      <c r="AG229" s="1">
        <v>8</v>
      </c>
      <c r="AH229" s="1">
        <v>9</v>
      </c>
      <c r="AI229" s="1">
        <v>10</v>
      </c>
      <c r="AJ229" s="52" t="s">
        <v>2029</v>
      </c>
      <c r="AK229" s="9">
        <f>($L$3*(L229-$Q$1)/$Q$2+$M$3*(M229-$R$1)/$R$2+$N$3*(N229-$S$1)/$S$2+$O$3*(O229-$T$1)/$T$2+$P$3*(P229-$U$1)/$U$2)/(SUM($L$3:$P$3))</f>
        <v>-1.073264654715546</v>
      </c>
      <c r="AL229" s="9">
        <f>($L$3*(Q229-$Q$1)/$Q$2+$M$3*(R229-$R$1)/$R$2+$N$3*(S229-$S$1)/$S$2+$O$3*(T229-$T$1)/$T$2+$P$3*(U229-$U$1)/$U$2)/(SUM($L$3:$P$3))</f>
        <v>-0.49125703885954242</v>
      </c>
      <c r="AM229">
        <f>IF(AVERAGE(AG229:AH229)&gt;9,1,0)+IF(AVERAGE(AG229:AH229)&gt;7,1,0)+IF(AG229&gt;7,1,0)+IF(AH229&gt;7,1,0)+IF(AI229&gt;8,1,0)+IF(AI229&gt;6,1,0)</f>
        <v>5</v>
      </c>
      <c r="AN229" s="6">
        <f>MIN(2,IF(OR(Y229="-",X229&lt;5),0,1+IF(Y229&gt;7,1+IF(X229&gt;7,0.25,0),IF(Y229&gt;4,0.5+IF(X229&gt;7,0.25,0),0+IF(X229&gt;7,0.25))))+IF(Z229="-",0,IF(Z229&gt;9,0.5,IF(Z229&gt;7,0.25,0)))+IF(AA229="-",0,IF(AA229&gt;7,1.1,IF(AA229&gt;4,0.6,0)))+IF(OR(AB229="-",V229&lt;5),0,IF(AB229&gt;7,1+IF(V229&gt;7,0.25,0),IF(AB229&gt;4,0.5+IF(V229&gt;7,0.25,0),0)))+IF(AC229="-",0,IF(AC229&gt;7,1.5,IF(AC229&gt;4,1,0)))+IF(AD229="-",0,IF(AD229&gt;9,0.5,IF(AD229&gt;7,0.25,0)))+IF(AE229="-",0,IF(AE229&gt;7,1.25,IF(AE229&gt;4,0.75,0)))+IF(OR(AF229="-",W229&lt;4),0,IF(AF229&gt;7,1+IF(W229&gt;7,0.15,0),IF(AF229&gt;4,0.5+IF(W229&gt;7,0.15,0),0))))</f>
        <v>0.6</v>
      </c>
      <c r="AO229" s="9">
        <f>($AK$3*AK229+$AL$3*AL229+$AM$3*AM229+$AN$3*AN229)+$J$3*VLOOKUP(J229,COND!$A$2:$C$7,2,FALSE)+$K$3*VLOOKUP(K229,COND!$A$2:$C$7,3,FALSE)</f>
        <v>5.0309224015472687</v>
      </c>
      <c r="AP229" s="37">
        <f>STANDARDIZE(AO229,AVERAGE($AO$5:$AO$1295),STDEVP($AO$5:$AO$1295))</f>
        <v>-0.78291632474030792</v>
      </c>
      <c r="AQ229" t="str">
        <f>IF(AND(Y229&lt;&gt;"-",X229&gt;1),"C",IF(AA229=MAX(AA229:AC229),"2B",IF(AC229=MAX(AA229:AC229),"SS",IF(OR(AB229=MAX(Z229:AC229),AND(AB229&lt;&gt;"-",AB229&gt;4,V229&gt;5)),"3B",IF(AE229=MAX(AD229:AF229),"CF",IF(AND(AF229=MAX(AD229,AF229),AND(W229&gt;5,AD229&lt;&gt;"-")),"RF",IF(AD229&lt;&gt;"-","LF",IF(Z229&lt;&gt;"-","1B","DH"))))))))</f>
        <v>2B</v>
      </c>
      <c r="AR229" t="s">
        <v>35</v>
      </c>
      <c r="AU229" t="str">
        <f>IF(AND($Q229&gt;=6,AVERAGE($S229:$T229)&gt;=6),"Likely",IF(OR($Q229&gt;6,AND($Q229=6,AVERAGE($S229:$T229)&gt;=3),AND($Q229&gt;=5,AVERAGE($S229:$T229)&gt;=5),AVERAGE($Q229,$S229:$T229)&gt;5),"Possible","Unlikely"))</f>
        <v>Unlikely</v>
      </c>
      <c r="AW229" t="e">
        <f>IF(VLOOKUP($B229,'Draft List'!$D$4:$AB$2598,AW$3,FALSE)&lt;&gt;0,VLOOKUP($B229,'Draft List'!$D$4:$AB$2598,AW$3,FALSE),"")</f>
        <v>#N/A</v>
      </c>
      <c r="AX229" t="e">
        <f>IF(VLOOKUP($B229,'Draft List'!$D$4:$AB$2598,AX$3,FALSE)&lt;&gt;0,VLOOKUP($B229,'Draft List'!$D$4:$AB$2598,AX$3,FALSE),"")</f>
        <v>#N/A</v>
      </c>
      <c r="AY229" t="e">
        <f>IF(VLOOKUP($B229,'Draft List'!$D$4:$AB$2598,AY$3,FALSE)&lt;&gt;0,VLOOKUP($B229,'Draft List'!$D$4:$AB$2598,AY$3,FALSE),"")</f>
        <v>#N/A</v>
      </c>
    </row>
    <row r="230" spans="1:51">
      <c r="A230" t="str">
        <f>IF(C230="C","C-",C230)&amp;D230&amp;E230</f>
        <v>LFVincente Juárez18</v>
      </c>
      <c r="B230" t="e">
        <f>VLOOKUP($A230,draft_listing_batters_stats!$A$1:$B$1324,2,FALSE)</f>
        <v>#N/A</v>
      </c>
      <c r="C230" s="1" t="s">
        <v>2035</v>
      </c>
      <c r="D230" s="1" t="s">
        <v>1329</v>
      </c>
      <c r="E230" s="1">
        <v>18</v>
      </c>
      <c r="F230" s="1" t="s">
        <v>2022</v>
      </c>
      <c r="G230" s="1" t="s">
        <v>2022</v>
      </c>
      <c r="H230" s="1" t="s">
        <v>2033</v>
      </c>
      <c r="I230" s="1" t="s">
        <v>2033</v>
      </c>
      <c r="J230" s="1" t="s">
        <v>2030</v>
      </c>
      <c r="K230" s="1" t="s">
        <v>2026</v>
      </c>
      <c r="L230" s="1">
        <v>1</v>
      </c>
      <c r="M230" s="1">
        <v>1</v>
      </c>
      <c r="N230" s="1">
        <v>1</v>
      </c>
      <c r="O230" s="1">
        <v>1</v>
      </c>
      <c r="P230" s="1">
        <v>1</v>
      </c>
      <c r="Q230" s="1">
        <v>4</v>
      </c>
      <c r="R230" s="1">
        <v>6</v>
      </c>
      <c r="S230" s="1">
        <v>2</v>
      </c>
      <c r="T230" s="1">
        <v>3</v>
      </c>
      <c r="U230" s="1">
        <v>5</v>
      </c>
      <c r="V230" s="1">
        <v>1</v>
      </c>
      <c r="W230" s="1">
        <v>7</v>
      </c>
      <c r="X230" s="1">
        <v>1</v>
      </c>
      <c r="Y230" s="1" t="s">
        <v>2027</v>
      </c>
      <c r="Z230" s="1" t="s">
        <v>2027</v>
      </c>
      <c r="AA230" s="1" t="s">
        <v>2027</v>
      </c>
      <c r="AB230" s="1" t="s">
        <v>2027</v>
      </c>
      <c r="AC230" s="1" t="s">
        <v>2027</v>
      </c>
      <c r="AD230" s="1">
        <v>2</v>
      </c>
      <c r="AE230" s="1">
        <v>1</v>
      </c>
      <c r="AF230" s="1">
        <v>1</v>
      </c>
      <c r="AG230" s="1">
        <v>8</v>
      </c>
      <c r="AH230" s="1">
        <v>8</v>
      </c>
      <c r="AI230" s="1">
        <v>5</v>
      </c>
      <c r="AJ230" s="52" t="s">
        <v>2029</v>
      </c>
      <c r="AK230" s="9">
        <f>($L$3*(L230-$Q$1)/$Q$2+$M$3*(M230-$R$1)/$R$2+$N$3*(N230-$S$1)/$S$2+$O$3*(O230-$T$1)/$T$2+$P$3*(P230-$U$1)/$U$2)/(SUM($L$3:$P$3))</f>
        <v>-2.0843433498275723</v>
      </c>
      <c r="AL230" s="9">
        <f>($L$3*(Q230-$Q$1)/$Q$2+$M$3*(R230-$R$1)/$R$2+$N$3*(S230-$S$1)/$S$2+$O$3*(T230-$T$1)/$T$2+$P$3*(U230-$U$1)/$U$2)/(SUM($L$3:$P$3))</f>
        <v>-0.43883048981463302</v>
      </c>
      <c r="AM230">
        <f>IF(AVERAGE(AG230:AH230)&gt;9,1,0)+IF(AVERAGE(AG230:AH230)&gt;7,1,0)+IF(AG230&gt;7,1,0)+IF(AH230&gt;7,1,0)+IF(AI230&gt;8,1,0)+IF(AI230&gt;6,1,0)</f>
        <v>3</v>
      </c>
      <c r="AN230" s="6">
        <f>MIN(2,IF(OR(Y230="-",X230&lt;5),0,1+IF(Y230&gt;7,1+IF(X230&gt;7,0.25,0),IF(Y230&gt;4,0.5+IF(X230&gt;7,0.25,0),0+IF(X230&gt;7,0.25))))+IF(Z230="-",0,IF(Z230&gt;9,0.5,IF(Z230&gt;7,0.25,0)))+IF(AA230="-",0,IF(AA230&gt;7,1.1,IF(AA230&gt;4,0.6,0)))+IF(OR(AB230="-",V230&lt;5),0,IF(AB230&gt;7,1+IF(V230&gt;7,0.25,0),IF(AB230&gt;4,0.5+IF(V230&gt;7,0.25,0),0)))+IF(AC230="-",0,IF(AC230&gt;7,1.5,IF(AC230&gt;4,1,0)))+IF(AD230="-",0,IF(AD230&gt;9,0.5,IF(AD230&gt;7,0.25,0)))+IF(AE230="-",0,IF(AE230&gt;7,1.25,IF(AE230&gt;4,0.75,0)))+IF(OR(AF230="-",W230&lt;4),0,IF(AF230&gt;7,1+IF(W230&gt;7,0.15,0),IF(AF230&gt;4,0.5+IF(W230&gt;7,0.15,0),0))))</f>
        <v>0</v>
      </c>
      <c r="AO230" s="9">
        <f>($AK$3*AK230+$AL$3*AL230+$AM$3*AM230+$AN$3*AN230)+$J$3*VLOOKUP(J230,COND!$A$2:$C$7,2,FALSE)+$K$3*VLOOKUP(K230,COND!$A$2:$C$7,3,FALSE)</f>
        <v>5.0255997872416467</v>
      </c>
      <c r="AP230" s="37">
        <f>STANDARDIZE(AO230,AVERAGE($AO$5:$AO$1295),STDEVP($AO$5:$AO$1295))</f>
        <v>-0.78365576176255991</v>
      </c>
      <c r="AQ230" t="str">
        <f>IF(AND(Y230&lt;&gt;"-",X230&gt;1),"C",IF(AA230=MAX(AA230:AC230),"2B",IF(AC230=MAX(AA230:AC230),"SS",IF(OR(AB230=MAX(Z230:AC230),AND(AB230&lt;&gt;"-",AB230&gt;4,V230&gt;5)),"3B",IF(AE230=MAX(AD230:AF230),"CF",IF(AND(AF230=MAX(AD230,AF230),AND(W230&gt;5,AD230&lt;&gt;"-")),"RF",IF(AD230&lt;&gt;"-","LF",IF(Z230&lt;&gt;"-","1B","DH"))))))))</f>
        <v>LF</v>
      </c>
      <c r="AR230" t="s">
        <v>35</v>
      </c>
      <c r="AU230" t="str">
        <f>IF(AND($Q230&gt;=6,AVERAGE($S230:$T230)&gt;=6),"Likely",IF(OR($Q230&gt;6,AND($Q230=6,AVERAGE($S230:$T230)&gt;=3),AND($Q230&gt;=5,AVERAGE($S230:$T230)&gt;=5),AVERAGE($Q230,$S230:$T230)&gt;5),"Possible","Unlikely"))</f>
        <v>Unlikely</v>
      </c>
      <c r="AW230" t="e">
        <f>IF(VLOOKUP($B230,'Draft List'!$D$4:$AB$2598,AW$3,FALSE)&lt;&gt;0,VLOOKUP($B230,'Draft List'!$D$4:$AB$2598,AW$3,FALSE),"")</f>
        <v>#N/A</v>
      </c>
      <c r="AX230" t="e">
        <f>IF(VLOOKUP($B230,'Draft List'!$D$4:$AB$2598,AX$3,FALSE)&lt;&gt;0,VLOOKUP($B230,'Draft List'!$D$4:$AB$2598,AX$3,FALSE),"")</f>
        <v>#N/A</v>
      </c>
      <c r="AY230" t="e">
        <f>IF(VLOOKUP($B230,'Draft List'!$D$4:$AB$2598,AY$3,FALSE)&lt;&gt;0,VLOOKUP($B230,'Draft List'!$D$4:$AB$2598,AY$3,FALSE),"")</f>
        <v>#N/A</v>
      </c>
    </row>
    <row r="231" spans="1:51">
      <c r="A231" t="str">
        <f>IF(C231="C","C-",C231)&amp;D231&amp;E231</f>
        <v>SSJeremy Collins21</v>
      </c>
      <c r="B231">
        <f>VLOOKUP($A231,draft_listing_batters_stats!$A$1:$B$1324,2,FALSE)</f>
        <v>7223</v>
      </c>
      <c r="C231" s="1" t="s">
        <v>2074</v>
      </c>
      <c r="D231" s="1" t="s">
        <v>1476</v>
      </c>
      <c r="E231" s="1">
        <v>21</v>
      </c>
      <c r="F231" s="1" t="s">
        <v>2049</v>
      </c>
      <c r="G231" s="1" t="s">
        <v>2022</v>
      </c>
      <c r="H231" s="1" t="s">
        <v>2033</v>
      </c>
      <c r="I231" s="1" t="s">
        <v>2033</v>
      </c>
      <c r="J231" s="1" t="s">
        <v>2030</v>
      </c>
      <c r="K231" s="1" t="s">
        <v>2036</v>
      </c>
      <c r="L231" s="1">
        <v>4</v>
      </c>
      <c r="M231" s="1">
        <v>5</v>
      </c>
      <c r="N231" s="1">
        <v>1</v>
      </c>
      <c r="O231" s="1">
        <v>2</v>
      </c>
      <c r="P231" s="1">
        <v>3</v>
      </c>
      <c r="Q231" s="1">
        <v>4</v>
      </c>
      <c r="R231" s="1">
        <v>5</v>
      </c>
      <c r="S231" s="1">
        <v>1</v>
      </c>
      <c r="T231" s="1">
        <v>2</v>
      </c>
      <c r="U231" s="1">
        <v>5</v>
      </c>
      <c r="V231" s="1">
        <v>8</v>
      </c>
      <c r="W231" s="1">
        <v>7</v>
      </c>
      <c r="X231" s="1">
        <v>1</v>
      </c>
      <c r="Y231" s="1" t="s">
        <v>2027</v>
      </c>
      <c r="Z231" s="1">
        <v>8</v>
      </c>
      <c r="AA231" s="1">
        <v>6</v>
      </c>
      <c r="AB231" s="1">
        <v>5</v>
      </c>
      <c r="AC231" s="1">
        <v>7</v>
      </c>
      <c r="AD231" s="1">
        <v>7</v>
      </c>
      <c r="AE231" s="1">
        <v>4</v>
      </c>
      <c r="AF231" s="1" t="s">
        <v>2027</v>
      </c>
      <c r="AG231" s="1">
        <v>8</v>
      </c>
      <c r="AH231" s="1">
        <v>8</v>
      </c>
      <c r="AI231" s="1">
        <v>8</v>
      </c>
      <c r="AJ231" s="52" t="s">
        <v>2029</v>
      </c>
      <c r="AK231" s="9">
        <f>($L$3*(L231-$Q$1)/$Q$2+$M$3*(M231-$R$1)/$R$2+$N$3*(N231-$S$1)/$S$2+$O$3*(O231-$T$1)/$T$2+$P$3*(P231-$U$1)/$U$2)/(SUM($L$3:$P$3))</f>
        <v>-0.742694093100986</v>
      </c>
      <c r="AL231" s="9">
        <f>($L$3*(Q231-$Q$1)/$Q$2+$M$3*(R231-$R$1)/$R$2+$N$3*(S231-$S$1)/$S$2+$O$3*(T231-$T$1)/$T$2+$P$3*(U231-$U$1)/$U$2)/(SUM($L$3:$P$3))</f>
        <v>-0.66266141346681895</v>
      </c>
      <c r="AM231">
        <f>IF(AVERAGE(AG231:AH231)&gt;9,1,0)+IF(AVERAGE(AG231:AH231)&gt;7,1,0)+IF(AG231&gt;7,1,0)+IF(AH231&gt;7,1,0)+IF(AI231&gt;8,1,0)+IF(AI231&gt;6,1,0)</f>
        <v>4</v>
      </c>
      <c r="AN231" s="6">
        <f>MIN(2,IF(OR(Y231="-",X231&lt;5),0,1+IF(Y231&gt;7,1+IF(X231&gt;7,0.25,0),IF(Y231&gt;4,0.5+IF(X231&gt;7,0.25,0),0+IF(X231&gt;7,0.25))))+IF(Z231="-",0,IF(Z231&gt;9,0.5,IF(Z231&gt;7,0.25,0)))+IF(AA231="-",0,IF(AA231&gt;7,1.1,IF(AA231&gt;4,0.6,0)))+IF(OR(AB231="-",V231&lt;5),0,IF(AB231&gt;7,1+IF(V231&gt;7,0.25,0),IF(AB231&gt;4,0.5+IF(V231&gt;7,0.25,0),0)))+IF(AC231="-",0,IF(AC231&gt;7,1.5,IF(AC231&gt;4,1,0)))+IF(AD231="-",0,IF(AD231&gt;9,0.5,IF(AD231&gt;7,0.25,0)))+IF(AE231="-",0,IF(AE231&gt;7,1.25,IF(AE231&gt;4,0.75,0)))+IF(OR(AF231="-",W231&lt;4),0,IF(AF231&gt;7,1+IF(W231&gt;7,0.15,0),IF(AF231&gt;4,0.5+IF(W231&gt;7,0.15,0),0))))</f>
        <v>2</v>
      </c>
      <c r="AO231" s="9">
        <f>($AK$3*AK231+$AL$3*AL231+$AM$3*AM231+$AN$3*AN231)+$J$3*VLOOKUP(J231,COND!$A$2:$C$7,2,FALSE)+$K$3*VLOOKUP(K231,COND!$A$2:$C$7,3,FALSE)</f>
        <v>4.9904602957547413</v>
      </c>
      <c r="AP231" s="37">
        <f>STANDARDIZE(AO231,AVERAGE($AO$5:$AO$1295),STDEVP($AO$5:$AO$1295))</f>
        <v>-0.78853746828055493</v>
      </c>
      <c r="AQ231" t="str">
        <f>IF(AND(Y231&lt;&gt;"-",X231&gt;1),"C",IF(AA231=MAX(AA231:AC231),"2B",IF(AC231=MAX(AA231:AC231),"SS",IF(OR(AB231=MAX(Z231:AC231),AND(AB231&lt;&gt;"-",AB231&gt;4,V231&gt;5)),"3B",IF(AE231=MAX(AD231:AF231),"CF",IF(AND(AF231=MAX(AD231,AF231),AND(W231&gt;5,AD231&lt;&gt;"-")),"RF",IF(AD231&lt;&gt;"-","LF",IF(Z231&lt;&gt;"-","1B","DH"))))))))</f>
        <v>SS</v>
      </c>
      <c r="AR231" t="s">
        <v>35</v>
      </c>
      <c r="AU231" t="str">
        <f>IF(AND($Q231&gt;=6,AVERAGE($S231:$T231)&gt;=6),"Likely",IF(OR($Q231&gt;6,AND($Q231=6,AVERAGE($S231:$T231)&gt;=3),AND($Q231&gt;=5,AVERAGE($S231:$T231)&gt;=5),AVERAGE($Q231,$S231:$T231)&gt;5),"Possible","Unlikely"))</f>
        <v>Unlikely</v>
      </c>
      <c r="AW231" t="str">
        <f>IF(VLOOKUP($B231,'Draft List'!$D$4:$AB$2598,AW$3,FALSE)&lt;&gt;0,VLOOKUP($B231,'Draft List'!$D$4:$AB$2598,AW$3,FALSE),"")</f>
        <v/>
      </c>
      <c r="AX231" t="str">
        <f>IF(VLOOKUP($B231,'Draft List'!$D$4:$AB$2598,AX$3,FALSE)&lt;&gt;0,VLOOKUP($B231,'Draft List'!$D$4:$AB$2598,AX$3,FALSE),"")</f>
        <v/>
      </c>
      <c r="AY231" t="str">
        <f>IF(VLOOKUP($B231,'Draft List'!$D$4:$AB$2598,AY$3,FALSE)&lt;&gt;0,VLOOKUP($B231,'Draft List'!$D$4:$AB$2598,AY$3,FALSE),"")</f>
        <v/>
      </c>
    </row>
    <row r="232" spans="1:51">
      <c r="A232" t="str">
        <f>IF(C232="C","C-",C232)&amp;D232&amp;E232</f>
        <v>1BTravis Johnstone21</v>
      </c>
      <c r="B232">
        <f>VLOOKUP($A232,draft_listing_batters_stats!$A$1:$B$1324,2,FALSE)</f>
        <v>3635</v>
      </c>
      <c r="C232" s="1" t="s">
        <v>2092</v>
      </c>
      <c r="D232" s="1" t="s">
        <v>1325</v>
      </c>
      <c r="E232" s="1">
        <v>21</v>
      </c>
      <c r="F232" s="1" t="s">
        <v>2022</v>
      </c>
      <c r="G232" s="1" t="s">
        <v>2022</v>
      </c>
      <c r="H232" s="1" t="s">
        <v>2033</v>
      </c>
      <c r="I232" s="1" t="s">
        <v>2033</v>
      </c>
      <c r="J232" s="1" t="s">
        <v>2040</v>
      </c>
      <c r="K232" s="1" t="s">
        <v>2026</v>
      </c>
      <c r="L232" s="1">
        <v>3</v>
      </c>
      <c r="M232" s="1">
        <v>2</v>
      </c>
      <c r="N232" s="1">
        <v>2</v>
      </c>
      <c r="O232" s="1">
        <v>3</v>
      </c>
      <c r="P232" s="1">
        <v>2</v>
      </c>
      <c r="Q232" s="1">
        <v>4</v>
      </c>
      <c r="R232" s="1">
        <v>3</v>
      </c>
      <c r="S232" s="1">
        <v>2</v>
      </c>
      <c r="T232" s="1">
        <v>4</v>
      </c>
      <c r="U232" s="1">
        <v>4</v>
      </c>
      <c r="V232" s="1">
        <v>6</v>
      </c>
      <c r="W232" s="1">
        <v>6</v>
      </c>
      <c r="X232" s="1">
        <v>1</v>
      </c>
      <c r="Y232" s="1" t="s">
        <v>2027</v>
      </c>
      <c r="Z232" s="1">
        <v>10</v>
      </c>
      <c r="AA232" s="1">
        <v>4</v>
      </c>
      <c r="AB232" s="1">
        <v>5</v>
      </c>
      <c r="AC232" s="1">
        <v>5</v>
      </c>
      <c r="AD232" s="1" t="s">
        <v>2027</v>
      </c>
      <c r="AE232" s="1" t="s">
        <v>2027</v>
      </c>
      <c r="AF232" s="1" t="s">
        <v>2027</v>
      </c>
      <c r="AG232" s="1">
        <v>8</v>
      </c>
      <c r="AH232" s="1">
        <v>4</v>
      </c>
      <c r="AI232" s="1">
        <v>6</v>
      </c>
      <c r="AJ232" s="52" t="s">
        <v>2029</v>
      </c>
      <c r="AK232" s="9">
        <f>($L$3*(L232-$Q$1)/$Q$2+$M$3*(M232-$R$1)/$R$2+$N$3*(N232-$S$1)/$S$2+$O$3*(O232-$T$1)/$T$2+$P$3*(P232-$U$1)/$U$2)/(SUM($L$3:$P$3))</f>
        <v>-1.0856748639433722</v>
      </c>
      <c r="AL232" s="9">
        <f>($L$3*(Q232-$Q$1)/$Q$2+$M$3*(R232-$R$1)/$R$2+$N$3*(S232-$S$1)/$S$2+$O$3*(T232-$T$1)/$T$2+$P$3*(U232-$U$1)/$U$2)/(SUM($L$3:$P$3))</f>
        <v>-0.54231691847824581</v>
      </c>
      <c r="AM232">
        <f>IF(AVERAGE(AG232:AH232)&gt;9,1,0)+IF(AVERAGE(AG232:AH232)&gt;7,1,0)+IF(AG232&gt;7,1,0)+IF(AH232&gt;7,1,0)+IF(AI232&gt;8,1,0)+IF(AI232&gt;6,1,0)</f>
        <v>1</v>
      </c>
      <c r="AN232" s="6">
        <f>MIN(2,IF(OR(Y232="-",X232&lt;5),0,1+IF(Y232&gt;7,1+IF(X232&gt;7,0.25,0),IF(Y232&gt;4,0.5+IF(X232&gt;7,0.25,0),0+IF(X232&gt;7,0.25))))+IF(Z232="-",0,IF(Z232&gt;9,0.5,IF(Z232&gt;7,0.25,0)))+IF(AA232="-",0,IF(AA232&gt;7,1.1,IF(AA232&gt;4,0.6,0)))+IF(OR(AB232="-",V232&lt;5),0,IF(AB232&gt;7,1+IF(V232&gt;7,0.25,0),IF(AB232&gt;4,0.5+IF(V232&gt;7,0.25,0),0)))+IF(AC232="-",0,IF(AC232&gt;7,1.5,IF(AC232&gt;4,1,0)))+IF(AD232="-",0,IF(AD232&gt;9,0.5,IF(AD232&gt;7,0.25,0)))+IF(AE232="-",0,IF(AE232&gt;7,1.25,IF(AE232&gt;4,0.75,0)))+IF(OR(AF232="-",W232&lt;4),0,IF(AF232&gt;7,1+IF(W232&gt;7,0.15,0),IF(AF232&gt;4,0.5+IF(W232&gt;7,0.15,0),0))))</f>
        <v>2</v>
      </c>
      <c r="AO232" s="9">
        <f>($AK$3*AK232+$AL$3*AL232+$AM$3*AM232+$AN$3*AN232)+$J$3*VLOOKUP(J232,COND!$A$2:$C$7,2,FALSE)+$K$3*VLOOKUP(K232,COND!$A$2:$C$7,3,FALSE)</f>
        <v>4.9502961585333809</v>
      </c>
      <c r="AP232" s="37">
        <f>STANDARDIZE(AO232,AVERAGE($AO$5:$AO$1295),STDEVP($AO$5:$AO$1295))</f>
        <v>-0.79411721693844939</v>
      </c>
      <c r="AQ232" t="str">
        <f>IF(AND(Y232&lt;&gt;"-",X232&gt;1),"C",IF(AA232=MAX(AA232:AC232),"2B",IF(AC232=MAX(AA232:AC232),"SS",IF(OR(AB232=MAX(Z232:AC232),AND(AB232&lt;&gt;"-",AB232&gt;4,V232&gt;5)),"3B",IF(AE232=MAX(AD232:AF232),"CF",IF(AND(AF232=MAX(AD232,AF232),AND(W232&gt;5,AD232&lt;&gt;"-")),"RF",IF(AD232&lt;&gt;"-","LF",IF(Z232&lt;&gt;"-","1B","DH"))))))))</f>
        <v>SS</v>
      </c>
      <c r="AR232" t="s">
        <v>35</v>
      </c>
      <c r="AU232" t="str">
        <f>IF(AND($Q232&gt;=6,AVERAGE($S232:$T232)&gt;=6),"Likely",IF(OR($Q232&gt;6,AND($Q232=6,AVERAGE($S232:$T232)&gt;=3),AND($Q232&gt;=5,AVERAGE($S232:$T232)&gt;=5),AVERAGE($Q232,$S232:$T232)&gt;5),"Possible","Unlikely"))</f>
        <v>Unlikely</v>
      </c>
      <c r="AW232" t="e">
        <f>IF(VLOOKUP($B232,'Draft List'!$D$4:$AB$2598,AW$3,FALSE)&lt;&gt;0,VLOOKUP($B232,'Draft List'!$D$4:$AB$2598,AW$3,FALSE),"")</f>
        <v>#N/A</v>
      </c>
      <c r="AX232" t="e">
        <f>IF(VLOOKUP($B232,'Draft List'!$D$4:$AB$2598,AX$3,FALSE)&lt;&gt;0,VLOOKUP($B232,'Draft List'!$D$4:$AB$2598,AX$3,FALSE),"")</f>
        <v>#N/A</v>
      </c>
      <c r="AY232" t="e">
        <f>IF(VLOOKUP($B232,'Draft List'!$D$4:$AB$2598,AY$3,FALSE)&lt;&gt;0,VLOOKUP($B232,'Draft List'!$D$4:$AB$2598,AY$3,FALSE),"")</f>
        <v>#N/A</v>
      </c>
    </row>
    <row r="233" spans="1:51">
      <c r="A233" t="str">
        <f>IF(C233="C","C-",C233)&amp;D233&amp;E233</f>
        <v>C-José González21</v>
      </c>
      <c r="B233" t="e">
        <f>VLOOKUP($A233,draft_listing_batters_stats!$A$1:$B$1324,2,FALSE)</f>
        <v>#N/A</v>
      </c>
      <c r="C233" s="1" t="s">
        <v>2091</v>
      </c>
      <c r="D233" s="1" t="s">
        <v>2103</v>
      </c>
      <c r="E233" s="1">
        <v>21</v>
      </c>
      <c r="F233" s="1" t="s">
        <v>2022</v>
      </c>
      <c r="G233" s="1" t="s">
        <v>2022</v>
      </c>
      <c r="H233" s="1" t="s">
        <v>2033</v>
      </c>
      <c r="I233" s="1" t="s">
        <v>2033</v>
      </c>
      <c r="J233" s="1" t="s">
        <v>2025</v>
      </c>
      <c r="K233" s="1" t="s">
        <v>2025</v>
      </c>
      <c r="L233" s="1">
        <v>3</v>
      </c>
      <c r="M233" s="1">
        <v>2</v>
      </c>
      <c r="N233" s="1">
        <v>1</v>
      </c>
      <c r="O233" s="1">
        <v>1</v>
      </c>
      <c r="P233" s="1">
        <v>2</v>
      </c>
      <c r="Q233" s="1">
        <v>4</v>
      </c>
      <c r="R233" s="1">
        <v>4</v>
      </c>
      <c r="S233" s="1">
        <v>2</v>
      </c>
      <c r="T233" s="1">
        <v>3</v>
      </c>
      <c r="U233" s="1">
        <v>5</v>
      </c>
      <c r="V233" s="1">
        <v>4</v>
      </c>
      <c r="W233" s="1">
        <v>4</v>
      </c>
      <c r="X233" s="1">
        <v>6</v>
      </c>
      <c r="Y233" s="1">
        <v>5</v>
      </c>
      <c r="Z233" s="1" t="s">
        <v>2027</v>
      </c>
      <c r="AA233" s="1" t="s">
        <v>2027</v>
      </c>
      <c r="AB233" s="1" t="s">
        <v>2027</v>
      </c>
      <c r="AC233" s="1" t="s">
        <v>2027</v>
      </c>
      <c r="AD233" s="1" t="s">
        <v>2027</v>
      </c>
      <c r="AE233" s="1" t="s">
        <v>2027</v>
      </c>
      <c r="AF233" s="1" t="s">
        <v>2027</v>
      </c>
      <c r="AG233" s="1">
        <v>4</v>
      </c>
      <c r="AH233" s="1">
        <v>2</v>
      </c>
      <c r="AI233" s="1">
        <v>2</v>
      </c>
      <c r="AJ233" s="52" t="s">
        <v>2029</v>
      </c>
      <c r="AK233" s="9">
        <f>($L$3*(L233-$Q$1)/$Q$2+$M$3*(M233-$R$1)/$R$2+$N$3*(N233-$S$1)/$S$2+$O$3*(O233-$T$1)/$T$2+$P$3*(P233-$U$1)/$U$2)/(SUM($L$3:$P$3))</f>
        <v>-1.3481554579864357</v>
      </c>
      <c r="AL233" s="9">
        <f>($L$3*(Q233-$Q$1)/$Q$2+$M$3*(R233-$R$1)/$R$2+$N$3*(S233-$S$1)/$S$2+$O$3*(T233-$T$1)/$T$2+$P$3*(U233-$U$1)/$U$2)/(SUM($L$3:$P$3))</f>
        <v>-0.54095024905204003</v>
      </c>
      <c r="AM233">
        <f>IF(AVERAGE(AG233:AH233)&gt;9,1,0)+IF(AVERAGE(AG233:AH233)&gt;7,1,0)+IF(AG233&gt;7,1,0)+IF(AH233&gt;7,1,0)+IF(AI233&gt;8,1,0)+IF(AI233&gt;6,1,0)</f>
        <v>0</v>
      </c>
      <c r="AN233" s="6">
        <f>MIN(2,IF(OR(Y233="-",X233&lt;5),0,1+IF(Y233&gt;7,1+IF(X233&gt;7,0.25,0),IF(Y233&gt;4,0.5+IF(X233&gt;7,0.25,0),0+IF(X233&gt;7,0.25))))+IF(Z233="-",0,IF(Z233&gt;9,0.5,IF(Z233&gt;7,0.25,0)))+IF(AA233="-",0,IF(AA233&gt;7,1.1,IF(AA233&gt;4,0.6,0)))+IF(OR(AB233="-",V233&lt;5),0,IF(AB233&gt;7,1+IF(V233&gt;7,0.25,0),IF(AB233&gt;4,0.5+IF(V233&gt;7,0.25,0),0)))+IF(AC233="-",0,IF(AC233&gt;7,1.5,IF(AC233&gt;4,1,0)))+IF(AD233="-",0,IF(AD233&gt;9,0.5,IF(AD233&gt;7,0.25,0)))+IF(AE233="-",0,IF(AE233&gt;7,1.25,IF(AE233&gt;4,0.75,0)))+IF(OR(AF233="-",W233&lt;4),0,IF(AF233&gt;7,1+IF(W233&gt;7,0.15,0),IF(AF233&gt;4,0.5+IF(W233&gt;7,0.15,0),0))))</f>
        <v>1.5</v>
      </c>
      <c r="AO233" s="9">
        <f>($AK$3*AK233+$AL$3*AL233+$AM$3*AM233+$AN$3*AN233)+$J$3*VLOOKUP(J233,COND!$A$2:$C$7,2,FALSE)+$K$3*VLOOKUP(K233,COND!$A$2:$C$7,3,FALSE)</f>
        <v>4.8737814655768759</v>
      </c>
      <c r="AP233" s="37">
        <f>STANDARDIZE(AO233,AVERAGE($AO$5:$AO$1295),STDEVP($AO$5:$AO$1295))</f>
        <v>-0.80474691758358663</v>
      </c>
      <c r="AQ233" t="str">
        <f>IF(AND(Y233&lt;&gt;"-",X233&gt;1),"C",IF(AA233=MAX(AA233:AC233),"2B",IF(AC233=MAX(AA233:AC233),"SS",IF(OR(AB233=MAX(Z233:AC233),AND(AB233&lt;&gt;"-",AB233&gt;4,V233&gt;5)),"3B",IF(AE233=MAX(AD233:AF233),"CF",IF(AND(AF233=MAX(AD233,AF233),AND(W233&gt;5,AD233&lt;&gt;"-")),"RF",IF(AD233&lt;&gt;"-","LF",IF(Z233&lt;&gt;"-","1B","DH"))))))))</f>
        <v>C</v>
      </c>
      <c r="AR233" t="s">
        <v>35</v>
      </c>
      <c r="AU233" t="str">
        <f>IF(AND($Q233&gt;=6,AVERAGE($S233:$T233)&gt;=6),"Likely",IF(OR($Q233&gt;6,AND($Q233=6,AVERAGE($S233:$T233)&gt;=3),AND($Q233&gt;=5,AVERAGE($S233:$T233)&gt;=5),AVERAGE($Q233,$S233:$T233)&gt;5),"Possible","Unlikely"))</f>
        <v>Unlikely</v>
      </c>
      <c r="AW233" t="e">
        <f>IF(VLOOKUP($B233,'Draft List'!$D$4:$AB$2598,AW$3,FALSE)&lt;&gt;0,VLOOKUP($B233,'Draft List'!$D$4:$AB$2598,AW$3,FALSE),"")</f>
        <v>#N/A</v>
      </c>
      <c r="AX233" t="e">
        <f>IF(VLOOKUP($B233,'Draft List'!$D$4:$AB$2598,AX$3,FALSE)&lt;&gt;0,VLOOKUP($B233,'Draft List'!$D$4:$AB$2598,AX$3,FALSE),"")</f>
        <v>#N/A</v>
      </c>
      <c r="AY233" t="e">
        <f>IF(VLOOKUP($B233,'Draft List'!$D$4:$AB$2598,AY$3,FALSE)&lt;&gt;0,VLOOKUP($B233,'Draft List'!$D$4:$AB$2598,AY$3,FALSE),"")</f>
        <v>#N/A</v>
      </c>
    </row>
    <row r="234" spans="1:51">
      <c r="A234" t="str">
        <f>IF(C234="C","C-",C234)&amp;D234&amp;E234</f>
        <v>2BChad Murray18</v>
      </c>
      <c r="B234">
        <f>VLOOKUP($A234,draft_listing_batters_stats!$A$1:$B$1324,2,FALSE)</f>
        <v>13745</v>
      </c>
      <c r="C234" s="1" t="s">
        <v>2069</v>
      </c>
      <c r="D234" s="1" t="s">
        <v>1382</v>
      </c>
      <c r="E234" s="1">
        <v>18</v>
      </c>
      <c r="F234" s="1" t="s">
        <v>2022</v>
      </c>
      <c r="G234" s="1" t="s">
        <v>2022</v>
      </c>
      <c r="H234" s="1" t="s">
        <v>2033</v>
      </c>
      <c r="I234" s="1" t="s">
        <v>2033</v>
      </c>
      <c r="J234" s="1" t="s">
        <v>2040</v>
      </c>
      <c r="K234" s="1" t="s">
        <v>2025</v>
      </c>
      <c r="L234" s="1">
        <v>1</v>
      </c>
      <c r="M234" s="1">
        <v>2</v>
      </c>
      <c r="N234" s="1">
        <v>1</v>
      </c>
      <c r="O234" s="1">
        <v>1</v>
      </c>
      <c r="P234" s="1">
        <v>1</v>
      </c>
      <c r="Q234" s="1">
        <v>4</v>
      </c>
      <c r="R234" s="1">
        <v>6</v>
      </c>
      <c r="S234" s="1">
        <v>2</v>
      </c>
      <c r="T234" s="1">
        <v>3</v>
      </c>
      <c r="U234" s="1">
        <v>5</v>
      </c>
      <c r="V234" s="1">
        <v>7</v>
      </c>
      <c r="W234" s="1">
        <v>1</v>
      </c>
      <c r="X234" s="1">
        <v>1</v>
      </c>
      <c r="Y234" s="1" t="s">
        <v>2027</v>
      </c>
      <c r="Z234" s="1" t="s">
        <v>2027</v>
      </c>
      <c r="AA234" s="1">
        <v>1</v>
      </c>
      <c r="AB234" s="1" t="s">
        <v>2027</v>
      </c>
      <c r="AC234" s="1">
        <v>1</v>
      </c>
      <c r="AD234" s="1" t="s">
        <v>2027</v>
      </c>
      <c r="AE234" s="1" t="s">
        <v>2027</v>
      </c>
      <c r="AF234" s="1" t="s">
        <v>2027</v>
      </c>
      <c r="AG234" s="1">
        <v>8</v>
      </c>
      <c r="AH234" s="1">
        <v>10</v>
      </c>
      <c r="AI234" s="1">
        <v>9</v>
      </c>
      <c r="AJ234" s="52" t="s">
        <v>2029</v>
      </c>
      <c r="AK234" s="9">
        <f>($L$3*(L234-$Q$1)/$Q$2+$M$3*(M234-$R$1)/$R$2+$N$3*(N234-$S$1)/$S$2+$O$3*(O234-$T$1)/$T$2+$P$3*(P234-$U$1)/$U$2)/(SUM($L$3:$P$3))</f>
        <v>-2.0332834702088682</v>
      </c>
      <c r="AL234" s="9">
        <f>($L$3*(Q234-$Q$1)/$Q$2+$M$3*(R234-$R$1)/$R$2+$N$3*(S234-$S$1)/$S$2+$O$3*(T234-$T$1)/$T$2+$P$3*(U234-$U$1)/$U$2)/(SUM($L$3:$P$3))</f>
        <v>-0.43883048981463302</v>
      </c>
      <c r="AM234">
        <f>IF(AVERAGE(AG234:AH234)&gt;9,1,0)+IF(AVERAGE(AG234:AH234)&gt;7,1,0)+IF(AG234&gt;7,1,0)+IF(AH234&gt;7,1,0)+IF(AI234&gt;8,1,0)+IF(AI234&gt;6,1,0)</f>
        <v>5</v>
      </c>
      <c r="AN234" s="6">
        <f>MIN(2,IF(OR(Y234="-",X234&lt;5),0,1+IF(Y234&gt;7,1+IF(X234&gt;7,0.25,0),IF(Y234&gt;4,0.5+IF(X234&gt;7,0.25,0),0+IF(X234&gt;7,0.25))))+IF(Z234="-",0,IF(Z234&gt;9,0.5,IF(Z234&gt;7,0.25,0)))+IF(AA234="-",0,IF(AA234&gt;7,1.1,IF(AA234&gt;4,0.6,0)))+IF(OR(AB234="-",V234&lt;5),0,IF(AB234&gt;7,1+IF(V234&gt;7,0.25,0),IF(AB234&gt;4,0.5+IF(V234&gt;7,0.25,0),0)))+IF(AC234="-",0,IF(AC234&gt;7,1.5,IF(AC234&gt;4,1,0)))+IF(AD234="-",0,IF(AD234&gt;9,0.5,IF(AD234&gt;7,0.25,0)))+IF(AE234="-",0,IF(AE234&gt;7,1.25,IF(AE234&gt;4,0.75,0)))+IF(OR(AF234="-",W234&lt;4),0,IF(AF234&gt;7,1+IF(W234&gt;7,0.15,0),IF(AF234&gt;4,0.5+IF(W234&gt;7,0.15,0),0))))</f>
        <v>0</v>
      </c>
      <c r="AO234" s="9">
        <f>($AK$3*AK234+$AL$3*AL234+$AM$3*AM234+$AN$3*AN234)+$J$3*VLOOKUP(J234,COND!$A$2:$C$7,2,FALSE)+$K$3*VLOOKUP(K234,COND!$A$2:$C$7,3,FALSE)</f>
        <v>4.8640391085368506</v>
      </c>
      <c r="AP234" s="37">
        <f>STANDARDIZE(AO234,AVERAGE($AO$5:$AO$1295),STDEVP($AO$5:$AO$1295))</f>
        <v>-0.80610036141132813</v>
      </c>
      <c r="AQ234" t="str">
        <f>IF(AND(Y234&lt;&gt;"-",X234&gt;1),"C",IF(AA234=MAX(AA234:AC234),"2B",IF(AC234=MAX(AA234:AC234),"SS",IF(OR(AB234=MAX(Z234:AC234),AND(AB234&lt;&gt;"-",AB234&gt;4,V234&gt;5)),"3B",IF(AE234=MAX(AD234:AF234),"CF",IF(AND(AF234=MAX(AD234,AF234),AND(W234&gt;5,AD234&lt;&gt;"-")),"RF",IF(AD234&lt;&gt;"-","LF",IF(Z234&lt;&gt;"-","1B","DH"))))))))</f>
        <v>2B</v>
      </c>
      <c r="AR234" t="s">
        <v>35</v>
      </c>
      <c r="AU234" t="str">
        <f>IF(AND($Q234&gt;=6,AVERAGE($S234:$T234)&gt;=6),"Likely",IF(OR($Q234&gt;6,AND($Q234=6,AVERAGE($S234:$T234)&gt;=3),AND($Q234&gt;=5,AVERAGE($S234:$T234)&gt;=5),AVERAGE($Q234,$S234:$T234)&gt;5),"Possible","Unlikely"))</f>
        <v>Unlikely</v>
      </c>
      <c r="AW234" t="e">
        <f>IF(VLOOKUP($B234,'Draft List'!$D$4:$AB$2598,AW$3,FALSE)&lt;&gt;0,VLOOKUP($B234,'Draft List'!$D$4:$AB$2598,AW$3,FALSE),"")</f>
        <v>#N/A</v>
      </c>
      <c r="AX234" t="e">
        <f>IF(VLOOKUP($B234,'Draft List'!$D$4:$AB$2598,AX$3,FALSE)&lt;&gt;0,VLOOKUP($B234,'Draft List'!$D$4:$AB$2598,AX$3,FALSE),"")</f>
        <v>#N/A</v>
      </c>
      <c r="AY234" t="e">
        <f>IF(VLOOKUP($B234,'Draft List'!$D$4:$AB$2598,AY$3,FALSE)&lt;&gt;0,VLOOKUP($B234,'Draft List'!$D$4:$AB$2598,AY$3,FALSE),"")</f>
        <v>#N/A</v>
      </c>
    </row>
    <row r="235" spans="1:51">
      <c r="A235" t="str">
        <f>IF(C235="C","C-",C235)&amp;D235&amp;E235</f>
        <v>RFDan Jefferson21</v>
      </c>
      <c r="B235">
        <f>VLOOKUP($A235,draft_listing_batters_stats!$A$1:$B$1324,2,FALSE)</f>
        <v>6526</v>
      </c>
      <c r="C235" s="1" t="s">
        <v>2057</v>
      </c>
      <c r="D235" s="1" t="s">
        <v>1322</v>
      </c>
      <c r="E235" s="1">
        <v>21</v>
      </c>
      <c r="F235" s="1" t="s">
        <v>2038</v>
      </c>
      <c r="G235" s="1" t="s">
        <v>2038</v>
      </c>
      <c r="H235" s="1" t="s">
        <v>2033</v>
      </c>
      <c r="I235" s="1" t="s">
        <v>2033</v>
      </c>
      <c r="J235" s="1" t="s">
        <v>2025</v>
      </c>
      <c r="K235" s="1" t="s">
        <v>2025</v>
      </c>
      <c r="L235" s="1">
        <v>3</v>
      </c>
      <c r="M235" s="1">
        <v>5</v>
      </c>
      <c r="N235" s="1">
        <v>3</v>
      </c>
      <c r="O235" s="1">
        <v>2</v>
      </c>
      <c r="P235" s="1">
        <v>2</v>
      </c>
      <c r="Q235" s="1">
        <v>4</v>
      </c>
      <c r="R235" s="1">
        <v>5</v>
      </c>
      <c r="S235" s="1">
        <v>3</v>
      </c>
      <c r="T235" s="1">
        <v>2</v>
      </c>
      <c r="U235" s="1">
        <v>4</v>
      </c>
      <c r="V235" s="1">
        <v>1</v>
      </c>
      <c r="W235" s="1">
        <v>10</v>
      </c>
      <c r="X235" s="1">
        <v>1</v>
      </c>
      <c r="Y235" s="1" t="s">
        <v>2027</v>
      </c>
      <c r="Z235" s="1">
        <v>1</v>
      </c>
      <c r="AA235" s="1" t="s">
        <v>2027</v>
      </c>
      <c r="AB235" s="1" t="s">
        <v>2027</v>
      </c>
      <c r="AC235" s="1" t="s">
        <v>2027</v>
      </c>
      <c r="AD235" s="1">
        <v>3</v>
      </c>
      <c r="AE235" s="1" t="s">
        <v>2027</v>
      </c>
      <c r="AF235" s="1">
        <v>5</v>
      </c>
      <c r="AG235" s="1">
        <v>7</v>
      </c>
      <c r="AH235" s="1">
        <v>9</v>
      </c>
      <c r="AI235" s="1">
        <v>9</v>
      </c>
      <c r="AJ235" s="52" t="s">
        <v>2029</v>
      </c>
      <c r="AK235" s="9">
        <f>($L$3*(L235-$Q$1)/$Q$2+$M$3*(M235-$R$1)/$R$2+$N$3*(N235-$S$1)/$S$2+$O$3*(O235-$T$1)/$T$2+$P$3*(P235-$U$1)/$U$2)/(SUM($L$3:$P$3))</f>
        <v>-0.93914328107294121</v>
      </c>
      <c r="AL235" s="9">
        <f>($L$3*(Q235-$Q$1)/$Q$2+$M$3*(R235-$R$1)/$R$2+$N$3*(S235-$S$1)/$S$2+$O$3*(T235-$T$1)/$T$2+$P$3*(U235-$U$1)/$U$2)/(SUM($L$3:$P$3))</f>
        <v>-0.53655476523609946</v>
      </c>
      <c r="AM235">
        <f>IF(AVERAGE(AG235:AH235)&gt;9,1,0)+IF(AVERAGE(AG235:AH235)&gt;7,1,0)+IF(AG235&gt;7,1,0)+IF(AH235&gt;7,1,0)+IF(AI235&gt;8,1,0)+IF(AI235&gt;6,1,0)</f>
        <v>4</v>
      </c>
      <c r="AN235" s="6">
        <f>MIN(2,IF(OR(Y235="-",X235&lt;5),0,1+IF(Y235&gt;7,1+IF(X235&gt;7,0.25,0),IF(Y235&gt;4,0.5+IF(X235&gt;7,0.25,0),0+IF(X235&gt;7,0.25))))+IF(Z235="-",0,IF(Z235&gt;9,0.5,IF(Z235&gt;7,0.25,0)))+IF(AA235="-",0,IF(AA235&gt;7,1.1,IF(AA235&gt;4,0.6,0)))+IF(OR(AB235="-",V235&lt;5),0,IF(AB235&gt;7,1+IF(V235&gt;7,0.25,0),IF(AB235&gt;4,0.5+IF(V235&gt;7,0.25,0),0)))+IF(AC235="-",0,IF(AC235&gt;7,1.5,IF(AC235&gt;4,1,0)))+IF(AD235="-",0,IF(AD235&gt;9,0.5,IF(AD235&gt;7,0.25,0)))+IF(AE235="-",0,IF(AE235&gt;7,1.25,IF(AE235&gt;4,0.75,0)))+IF(OR(AF235="-",W235&lt;4),0,IF(AF235&gt;7,1+IF(W235&gt;7,0.15,0),IF(AF235&gt;4,0.5+IF(W235&gt;7,0.15,0),0))))</f>
        <v>0.65</v>
      </c>
      <c r="AO235" s="9">
        <f>($AK$3*AK235+$AL$3*AL235+$AM$3*AM235+$AN$3*AN235)+$J$3*VLOOKUP(J235,COND!$A$2:$C$7,2,FALSE)+$K$3*VLOOKUP(K235,COND!$A$2:$C$7,3,FALSE)</f>
        <v>4.7840951557261802</v>
      </c>
      <c r="AP235" s="37">
        <f>STANDARDIZE(AO235,AVERAGE($AO$5:$AO$1295),STDEVP($AO$5:$AO$1295))</f>
        <v>-0.81720646736210878</v>
      </c>
      <c r="AQ235" t="str">
        <f>IF(AND(Y235&lt;&gt;"-",X235&gt;1),"C",IF(AA235=MAX(AA235:AC235),"2B",IF(AC235=MAX(AA235:AC235),"SS",IF(OR(AB235=MAX(Z235:AC235),AND(AB235&lt;&gt;"-",AB235&gt;4,V235&gt;5)),"3B",IF(AE235=MAX(AD235:AF235),"CF",IF(AND(AF235=MAX(AD235,AF235),AND(W235&gt;5,AD235&lt;&gt;"-")),"RF",IF(AD235&lt;&gt;"-","LF",IF(Z235&lt;&gt;"-","1B","DH"))))))))</f>
        <v>RF</v>
      </c>
      <c r="AR235" t="s">
        <v>35</v>
      </c>
      <c r="AU235" t="str">
        <f>IF(AND($Q235&gt;=6,AVERAGE($S235:$T235)&gt;=6),"Likely",IF(OR($Q235&gt;6,AND($Q235=6,AVERAGE($S235:$T235)&gt;=3),AND($Q235&gt;=5,AVERAGE($S235:$T235)&gt;=5),AVERAGE($Q235,$S235:$T235)&gt;5),"Possible","Unlikely"))</f>
        <v>Unlikely</v>
      </c>
      <c r="AW235" t="str">
        <f>IF(VLOOKUP($B235,'Draft List'!$D$4:$AB$2598,AW$3,FALSE)&lt;&gt;0,VLOOKUP($B235,'Draft List'!$D$4:$AB$2598,AW$3,FALSE),"")</f>
        <v/>
      </c>
      <c r="AX235" t="str">
        <f>IF(VLOOKUP($B235,'Draft List'!$D$4:$AB$2598,AX$3,FALSE)&lt;&gt;0,VLOOKUP($B235,'Draft List'!$D$4:$AB$2598,AX$3,FALSE),"")</f>
        <v/>
      </c>
      <c r="AY235" t="str">
        <f>IF(VLOOKUP($B235,'Draft List'!$D$4:$AB$2598,AY$3,FALSE)&lt;&gt;0,VLOOKUP($B235,'Draft List'!$D$4:$AB$2598,AY$3,FALSE),"")</f>
        <v/>
      </c>
    </row>
    <row r="236" spans="1:51">
      <c r="A236" t="str">
        <f>IF(C236="C","C-",C236)&amp;D236&amp;E236</f>
        <v>3BArthur Miller18</v>
      </c>
      <c r="B236">
        <f>VLOOKUP($A236,draft_listing_batters_stats!$A$1:$B$1324,2,FALSE)</f>
        <v>738</v>
      </c>
      <c r="C236" s="1" t="s">
        <v>2061</v>
      </c>
      <c r="D236" s="1" t="s">
        <v>1369</v>
      </c>
      <c r="E236" s="1">
        <v>18</v>
      </c>
      <c r="F236" s="1" t="s">
        <v>2022</v>
      </c>
      <c r="G236" s="1" t="s">
        <v>2022</v>
      </c>
      <c r="H236" s="1" t="s">
        <v>2033</v>
      </c>
      <c r="I236" s="1" t="s">
        <v>2033</v>
      </c>
      <c r="J236" s="1" t="s">
        <v>2036</v>
      </c>
      <c r="K236" s="1" t="s">
        <v>2030</v>
      </c>
      <c r="L236" s="1">
        <v>1</v>
      </c>
      <c r="M236" s="1">
        <v>2</v>
      </c>
      <c r="N236" s="1">
        <v>1</v>
      </c>
      <c r="O236" s="1">
        <v>1</v>
      </c>
      <c r="P236" s="1">
        <v>1</v>
      </c>
      <c r="Q236" s="1">
        <v>4</v>
      </c>
      <c r="R236" s="1">
        <v>5</v>
      </c>
      <c r="S236" s="1">
        <v>4</v>
      </c>
      <c r="T236" s="1">
        <v>2</v>
      </c>
      <c r="U236" s="1">
        <v>4</v>
      </c>
      <c r="V236" s="1">
        <v>8</v>
      </c>
      <c r="W236" s="1">
        <v>7</v>
      </c>
      <c r="X236" s="1">
        <v>1</v>
      </c>
      <c r="Y236" s="1" t="s">
        <v>2027</v>
      </c>
      <c r="Z236" s="1">
        <v>5</v>
      </c>
      <c r="AA236" s="1">
        <v>2</v>
      </c>
      <c r="AB236" s="1">
        <v>4</v>
      </c>
      <c r="AC236" s="1">
        <v>1</v>
      </c>
      <c r="AD236" s="1">
        <v>2</v>
      </c>
      <c r="AE236" s="1">
        <v>1</v>
      </c>
      <c r="AF236" s="1">
        <v>2</v>
      </c>
      <c r="AG236" s="1">
        <v>4</v>
      </c>
      <c r="AH236" s="1">
        <v>5</v>
      </c>
      <c r="AI236" s="1">
        <v>4</v>
      </c>
      <c r="AJ236" s="52" t="s">
        <v>2029</v>
      </c>
      <c r="AK236" s="9">
        <f>($L$3*(L236-$Q$1)/$Q$2+$M$3*(M236-$R$1)/$R$2+$N$3*(N236-$S$1)/$S$2+$O$3*(O236-$T$1)/$T$2+$P$3*(P236-$U$1)/$U$2)/(SUM($L$3:$P$3))</f>
        <v>-2.0332834702088682</v>
      </c>
      <c r="AL236" s="9">
        <f>($L$3*(Q236-$Q$1)/$Q$2+$M$3*(R236-$R$1)/$R$2+$N$3*(S236-$S$1)/$S$2+$O$3*(T236-$T$1)/$T$2+$P$3*(U236-$U$1)/$U$2)/(SUM($L$3:$P$3))</f>
        <v>-0.45349327121219796</v>
      </c>
      <c r="AM236">
        <f>IF(AVERAGE(AG236:AH236)&gt;9,1,0)+IF(AVERAGE(AG236:AH236)&gt;7,1,0)+IF(AG236&gt;7,1,0)+IF(AH236&gt;7,1,0)+IF(AI236&gt;8,1,0)+IF(AI236&gt;6,1,0)</f>
        <v>0</v>
      </c>
      <c r="AN236" s="6">
        <f>MIN(2,IF(OR(Y236="-",X236&lt;5),0,1+IF(Y236&gt;7,1+IF(X236&gt;7,0.25,0),IF(Y236&gt;4,0.5+IF(X236&gt;7,0.25,0),0+IF(X236&gt;7,0.25))))+IF(Z236="-",0,IF(Z236&gt;9,0.5,IF(Z236&gt;7,0.25,0)))+IF(AA236="-",0,IF(AA236&gt;7,1.1,IF(AA236&gt;4,0.6,0)))+IF(OR(AB236="-",V236&lt;5),0,IF(AB236&gt;7,1+IF(V236&gt;7,0.25,0),IF(AB236&gt;4,0.5+IF(V236&gt;7,0.25,0),0)))+IF(AC236="-",0,IF(AC236&gt;7,1.5,IF(AC236&gt;4,1,0)))+IF(AD236="-",0,IF(AD236&gt;9,0.5,IF(AD236&gt;7,0.25,0)))+IF(AE236="-",0,IF(AE236&gt;7,1.25,IF(AE236&gt;4,0.75,0)))+IF(OR(AF236="-",W236&lt;4),0,IF(AF236&gt;7,1+IF(W236&gt;7,0.15,0),IF(AF236&gt;4,0.5+IF(W236&gt;7,0.15,0),0))))</f>
        <v>0</v>
      </c>
      <c r="AO236" s="9">
        <f>($AK$3*AK236+$AL$3*AL236+$AM$3*AM236+$AN$3*AN236)+$J$3*VLOOKUP(J236,COND!$A$2:$C$7,2,FALSE)+$K$3*VLOOKUP(K236,COND!$A$2:$C$7,3,FALSE)</f>
        <v>4.7047523984327375</v>
      </c>
      <c r="AP236" s="37">
        <f>STANDARDIZE(AO236,AVERAGE($AO$5:$AO$1295),STDEVP($AO$5:$AO$1295))</f>
        <v>-0.82822905303553629</v>
      </c>
      <c r="AQ236" t="str">
        <f>IF(AND(Y236&lt;&gt;"-",X236&gt;1),"C",IF(AA236=MAX(AA236:AC236),"2B",IF(AC236=MAX(AA236:AC236),"SS",IF(OR(AB236=MAX(Z236:AC236),AND(AB236&lt;&gt;"-",AB236&gt;4,V236&gt;5)),"3B",IF(AE236=MAX(AD236:AF236),"CF",IF(AND(AF236=MAX(AD236,AF236),AND(W236&gt;5,AD236&lt;&gt;"-")),"RF",IF(AD236&lt;&gt;"-","LF",IF(Z236&lt;&gt;"-","1B","DH"))))))))</f>
        <v>RF</v>
      </c>
      <c r="AR236" t="s">
        <v>35</v>
      </c>
      <c r="AU236" t="str">
        <f>IF(AND($Q236&gt;=6,AVERAGE($S236:$T236)&gt;=6),"Likely",IF(OR($Q236&gt;6,AND($Q236=6,AVERAGE($S236:$T236)&gt;=3),AND($Q236&gt;=5,AVERAGE($S236:$T236)&gt;=5),AVERAGE($Q236,$S236:$T236)&gt;5),"Possible","Unlikely"))</f>
        <v>Unlikely</v>
      </c>
      <c r="AW236" t="str">
        <f>IF(VLOOKUP($B236,'Draft List'!$D$4:$AB$2598,AW$3,FALSE)&lt;&gt;0,VLOOKUP($B236,'Draft List'!$D$4:$AB$2598,AW$3,FALSE),"")</f>
        <v/>
      </c>
      <c r="AX236" t="str">
        <f>IF(VLOOKUP($B236,'Draft List'!$D$4:$AB$2598,AX$3,FALSE)&lt;&gt;0,VLOOKUP($B236,'Draft List'!$D$4:$AB$2598,AX$3,FALSE),"")</f>
        <v/>
      </c>
      <c r="AY236" t="str">
        <f>IF(VLOOKUP($B236,'Draft List'!$D$4:$AB$2598,AY$3,FALSE)&lt;&gt;0,VLOOKUP($B236,'Draft List'!$D$4:$AB$2598,AY$3,FALSE),"")</f>
        <v/>
      </c>
    </row>
    <row r="237" spans="1:51">
      <c r="A237" t="str">
        <f>IF(C237="C","C-",C237)&amp;D237&amp;E237</f>
        <v>1BMike Kennedy20</v>
      </c>
      <c r="B237">
        <f>VLOOKUP($A237,draft_listing_batters_stats!$A$1:$B$1324,2,FALSE)</f>
        <v>6843</v>
      </c>
      <c r="C237" s="1" t="s">
        <v>2092</v>
      </c>
      <c r="D237" s="1" t="s">
        <v>1333</v>
      </c>
      <c r="E237" s="1">
        <v>20</v>
      </c>
      <c r="F237" s="1" t="s">
        <v>2022</v>
      </c>
      <c r="G237" s="1" t="s">
        <v>2022</v>
      </c>
      <c r="H237" s="1" t="s">
        <v>2033</v>
      </c>
      <c r="I237" s="1" t="s">
        <v>2033</v>
      </c>
      <c r="J237" s="1" t="s">
        <v>2040</v>
      </c>
      <c r="K237" s="1" t="s">
        <v>2025</v>
      </c>
      <c r="L237" s="1">
        <v>2</v>
      </c>
      <c r="M237" s="1">
        <v>3</v>
      </c>
      <c r="N237" s="1">
        <v>1</v>
      </c>
      <c r="O237" s="1">
        <v>1</v>
      </c>
      <c r="P237" s="1">
        <v>2</v>
      </c>
      <c r="Q237" s="1">
        <v>4</v>
      </c>
      <c r="R237" s="1">
        <v>6</v>
      </c>
      <c r="S237" s="1">
        <v>4</v>
      </c>
      <c r="T237" s="1">
        <v>2</v>
      </c>
      <c r="U237" s="1">
        <v>4</v>
      </c>
      <c r="V237" s="1">
        <v>3</v>
      </c>
      <c r="W237" s="1">
        <v>1</v>
      </c>
      <c r="X237" s="1">
        <v>1</v>
      </c>
      <c r="Y237" s="1" t="s">
        <v>2027</v>
      </c>
      <c r="Z237" s="1">
        <v>3</v>
      </c>
      <c r="AA237" s="1" t="s">
        <v>2027</v>
      </c>
      <c r="AB237" s="1" t="s">
        <v>2027</v>
      </c>
      <c r="AC237" s="1" t="s">
        <v>2027</v>
      </c>
      <c r="AD237" s="1" t="s">
        <v>2027</v>
      </c>
      <c r="AE237" s="1" t="s">
        <v>2027</v>
      </c>
      <c r="AF237" s="1" t="s">
        <v>2027</v>
      </c>
      <c r="AG237" s="1">
        <v>3</v>
      </c>
      <c r="AH237" s="1">
        <v>2</v>
      </c>
      <c r="AI237" s="1">
        <v>3</v>
      </c>
      <c r="AJ237" s="52">
        <v>210000</v>
      </c>
      <c r="AK237" s="9">
        <f>($L$3*(L237-$Q$1)/$Q$2+$M$3*(M237-$R$1)/$R$2+$N$3*(N237-$S$1)/$S$2+$O$3*(O237-$T$1)/$T$2+$P$3*(P237-$U$1)/$U$2)/(SUM($L$3:$P$3))</f>
        <v>-1.6196514145704071</v>
      </c>
      <c r="AL237" s="9">
        <f>($L$3*(Q237-$Q$1)/$Q$2+$M$3*(R237-$R$1)/$R$2+$N$3*(S237-$S$1)/$S$2+$O$3*(T237-$T$1)/$T$2+$P$3*(U237-$U$1)/$U$2)/(SUM($L$3:$P$3))</f>
        <v>-0.40243339159349445</v>
      </c>
      <c r="AM237">
        <f>IF(AVERAGE(AG237:AH237)&gt;9,1,0)+IF(AVERAGE(AG237:AH237)&gt;7,1,0)+IF(AG237&gt;7,1,0)+IF(AH237&gt;7,1,0)+IF(AI237&gt;8,1,0)+IF(AI237&gt;6,1,0)</f>
        <v>0</v>
      </c>
      <c r="AN237" s="6">
        <f>MIN(2,IF(OR(Y237="-",X237&lt;5),0,1+IF(Y237&gt;7,1+IF(X237&gt;7,0.25,0),IF(Y237&gt;4,0.5+IF(X237&gt;7,0.25,0),0+IF(X237&gt;7,0.25))))+IF(Z237="-",0,IF(Z237&gt;9,0.5,IF(Z237&gt;7,0.25,0)))+IF(AA237="-",0,IF(AA237&gt;7,1.1,IF(AA237&gt;4,0.6,0)))+IF(OR(AB237="-",V237&lt;5),0,IF(AB237&gt;7,1+IF(V237&gt;7,0.25,0),IF(AB237&gt;4,0.5+IF(V237&gt;7,0.25,0),0)))+IF(AC237="-",0,IF(AC237&gt;7,1.5,IF(AC237&gt;4,1,0)))+IF(AD237="-",0,IF(AD237&gt;9,0.5,IF(AD237&gt;7,0.25,0)))+IF(AE237="-",0,IF(AE237&gt;7,1.25,IF(AE237&gt;4,0.75,0)))+IF(OR(AF237="-",W237&lt;4),0,IF(AF237&gt;7,1+IF(W237&gt;7,0.15,0),IF(AF237&gt;4,0.5+IF(W237&gt;7,0.15,0),0))))</f>
        <v>0</v>
      </c>
      <c r="AO237" s="9">
        <f>($AK$3*AK237+$AL$3*AL237+$AM$3*AM237+$AN$3*AN237)+$J$3*VLOOKUP(J237,COND!$A$2:$C$7,2,FALSE)+$K$3*VLOOKUP(K237,COND!$A$2:$C$7,3,FALSE)</f>
        <v>4.5088341594210251</v>
      </c>
      <c r="AP237" s="37">
        <f>STANDARDIZE(AO237,AVERAGE($AO$5:$AO$1295),STDEVP($AO$5:$AO$1295))</f>
        <v>-0.85544673046646802</v>
      </c>
      <c r="AQ237" t="str">
        <f>IF(AND(Y237&lt;&gt;"-",X237&gt;1),"C",IF(AA237=MAX(AA237:AC237),"2B",IF(AC237=MAX(AA237:AC237),"SS",IF(OR(AB237=MAX(Z237:AC237),AND(AB237&lt;&gt;"-",AB237&gt;4,V237&gt;5)),"3B",IF(AE237=MAX(AD237:AF237),"CF",IF(AND(AF237=MAX(AD237,AF237),AND(W237&gt;5,AD237&lt;&gt;"-")),"RF",IF(AD237&lt;&gt;"-","LF",IF(Z237&lt;&gt;"-","1B","DH"))))))))</f>
        <v>1B</v>
      </c>
      <c r="AR237" t="s">
        <v>35</v>
      </c>
      <c r="AT237" t="s">
        <v>155</v>
      </c>
      <c r="AU237" t="str">
        <f>IF(AND($Q237&gt;=6,AVERAGE($S237:$T237)&gt;=6),"Likely",IF(OR($Q237&gt;6,AND($Q237=6,AVERAGE($S237:$T237)&gt;=3),AND($Q237&gt;=5,AVERAGE($S237:$T237)&gt;=5),AVERAGE($Q237,$S237:$T237)&gt;5),"Possible","Unlikely"))</f>
        <v>Unlikely</v>
      </c>
      <c r="AW237" t="str">
        <f>IF(VLOOKUP($B237,'Draft List'!$D$4:$AB$2598,AW$3,FALSE)&lt;&gt;0,VLOOKUP($B237,'Draft List'!$D$4:$AB$2598,AW$3,FALSE),"")</f>
        <v/>
      </c>
      <c r="AX237" t="str">
        <f>IF(VLOOKUP($B237,'Draft List'!$D$4:$AB$2598,AX$3,FALSE)&lt;&gt;0,VLOOKUP($B237,'Draft List'!$D$4:$AB$2598,AX$3,FALSE),"")</f>
        <v/>
      </c>
      <c r="AY237" t="str">
        <f>IF(VLOOKUP($B237,'Draft List'!$D$4:$AB$2598,AY$3,FALSE)&lt;&gt;0,VLOOKUP($B237,'Draft List'!$D$4:$AB$2598,AY$3,FALSE),"")</f>
        <v/>
      </c>
    </row>
    <row r="238" spans="1:51">
      <c r="A238" t="str">
        <f>IF(C238="C","C-",C238)&amp;D238&amp;E238</f>
        <v>SSManuel Villarreal21</v>
      </c>
      <c r="B238">
        <f>VLOOKUP($A238,draft_listing_batters_stats!$A$1:$B$1324,2,FALSE)</f>
        <v>3915</v>
      </c>
      <c r="C238" s="1" t="s">
        <v>2074</v>
      </c>
      <c r="D238" s="1" t="s">
        <v>1241</v>
      </c>
      <c r="E238" s="1">
        <v>21</v>
      </c>
      <c r="F238" s="1" t="s">
        <v>2022</v>
      </c>
      <c r="G238" s="1" t="s">
        <v>2022</v>
      </c>
      <c r="H238" s="1" t="s">
        <v>2033</v>
      </c>
      <c r="I238" s="1" t="s">
        <v>2033</v>
      </c>
      <c r="J238" s="1" t="s">
        <v>2040</v>
      </c>
      <c r="K238" s="1" t="s">
        <v>2030</v>
      </c>
      <c r="L238" s="1">
        <v>4</v>
      </c>
      <c r="M238" s="1">
        <v>4</v>
      </c>
      <c r="N238" s="1">
        <v>1</v>
      </c>
      <c r="O238" s="1">
        <v>3</v>
      </c>
      <c r="P238" s="1">
        <v>2</v>
      </c>
      <c r="Q238" s="1">
        <v>4</v>
      </c>
      <c r="R238" s="1">
        <v>5</v>
      </c>
      <c r="S238" s="1">
        <v>1</v>
      </c>
      <c r="T238" s="1">
        <v>3</v>
      </c>
      <c r="U238" s="1">
        <v>5</v>
      </c>
      <c r="V238" s="1">
        <v>7</v>
      </c>
      <c r="W238" s="1">
        <v>1</v>
      </c>
      <c r="X238" s="1">
        <v>1</v>
      </c>
      <c r="Y238" s="1" t="s">
        <v>2027</v>
      </c>
      <c r="Z238" s="1" t="s">
        <v>2027</v>
      </c>
      <c r="AA238" s="1">
        <v>2</v>
      </c>
      <c r="AB238" s="1" t="s">
        <v>2027</v>
      </c>
      <c r="AC238" s="1">
        <v>5</v>
      </c>
      <c r="AD238" s="1" t="s">
        <v>2027</v>
      </c>
      <c r="AE238" s="1" t="s">
        <v>2027</v>
      </c>
      <c r="AF238" s="1" t="s">
        <v>2027</v>
      </c>
      <c r="AG238" s="1">
        <v>10</v>
      </c>
      <c r="AH238" s="1">
        <v>10</v>
      </c>
      <c r="AI238" s="1">
        <v>8</v>
      </c>
      <c r="AJ238" s="52" t="s">
        <v>2029</v>
      </c>
      <c r="AK238" s="9">
        <f>($L$3*(L238-$Q$1)/$Q$2+$M$3*(M238-$R$1)/$R$2+$N$3*(N238-$S$1)/$S$2+$O$3*(O238-$T$1)/$T$2+$P$3*(P238-$U$1)/$U$2)/(SUM($L$3:$P$3))</f>
        <v>-0.74406076252719189</v>
      </c>
      <c r="AL238" s="9">
        <f>($L$3*(Q238-$Q$1)/$Q$2+$M$3*(R238-$R$1)/$R$2+$N$3*(S238-$S$1)/$S$2+$O$3*(T238-$T$1)/$T$2+$P$3*(U238-$U$1)/$U$2)/(SUM($L$3:$P$3))</f>
        <v>-0.57295186345723803</v>
      </c>
      <c r="AM238">
        <f>IF(AVERAGE(AG238:AH238)&gt;9,1,0)+IF(AVERAGE(AG238:AH238)&gt;7,1,0)+IF(AG238&gt;7,1,0)+IF(AH238&gt;7,1,0)+IF(AI238&gt;8,1,0)+IF(AI238&gt;6,1,0)</f>
        <v>5</v>
      </c>
      <c r="AN238" s="6">
        <f>MIN(2,IF(OR(Y238="-",X238&lt;5),0,1+IF(Y238&gt;7,1+IF(X238&gt;7,0.25,0),IF(Y238&gt;4,0.5+IF(X238&gt;7,0.25,0),0+IF(X238&gt;7,0.25))))+IF(Z238="-",0,IF(Z238&gt;9,0.5,IF(Z238&gt;7,0.25,0)))+IF(AA238="-",0,IF(AA238&gt;7,1.1,IF(AA238&gt;4,0.6,0)))+IF(OR(AB238="-",V238&lt;5),0,IF(AB238&gt;7,1+IF(V238&gt;7,0.25,0),IF(AB238&gt;4,0.5+IF(V238&gt;7,0.25,0),0)))+IF(AC238="-",0,IF(AC238&gt;7,1.5,IF(AC238&gt;4,1,0)))+IF(AD238="-",0,IF(AD238&gt;9,0.5,IF(AD238&gt;7,0.25,0)))+IF(AE238="-",0,IF(AE238&gt;7,1.25,IF(AE238&gt;4,0.75,0)))+IF(OR(AF238="-",W238&lt;4),0,IF(AF238&gt;7,1+IF(W238&gt;7,0.15,0),IF(AF238&gt;4,0.5+IF(W238&gt;7,0.15,0),0))))</f>
        <v>1</v>
      </c>
      <c r="AO238" s="9">
        <f>($AK$3*AK238+$AL$3*AL238+$AM$3*AM238+$AN$3*AN238)+$J$3*VLOOKUP(J238,COND!$A$2:$C$7,2,FALSE)+$K$3*VLOOKUP(K238,COND!$A$2:$C$7,3,FALSE)</f>
        <v>4.4835048955937564</v>
      </c>
      <c r="AP238" s="37">
        <f>STANDARDIZE(AO238,AVERAGE($AO$5:$AO$1295),STDEVP($AO$5:$AO$1295))</f>
        <v>-0.8589655643223213</v>
      </c>
      <c r="AQ238" t="str">
        <f>IF(AND(Y238&lt;&gt;"-",X238&gt;1),"C",IF(AA238=MAX(AA238:AC238),"2B",IF(AC238=MAX(AA238:AC238),"SS",IF(OR(AB238=MAX(Z238:AC238),AND(AB238&lt;&gt;"-",AB238&gt;4,V238&gt;5)),"3B",IF(AE238=MAX(AD238:AF238),"CF",IF(AND(AF238=MAX(AD238,AF238),AND(W238&gt;5,AD238&lt;&gt;"-")),"RF",IF(AD238&lt;&gt;"-","LF",IF(Z238&lt;&gt;"-","1B","DH"))))))))</f>
        <v>SS</v>
      </c>
      <c r="AR238" t="s">
        <v>35</v>
      </c>
      <c r="AU238" t="str">
        <f>IF(AND($Q238&gt;=6,AVERAGE($S238:$T238)&gt;=6),"Likely",IF(OR($Q238&gt;6,AND($Q238=6,AVERAGE($S238:$T238)&gt;=3),AND($Q238&gt;=5,AVERAGE($S238:$T238)&gt;=5),AVERAGE($Q238,$S238:$T238)&gt;5),"Possible","Unlikely"))</f>
        <v>Unlikely</v>
      </c>
      <c r="AW238" t="str">
        <f>IF(VLOOKUP($B238,'Draft List'!$D$4:$AB$2598,AW$3,FALSE)&lt;&gt;0,VLOOKUP($B238,'Draft List'!$D$4:$AB$2598,AW$3,FALSE),"")</f>
        <v/>
      </c>
      <c r="AX238" t="str">
        <f>IF(VLOOKUP($B238,'Draft List'!$D$4:$AB$2598,AX$3,FALSE)&lt;&gt;0,VLOOKUP($B238,'Draft List'!$D$4:$AB$2598,AX$3,FALSE),"")</f>
        <v/>
      </c>
      <c r="AY238" t="str">
        <f>IF(VLOOKUP($B238,'Draft List'!$D$4:$AB$2598,AY$3,FALSE)&lt;&gt;0,VLOOKUP($B238,'Draft List'!$D$4:$AB$2598,AY$3,FALSE),"")</f>
        <v/>
      </c>
    </row>
    <row r="239" spans="1:51">
      <c r="A239" t="str">
        <f>IF(C239="C","C-",C239)&amp;D239&amp;E239</f>
        <v>C-Dexter Armstrong21</v>
      </c>
      <c r="B239">
        <f>VLOOKUP($A239,draft_listing_batters_stats!$A$1:$B$1324,2,FALSE)</f>
        <v>2772</v>
      </c>
      <c r="C239" s="1" t="s">
        <v>2091</v>
      </c>
      <c r="D239" s="1" t="s">
        <v>1447</v>
      </c>
      <c r="E239" s="1">
        <v>21</v>
      </c>
      <c r="F239" s="1" t="s">
        <v>2022</v>
      </c>
      <c r="G239" s="1" t="s">
        <v>2022</v>
      </c>
      <c r="H239" s="1" t="s">
        <v>2033</v>
      </c>
      <c r="I239" s="1" t="s">
        <v>2033</v>
      </c>
      <c r="J239" s="1" t="s">
        <v>2025</v>
      </c>
      <c r="K239" s="1" t="s">
        <v>2030</v>
      </c>
      <c r="L239" s="1">
        <v>2</v>
      </c>
      <c r="M239" s="1">
        <v>3</v>
      </c>
      <c r="N239" s="1">
        <v>1</v>
      </c>
      <c r="O239" s="1">
        <v>2</v>
      </c>
      <c r="P239" s="1">
        <v>1</v>
      </c>
      <c r="Q239" s="1">
        <v>4</v>
      </c>
      <c r="R239" s="1">
        <v>4</v>
      </c>
      <c r="S239" s="1">
        <v>2</v>
      </c>
      <c r="T239" s="1">
        <v>3</v>
      </c>
      <c r="U239" s="1">
        <v>4</v>
      </c>
      <c r="V239" s="1">
        <v>3</v>
      </c>
      <c r="W239" s="1">
        <v>4</v>
      </c>
      <c r="X239" s="1">
        <v>7</v>
      </c>
      <c r="Y239" s="1">
        <v>5</v>
      </c>
      <c r="Z239" s="1" t="s">
        <v>2027</v>
      </c>
      <c r="AA239" s="1" t="s">
        <v>2027</v>
      </c>
      <c r="AB239" s="1" t="s">
        <v>2027</v>
      </c>
      <c r="AC239" s="1" t="s">
        <v>2027</v>
      </c>
      <c r="AD239" s="1" t="s">
        <v>2027</v>
      </c>
      <c r="AE239" s="1" t="s">
        <v>2027</v>
      </c>
      <c r="AF239" s="1" t="s">
        <v>2027</v>
      </c>
      <c r="AG239" s="1">
        <v>4</v>
      </c>
      <c r="AH239" s="1">
        <v>6</v>
      </c>
      <c r="AI239" s="1">
        <v>5</v>
      </c>
      <c r="AJ239" s="52" t="s">
        <v>2029</v>
      </c>
      <c r="AK239" s="9">
        <f>($L$3*(L239-$Q$1)/$Q$2+$M$3*(M239-$R$1)/$R$2+$N$3*(N239-$S$1)/$S$2+$O$3*(O239-$T$1)/$T$2+$P$3*(P239-$U$1)/$U$2)/(SUM($L$3:$P$3))</f>
        <v>-1.5699582043779094</v>
      </c>
      <c r="AL239" s="9">
        <f>($L$3*(Q239-$Q$1)/$Q$2+$M$3*(R239-$R$1)/$R$2+$N$3*(S239-$S$1)/$S$2+$O$3*(T239-$T$1)/$T$2+$P$3*(U239-$U$1)/$U$2)/(SUM($L$3:$P$3))</f>
        <v>-0.58096658886912345</v>
      </c>
      <c r="AM239">
        <f>IF(AVERAGE(AG239:AH239)&gt;9,1,0)+IF(AVERAGE(AG239:AH239)&gt;7,1,0)+IF(AG239&gt;7,1,0)+IF(AH239&gt;7,1,0)+IF(AI239&gt;8,1,0)+IF(AI239&gt;6,1,0)</f>
        <v>0</v>
      </c>
      <c r="AN239" s="6">
        <f>MIN(2,IF(OR(Y239="-",X239&lt;5),0,1+IF(Y239&gt;7,1+IF(X239&gt;7,0.25,0),IF(Y239&gt;4,0.5+IF(X239&gt;7,0.25,0),0+IF(X239&gt;7,0.25))))+IF(Z239="-",0,IF(Z239&gt;9,0.5,IF(Z239&gt;7,0.25,0)))+IF(AA239="-",0,IF(AA239&gt;7,1.1,IF(AA239&gt;4,0.6,0)))+IF(OR(AB239="-",V239&lt;5),0,IF(AB239&gt;7,1+IF(V239&gt;7,0.25,0),IF(AB239&gt;4,0.5+IF(V239&gt;7,0.25,0),0)))+IF(AC239="-",0,IF(AC239&gt;7,1.5,IF(AC239&gt;4,1,0)))+IF(AD239="-",0,IF(AD239&gt;9,0.5,IF(AD239&gt;7,0.25,0)))+IF(AE239="-",0,IF(AE239&gt;7,1.25,IF(AE239&gt;4,0.75,0)))+IF(OR(AF239="-",W239&lt;4),0,IF(AF239&gt;7,1+IF(W239&gt;7,0.15,0),IF(AF239&gt;4,0.5+IF(W239&gt;7,0.15,0),0))))</f>
        <v>1.5</v>
      </c>
      <c r="AO239" s="9">
        <f>($AK$3*AK239+$AL$3*AL239+$AM$3*AM239+$AN$3*AN239)+$J$3*VLOOKUP(J239,COND!$A$2:$C$7,2,FALSE)+$K$3*VLOOKUP(K239,COND!$A$2:$C$7,3,FALSE)</f>
        <v>4.471405113132727</v>
      </c>
      <c r="AP239" s="37">
        <f>STANDARDIZE(AO239,AVERAGE($AO$5:$AO$1295),STDEVP($AO$5:$AO$1295))</f>
        <v>-0.86064651030096018</v>
      </c>
      <c r="AQ239" t="str">
        <f>IF(AND(Y239&lt;&gt;"-",X239&gt;1),"C",IF(AA239=MAX(AA239:AC239),"2B",IF(AC239=MAX(AA239:AC239),"SS",IF(OR(AB239=MAX(Z239:AC239),AND(AB239&lt;&gt;"-",AB239&gt;4,V239&gt;5)),"3B",IF(AE239=MAX(AD239:AF239),"CF",IF(AND(AF239=MAX(AD239,AF239),AND(W239&gt;5,AD239&lt;&gt;"-")),"RF",IF(AD239&lt;&gt;"-","LF",IF(Z239&lt;&gt;"-","1B","DH"))))))))</f>
        <v>C</v>
      </c>
      <c r="AR239" t="s">
        <v>35</v>
      </c>
      <c r="AU239" t="str">
        <f>IF(AND($Q239&gt;=6,AVERAGE($S239:$T239)&gt;=6),"Likely",IF(OR($Q239&gt;6,AND($Q239=6,AVERAGE($S239:$T239)&gt;=3),AND($Q239&gt;=5,AVERAGE($S239:$T239)&gt;=5),AVERAGE($Q239,$S239:$T239)&gt;5),"Possible","Unlikely"))</f>
        <v>Unlikely</v>
      </c>
      <c r="AW239" t="str">
        <f>IF(VLOOKUP($B239,'Draft List'!$D$4:$AB$2598,AW$3,FALSE)&lt;&gt;0,VLOOKUP($B239,'Draft List'!$D$4:$AB$2598,AW$3,FALSE),"")</f>
        <v/>
      </c>
      <c r="AX239" t="str">
        <f>IF(VLOOKUP($B239,'Draft List'!$D$4:$AB$2598,AX$3,FALSE)&lt;&gt;0,VLOOKUP($B239,'Draft List'!$D$4:$AB$2598,AX$3,FALSE),"")</f>
        <v/>
      </c>
      <c r="AY239" t="str">
        <f>IF(VLOOKUP($B239,'Draft List'!$D$4:$AB$2598,AY$3,FALSE)&lt;&gt;0,VLOOKUP($B239,'Draft List'!$D$4:$AB$2598,AY$3,FALSE),"")</f>
        <v/>
      </c>
    </row>
    <row r="240" spans="1:51">
      <c r="A240" t="str">
        <f>IF(C240="C","C-",C240)&amp;D240&amp;E240</f>
        <v>C-Jim Reese21</v>
      </c>
      <c r="B240">
        <f>VLOOKUP($A240,draft_listing_batters_stats!$A$1:$B$1324,2,FALSE)</f>
        <v>8025</v>
      </c>
      <c r="C240" s="1" t="s">
        <v>2091</v>
      </c>
      <c r="D240" s="1" t="s">
        <v>1199</v>
      </c>
      <c r="E240" s="1">
        <v>21</v>
      </c>
      <c r="F240" s="1" t="s">
        <v>2038</v>
      </c>
      <c r="G240" s="1" t="s">
        <v>2022</v>
      </c>
      <c r="H240" s="1" t="s">
        <v>2033</v>
      </c>
      <c r="I240" s="1" t="s">
        <v>2033</v>
      </c>
      <c r="J240" s="1" t="s">
        <v>2026</v>
      </c>
      <c r="K240" s="1" t="s">
        <v>2026</v>
      </c>
      <c r="L240" s="1">
        <v>3</v>
      </c>
      <c r="M240" s="1">
        <v>3</v>
      </c>
      <c r="N240" s="1">
        <v>1</v>
      </c>
      <c r="O240" s="1">
        <v>2</v>
      </c>
      <c r="P240" s="1">
        <v>2</v>
      </c>
      <c r="Q240" s="1">
        <v>4</v>
      </c>
      <c r="R240" s="1">
        <v>4</v>
      </c>
      <c r="S240" s="1">
        <v>2</v>
      </c>
      <c r="T240" s="1">
        <v>3</v>
      </c>
      <c r="U240" s="1">
        <v>4</v>
      </c>
      <c r="V240" s="1">
        <v>6</v>
      </c>
      <c r="W240" s="1">
        <v>6</v>
      </c>
      <c r="X240" s="1">
        <v>9</v>
      </c>
      <c r="Y240" s="1">
        <v>6</v>
      </c>
      <c r="Z240" s="1" t="s">
        <v>2027</v>
      </c>
      <c r="AA240" s="1" t="s">
        <v>2027</v>
      </c>
      <c r="AB240" s="1" t="s">
        <v>2027</v>
      </c>
      <c r="AC240" s="1" t="s">
        <v>2027</v>
      </c>
      <c r="AD240" s="1" t="s">
        <v>2027</v>
      </c>
      <c r="AE240" s="1" t="s">
        <v>2027</v>
      </c>
      <c r="AF240" s="1" t="s">
        <v>2027</v>
      </c>
      <c r="AG240" s="1">
        <v>2</v>
      </c>
      <c r="AH240" s="1">
        <v>3</v>
      </c>
      <c r="AI240" s="1">
        <v>3</v>
      </c>
      <c r="AJ240" s="52" t="s">
        <v>2029</v>
      </c>
      <c r="AK240" s="9">
        <f>($L$3*(L240-$Q$1)/$Q$2+$M$3*(M240-$R$1)/$R$2+$N$3*(N240-$S$1)/$S$2+$O$3*(O240-$T$1)/$T$2+$P$3*(P240-$U$1)/$U$2)/(SUM($L$3:$P$3))</f>
        <v>-1.207386028358151</v>
      </c>
      <c r="AL240" s="9">
        <f>($L$3*(Q240-$Q$1)/$Q$2+$M$3*(R240-$R$1)/$R$2+$N$3*(S240-$S$1)/$S$2+$O$3*(T240-$T$1)/$T$2+$P$3*(U240-$U$1)/$U$2)/(SUM($L$3:$P$3))</f>
        <v>-0.58096658886912345</v>
      </c>
      <c r="AM240">
        <f>IF(AVERAGE(AG240:AH240)&gt;9,1,0)+IF(AVERAGE(AG240:AH240)&gt;7,1,0)+IF(AG240&gt;7,1,0)+IF(AH240&gt;7,1,0)+IF(AI240&gt;8,1,0)+IF(AI240&gt;6,1,0)</f>
        <v>0</v>
      </c>
      <c r="AN240" s="6">
        <f>MIN(2,IF(OR(Y240="-",X240&lt;5),0,1+IF(Y240&gt;7,1+IF(X240&gt;7,0.25,0),IF(Y240&gt;4,0.5+IF(X240&gt;7,0.25,0),0+IF(X240&gt;7,0.25))))+IF(Z240="-",0,IF(Z240&gt;9,0.5,IF(Z240&gt;7,0.25,0)))+IF(AA240="-",0,IF(AA240&gt;7,1.1,IF(AA240&gt;4,0.6,0)))+IF(OR(AB240="-",V240&lt;5),0,IF(AB240&gt;7,1+IF(V240&gt;7,0.25,0),IF(AB240&gt;4,0.5+IF(V240&gt;7,0.25,0),0)))+IF(AC240="-",0,IF(AC240&gt;7,1.5,IF(AC240&gt;4,1,0)))+IF(AD240="-",0,IF(AD240&gt;9,0.5,IF(AD240&gt;7,0.25,0)))+IF(AE240="-",0,IF(AE240&gt;7,1.25,IF(AE240&gt;4,0.75,0)))+IF(OR(AF240="-",W240&lt;4),0,IF(AF240&gt;7,1+IF(W240&gt;7,0.15,0),IF(AF240&gt;4,0.5+IF(W240&gt;7,0.15,0),0))))</f>
        <v>1.75</v>
      </c>
      <c r="AO240" s="9">
        <f>($AK$3*AK240+$AL$3*AL240+$AM$3*AM240+$AN$3*AN240)+$J$3*VLOOKUP(J240,COND!$A$2:$C$7,2,FALSE)+$K$3*VLOOKUP(K240,COND!$A$2:$C$7,3,FALSE)</f>
        <v>4.4576623307347036</v>
      </c>
      <c r="AP240" s="37">
        <f>STANDARDIZE(AO240,AVERAGE($AO$5:$AO$1295),STDEVP($AO$5:$AO$1295))</f>
        <v>-0.86255570783254132</v>
      </c>
      <c r="AQ240" t="str">
        <f>IF(AND(Y240&lt;&gt;"-",X240&gt;1),"C",IF(AA240=MAX(AA240:AC240),"2B",IF(AC240=MAX(AA240:AC240),"SS",IF(OR(AB240=MAX(Z240:AC240),AND(AB240&lt;&gt;"-",AB240&gt;4,V240&gt;5)),"3B",IF(AE240=MAX(AD240:AF240),"CF",IF(AND(AF240=MAX(AD240,AF240),AND(W240&gt;5,AD240&lt;&gt;"-")),"RF",IF(AD240&lt;&gt;"-","LF",IF(Z240&lt;&gt;"-","1B","DH"))))))))</f>
        <v>C</v>
      </c>
      <c r="AR240" t="s">
        <v>35</v>
      </c>
      <c r="AU240" t="str">
        <f>IF(AND($Q240&gt;=6,AVERAGE($S240:$T240)&gt;=6),"Likely",IF(OR($Q240&gt;6,AND($Q240=6,AVERAGE($S240:$T240)&gt;=3),AND($Q240&gt;=5,AVERAGE($S240:$T240)&gt;=5),AVERAGE($Q240,$S240:$T240)&gt;5),"Possible","Unlikely"))</f>
        <v>Unlikely</v>
      </c>
      <c r="AW240" t="str">
        <f>IF(VLOOKUP($B240,'Draft List'!$D$4:$AB$2598,AW$3,FALSE)&lt;&gt;0,VLOOKUP($B240,'Draft List'!$D$4:$AB$2598,AW$3,FALSE),"")</f>
        <v/>
      </c>
      <c r="AX240" t="str">
        <f>IF(VLOOKUP($B240,'Draft List'!$D$4:$AB$2598,AX$3,FALSE)&lt;&gt;0,VLOOKUP($B240,'Draft List'!$D$4:$AB$2598,AX$3,FALSE),"")</f>
        <v/>
      </c>
      <c r="AY240" t="str">
        <f>IF(VLOOKUP($B240,'Draft List'!$D$4:$AB$2598,AY$3,FALSE)&lt;&gt;0,VLOOKUP($B240,'Draft List'!$D$4:$AB$2598,AY$3,FALSE),"")</f>
        <v/>
      </c>
    </row>
    <row r="241" spans="1:51">
      <c r="A241" t="str">
        <f>IF(C241="C","C-",C241)&amp;D241&amp;E241</f>
        <v>2BJohn Avery21</v>
      </c>
      <c r="B241">
        <f>VLOOKUP($A241,draft_listing_batters_stats!$A$1:$B$1324,2,FALSE)</f>
        <v>3549</v>
      </c>
      <c r="C241" s="1" t="s">
        <v>2069</v>
      </c>
      <c r="D241" s="1" t="s">
        <v>1449</v>
      </c>
      <c r="E241" s="1">
        <v>21</v>
      </c>
      <c r="F241" s="1" t="s">
        <v>2022</v>
      </c>
      <c r="G241" s="1" t="s">
        <v>2022</v>
      </c>
      <c r="H241" s="1" t="s">
        <v>2033</v>
      </c>
      <c r="I241" s="1" t="s">
        <v>2033</v>
      </c>
      <c r="J241" s="1" t="s">
        <v>2040</v>
      </c>
      <c r="K241" s="1" t="s">
        <v>2030</v>
      </c>
      <c r="L241" s="1">
        <v>3</v>
      </c>
      <c r="M241" s="1">
        <v>4</v>
      </c>
      <c r="N241" s="1">
        <v>1</v>
      </c>
      <c r="O241" s="1">
        <v>2</v>
      </c>
      <c r="P241" s="1">
        <v>2</v>
      </c>
      <c r="Q241" s="1">
        <v>4</v>
      </c>
      <c r="R241" s="1">
        <v>5</v>
      </c>
      <c r="S241" s="1">
        <v>2</v>
      </c>
      <c r="T241" s="1">
        <v>3</v>
      </c>
      <c r="U241" s="1">
        <v>4</v>
      </c>
      <c r="V241" s="1">
        <v>4</v>
      </c>
      <c r="W241" s="1">
        <v>1</v>
      </c>
      <c r="X241" s="1">
        <v>1</v>
      </c>
      <c r="Y241" s="1" t="s">
        <v>2027</v>
      </c>
      <c r="Z241" s="1" t="s">
        <v>2027</v>
      </c>
      <c r="AA241" s="1">
        <v>5</v>
      </c>
      <c r="AB241" s="1" t="s">
        <v>2027</v>
      </c>
      <c r="AC241" s="1" t="s">
        <v>2027</v>
      </c>
      <c r="AD241" s="1" t="s">
        <v>2027</v>
      </c>
      <c r="AE241" s="1" t="s">
        <v>2027</v>
      </c>
      <c r="AF241" s="1" t="s">
        <v>2027</v>
      </c>
      <c r="AG241" s="1">
        <v>6</v>
      </c>
      <c r="AH241" s="1">
        <v>10</v>
      </c>
      <c r="AI241" s="1">
        <v>10</v>
      </c>
      <c r="AJ241" s="52" t="s">
        <v>2029</v>
      </c>
      <c r="AK241" s="9">
        <f>($L$3*(L241-$Q$1)/$Q$2+$M$3*(M241-$R$1)/$R$2+$N$3*(N241-$S$1)/$S$2+$O$3*(O241-$T$1)/$T$2+$P$3*(P241-$U$1)/$U$2)/(SUM($L$3:$P$3))</f>
        <v>-1.1563261487394476</v>
      </c>
      <c r="AL241" s="9">
        <f>($L$3*(Q241-$Q$1)/$Q$2+$M$3*(R241-$R$1)/$R$2+$N$3*(S241-$S$1)/$S$2+$O$3*(T241-$T$1)/$T$2+$P$3*(U241-$U$1)/$U$2)/(SUM($L$3:$P$3))</f>
        <v>-0.52990670925041994</v>
      </c>
      <c r="AM241">
        <f>IF(AVERAGE(AG241:AH241)&gt;9,1,0)+IF(AVERAGE(AG241:AH241)&gt;7,1,0)+IF(AG241&gt;7,1,0)+IF(AH241&gt;7,1,0)+IF(AI241&gt;8,1,0)+IF(AI241&gt;6,1,0)</f>
        <v>4</v>
      </c>
      <c r="AN241" s="6">
        <f>MIN(2,IF(OR(Y241="-",X241&lt;5),0,1+IF(Y241&gt;7,1+IF(X241&gt;7,0.25,0),IF(Y241&gt;4,0.5+IF(X241&gt;7,0.25,0),0+IF(X241&gt;7,0.25))))+IF(Z241="-",0,IF(Z241&gt;9,0.5,IF(Z241&gt;7,0.25,0)))+IF(AA241="-",0,IF(AA241&gt;7,1.1,IF(AA241&gt;4,0.6,0)))+IF(OR(AB241="-",V241&lt;5),0,IF(AB241&gt;7,1+IF(V241&gt;7,0.25,0),IF(AB241&gt;4,0.5+IF(V241&gt;7,0.25,0),0)))+IF(AC241="-",0,IF(AC241&gt;7,1.5,IF(AC241&gt;4,1,0)))+IF(AD241="-",0,IF(AD241&gt;9,0.5,IF(AD241&gt;7,0.25,0)))+IF(AE241="-",0,IF(AE241&gt;7,1.25,IF(AE241&gt;4,0.75,0)))+IF(OR(AF241="-",W241&lt;4),0,IF(AF241&gt;7,1+IF(W241&gt;7,0.15,0),IF(AF241&gt;4,0.5+IF(W241&gt;7,0.15,0),0))))</f>
        <v>0.6</v>
      </c>
      <c r="AO241" s="9">
        <f>($AK$3*AK241+$AL$3*AL241+$AM$3*AM241+$AN$3*AN241)+$J$3*VLOOKUP(J241,COND!$A$2:$C$7,2,FALSE)+$K$3*VLOOKUP(K241,COND!$A$2:$C$7,3,FALSE)</f>
        <v>4.3921535407876826</v>
      </c>
      <c r="AP241" s="37">
        <f>STANDARDIZE(AO241,AVERAGE($AO$5:$AO$1295),STDEVP($AO$5:$AO$1295))</f>
        <v>-0.87165642822826772</v>
      </c>
      <c r="AQ241" t="str">
        <f>IF(AND(Y241&lt;&gt;"-",X241&gt;1),"C",IF(AA241=MAX(AA241:AC241),"2B",IF(AC241=MAX(AA241:AC241),"SS",IF(OR(AB241=MAX(Z241:AC241),AND(AB241&lt;&gt;"-",AB241&gt;4,V241&gt;5)),"3B",IF(AE241=MAX(AD241:AF241),"CF",IF(AND(AF241=MAX(AD241,AF241),AND(W241&gt;5,AD241&lt;&gt;"-")),"RF",IF(AD241&lt;&gt;"-","LF",IF(Z241&lt;&gt;"-","1B","DH"))))))))</f>
        <v>2B</v>
      </c>
      <c r="AR241" t="s">
        <v>35</v>
      </c>
      <c r="AU241" t="str">
        <f>IF(AND($Q241&gt;=6,AVERAGE($S241:$T241)&gt;=6),"Likely",IF(OR($Q241&gt;6,AND($Q241=6,AVERAGE($S241:$T241)&gt;=3),AND($Q241&gt;=5,AVERAGE($S241:$T241)&gt;=5),AVERAGE($Q241,$S241:$T241)&gt;5),"Possible","Unlikely"))</f>
        <v>Unlikely</v>
      </c>
      <c r="AW241" t="str">
        <f>IF(VLOOKUP($B241,'Draft List'!$D$4:$AB$2598,AW$3,FALSE)&lt;&gt;0,VLOOKUP($B241,'Draft List'!$D$4:$AB$2598,AW$3,FALSE),"")</f>
        <v/>
      </c>
      <c r="AX241" t="str">
        <f>IF(VLOOKUP($B241,'Draft List'!$D$4:$AB$2598,AX$3,FALSE)&lt;&gt;0,VLOOKUP($B241,'Draft List'!$D$4:$AB$2598,AX$3,FALSE),"")</f>
        <v/>
      </c>
      <c r="AY241" t="str">
        <f>IF(VLOOKUP($B241,'Draft List'!$D$4:$AB$2598,AY$3,FALSE)&lt;&gt;0,VLOOKUP($B241,'Draft List'!$D$4:$AB$2598,AY$3,FALSE),"")</f>
        <v/>
      </c>
    </row>
    <row r="242" spans="1:51">
      <c r="A242" t="str">
        <f>IF(C242="C","C-",C242)&amp;D242&amp;E242</f>
        <v>CFJared Ward21</v>
      </c>
      <c r="B242">
        <f>VLOOKUP($A242,draft_listing_batters_stats!$A$1:$B$1324,2,FALSE)</f>
        <v>2987</v>
      </c>
      <c r="C242" s="1" t="s">
        <v>2079</v>
      </c>
      <c r="D242" s="1" t="s">
        <v>1248</v>
      </c>
      <c r="E242" s="1">
        <v>21</v>
      </c>
      <c r="F242" s="1" t="s">
        <v>2038</v>
      </c>
      <c r="G242" s="1" t="s">
        <v>2022</v>
      </c>
      <c r="H242" s="1" t="s">
        <v>2033</v>
      </c>
      <c r="I242" s="1" t="s">
        <v>2033</v>
      </c>
      <c r="J242" s="1" t="s">
        <v>2040</v>
      </c>
      <c r="K242" s="1" t="s">
        <v>2025</v>
      </c>
      <c r="L242" s="1">
        <v>3</v>
      </c>
      <c r="M242" s="1">
        <v>4</v>
      </c>
      <c r="N242" s="1">
        <v>1</v>
      </c>
      <c r="O242" s="1">
        <v>1</v>
      </c>
      <c r="P242" s="1">
        <v>2</v>
      </c>
      <c r="Q242" s="1">
        <v>4</v>
      </c>
      <c r="R242" s="1">
        <v>5</v>
      </c>
      <c r="S242" s="1">
        <v>2</v>
      </c>
      <c r="T242" s="1">
        <v>3</v>
      </c>
      <c r="U242" s="1">
        <v>4</v>
      </c>
      <c r="V242" s="1">
        <v>6</v>
      </c>
      <c r="W242" s="1">
        <v>7</v>
      </c>
      <c r="X242" s="1">
        <v>1</v>
      </c>
      <c r="Y242" s="1" t="s">
        <v>2027</v>
      </c>
      <c r="Z242" s="1" t="s">
        <v>2027</v>
      </c>
      <c r="AA242" s="1" t="s">
        <v>2027</v>
      </c>
      <c r="AB242" s="1" t="s">
        <v>2027</v>
      </c>
      <c r="AC242" s="1" t="s">
        <v>2027</v>
      </c>
      <c r="AD242" s="1">
        <v>5</v>
      </c>
      <c r="AE242" s="1">
        <v>4</v>
      </c>
      <c r="AF242" s="1">
        <v>5</v>
      </c>
      <c r="AG242" s="1">
        <v>8</v>
      </c>
      <c r="AH242" s="1">
        <v>9</v>
      </c>
      <c r="AI242" s="1">
        <v>10</v>
      </c>
      <c r="AJ242" s="52" t="s">
        <v>2029</v>
      </c>
      <c r="AK242" s="9">
        <f>($L$3*(L242-$Q$1)/$Q$2+$M$3*(M242-$R$1)/$R$2+$N$3*(N242-$S$1)/$S$2+$O$3*(O242-$T$1)/$T$2+$P$3*(P242-$U$1)/$U$2)/(SUM($L$3:$P$3))</f>
        <v>-1.2460356987490286</v>
      </c>
      <c r="AL242" s="9">
        <f>($L$3*(Q242-$Q$1)/$Q$2+$M$3*(R242-$R$1)/$R$2+$N$3*(S242-$S$1)/$S$2+$O$3*(T242-$T$1)/$T$2+$P$3*(U242-$U$1)/$U$2)/(SUM($L$3:$P$3))</f>
        <v>-0.52990670925041994</v>
      </c>
      <c r="AM242">
        <f>IF(AVERAGE(AG242:AH242)&gt;9,1,0)+IF(AVERAGE(AG242:AH242)&gt;7,1,0)+IF(AG242&gt;7,1,0)+IF(AH242&gt;7,1,0)+IF(AI242&gt;8,1,0)+IF(AI242&gt;6,1,0)</f>
        <v>5</v>
      </c>
      <c r="AN242" s="6">
        <f>MIN(2,IF(OR(Y242="-",X242&lt;5),0,1+IF(Y242&gt;7,1+IF(X242&gt;7,0.25,0),IF(Y242&gt;4,0.5+IF(X242&gt;7,0.25,0),0+IF(X242&gt;7,0.25))))+IF(Z242="-",0,IF(Z242&gt;9,0.5,IF(Z242&gt;7,0.25,0)))+IF(AA242="-",0,IF(AA242&gt;7,1.1,IF(AA242&gt;4,0.6,0)))+IF(OR(AB242="-",V242&lt;5),0,IF(AB242&gt;7,1+IF(V242&gt;7,0.25,0),IF(AB242&gt;4,0.5+IF(V242&gt;7,0.25,0),0)))+IF(AC242="-",0,IF(AC242&gt;7,1.5,IF(AC242&gt;4,1,0)))+IF(AD242="-",0,IF(AD242&gt;9,0.5,IF(AD242&gt;7,0.25,0)))+IF(AE242="-",0,IF(AE242&gt;7,1.25,IF(AE242&gt;4,0.75,0)))+IF(OR(AF242="-",W242&lt;4),0,IF(AF242&gt;7,1+IF(W242&gt;7,0.15,0),IF(AF242&gt;4,0.5+IF(W242&gt;7,0.15,0),0))))</f>
        <v>0.5</v>
      </c>
      <c r="AO242" s="9">
        <f>($AK$3*AK242+$AL$3*AL242+$AM$3*AM242+$AN$3*AN242)+$J$3*VLOOKUP(J242,COND!$A$2:$C$7,2,FALSE)+$K$3*VLOOKUP(K242,COND!$A$2:$C$7,3,FALSE)</f>
        <v>4.3498492524533905</v>
      </c>
      <c r="AP242" s="37">
        <f>STANDARDIZE(AO242,AVERAGE($AO$5:$AO$1295),STDEVP($AO$5:$AO$1295))</f>
        <v>-0.87753349449650353</v>
      </c>
      <c r="AQ242" t="str">
        <f>IF(AND(Y242&lt;&gt;"-",X242&gt;1),"C",IF(AA242=MAX(AA242:AC242),"2B",IF(AC242=MAX(AA242:AC242),"SS",IF(OR(AB242=MAX(Z242:AC242),AND(AB242&lt;&gt;"-",AB242&gt;4,V242&gt;5)),"3B",IF(AE242=MAX(AD242:AF242),"CF",IF(AND(AF242=MAX(AD242,AF242),AND(W242&gt;5,AD242&lt;&gt;"-")),"RF",IF(AD242&lt;&gt;"-","LF",IF(Z242&lt;&gt;"-","1B","DH"))))))))</f>
        <v>RF</v>
      </c>
      <c r="AR242" t="s">
        <v>35</v>
      </c>
      <c r="AU242" t="str">
        <f>IF(AND($Q242&gt;=6,AVERAGE($S242:$T242)&gt;=6),"Likely",IF(OR($Q242&gt;6,AND($Q242=6,AVERAGE($S242:$T242)&gt;=3),AND($Q242&gt;=5,AVERAGE($S242:$T242)&gt;=5),AVERAGE($Q242,$S242:$T242)&gt;5),"Possible","Unlikely"))</f>
        <v>Unlikely</v>
      </c>
      <c r="AW242" t="str">
        <f>IF(VLOOKUP($B242,'Draft List'!$D$4:$AB$2598,AW$3,FALSE)&lt;&gt;0,VLOOKUP($B242,'Draft List'!$D$4:$AB$2598,AW$3,FALSE),"")</f>
        <v/>
      </c>
      <c r="AX242" t="str">
        <f>IF(VLOOKUP($B242,'Draft List'!$D$4:$AB$2598,AX$3,FALSE)&lt;&gt;0,VLOOKUP($B242,'Draft List'!$D$4:$AB$2598,AX$3,FALSE),"")</f>
        <v/>
      </c>
      <c r="AY242" t="str">
        <f>IF(VLOOKUP($B242,'Draft List'!$D$4:$AB$2598,AY$3,FALSE)&lt;&gt;0,VLOOKUP($B242,'Draft List'!$D$4:$AB$2598,AY$3,FALSE),"")</f>
        <v/>
      </c>
    </row>
    <row r="243" spans="1:51">
      <c r="A243" t="str">
        <f>IF(C243="C","C-",C243)&amp;D243&amp;E243</f>
        <v>LFArmando Valdés21</v>
      </c>
      <c r="B243" t="e">
        <f>VLOOKUP($A243,draft_listing_batters_stats!$A$1:$B$1324,2,FALSE)</f>
        <v>#N/A</v>
      </c>
      <c r="C243" s="1" t="s">
        <v>2035</v>
      </c>
      <c r="D243" s="1" t="s">
        <v>1236</v>
      </c>
      <c r="E243" s="1">
        <v>21</v>
      </c>
      <c r="F243" s="1" t="s">
        <v>2022</v>
      </c>
      <c r="G243" s="1" t="s">
        <v>2022</v>
      </c>
      <c r="H243" s="1" t="s">
        <v>2033</v>
      </c>
      <c r="I243" s="1" t="s">
        <v>2033</v>
      </c>
      <c r="J243" s="1" t="s">
        <v>2040</v>
      </c>
      <c r="K243" s="1" t="s">
        <v>2040</v>
      </c>
      <c r="L243" s="1">
        <v>2</v>
      </c>
      <c r="M243" s="1">
        <v>3</v>
      </c>
      <c r="N243" s="1">
        <v>2</v>
      </c>
      <c r="O243" s="1">
        <v>3</v>
      </c>
      <c r="P243" s="1">
        <v>1</v>
      </c>
      <c r="Q243" s="1">
        <v>4</v>
      </c>
      <c r="R243" s="1">
        <v>4</v>
      </c>
      <c r="S243" s="1">
        <v>2</v>
      </c>
      <c r="T243" s="1">
        <v>4</v>
      </c>
      <c r="U243" s="1">
        <v>4</v>
      </c>
      <c r="V243" s="1">
        <v>1</v>
      </c>
      <c r="W243" s="1">
        <v>9</v>
      </c>
      <c r="X243" s="1">
        <v>1</v>
      </c>
      <c r="Y243" s="1" t="s">
        <v>2027</v>
      </c>
      <c r="Z243" s="1" t="s">
        <v>2027</v>
      </c>
      <c r="AA243" s="1" t="s">
        <v>2027</v>
      </c>
      <c r="AB243" s="1" t="s">
        <v>2027</v>
      </c>
      <c r="AC243" s="1" t="s">
        <v>2027</v>
      </c>
      <c r="AD243" s="1">
        <v>4</v>
      </c>
      <c r="AE243" s="1">
        <v>5</v>
      </c>
      <c r="AF243" s="1">
        <v>4</v>
      </c>
      <c r="AG243" s="1">
        <v>8</v>
      </c>
      <c r="AH243" s="1">
        <v>9</v>
      </c>
      <c r="AI243" s="1">
        <v>6</v>
      </c>
      <c r="AJ243" s="52" t="s">
        <v>2029</v>
      </c>
      <c r="AK243" s="9">
        <f>($L$3*(L243-$Q$1)/$Q$2+$M$3*(M243-$R$1)/$R$2+$N$3*(N243-$S$1)/$S$2+$O$3*(O243-$T$1)/$T$2+$P$3*(P243-$U$1)/$U$2)/(SUM($L$3:$P$3))</f>
        <v>-1.3971871603444268</v>
      </c>
      <c r="AL243" s="9">
        <f>($L$3*(Q243-$Q$1)/$Q$2+$M$3*(R243-$R$1)/$R$2+$N$3*(S243-$S$1)/$S$2+$O$3*(T243-$T$1)/$T$2+$P$3*(U243-$U$1)/$U$2)/(SUM($L$3:$P$3))</f>
        <v>-0.49125703885954242</v>
      </c>
      <c r="AM243">
        <f>IF(AVERAGE(AG243:AH243)&gt;9,1,0)+IF(AVERAGE(AG243:AH243)&gt;7,1,0)+IF(AG243&gt;7,1,0)+IF(AH243&gt;7,1,0)+IF(AI243&gt;8,1,0)+IF(AI243&gt;6,1,0)</f>
        <v>3</v>
      </c>
      <c r="AN243" s="6">
        <f>MIN(2,IF(OR(Y243="-",X243&lt;5),0,1+IF(Y243&gt;7,1+IF(X243&gt;7,0.25,0),IF(Y243&gt;4,0.5+IF(X243&gt;7,0.25,0),0+IF(X243&gt;7,0.25))))+IF(Z243="-",0,IF(Z243&gt;9,0.5,IF(Z243&gt;7,0.25,0)))+IF(AA243="-",0,IF(AA243&gt;7,1.1,IF(AA243&gt;4,0.6,0)))+IF(OR(AB243="-",V243&lt;5),0,IF(AB243&gt;7,1+IF(V243&gt;7,0.25,0),IF(AB243&gt;4,0.5+IF(V243&gt;7,0.25,0),0)))+IF(AC243="-",0,IF(AC243&gt;7,1.5,IF(AC243&gt;4,1,0)))+IF(AD243="-",0,IF(AD243&gt;9,0.5,IF(AD243&gt;7,0.25,0)))+IF(AE243="-",0,IF(AE243&gt;7,1.25,IF(AE243&gt;4,0.75,0)))+IF(OR(AF243="-",W243&lt;4),0,IF(AF243&gt;7,1+IF(W243&gt;7,0.15,0),IF(AF243&gt;4,0.5+IF(W243&gt;7,0.15,0),0))))</f>
        <v>0.75</v>
      </c>
      <c r="AO243" s="9">
        <f>($AK$3*AK243+$AL$3*AL243+$AM$3*AM243+$AN$3*AN243)+$J$3*VLOOKUP(J243,COND!$A$2:$C$7,2,FALSE)+$K$3*VLOOKUP(K243,COND!$A$2:$C$7,3,FALSE)</f>
        <v>4.2151968176510479</v>
      </c>
      <c r="AP243" s="37">
        <f>STANDARDIZE(AO243,AVERAGE($AO$5:$AO$1295),STDEVP($AO$5:$AO$1295))</f>
        <v>-0.89623990260953601</v>
      </c>
      <c r="AQ243" t="str">
        <f>IF(AND(Y243&lt;&gt;"-",X243&gt;1),"C",IF(AA243=MAX(AA243:AC243),"2B",IF(AC243=MAX(AA243:AC243),"SS",IF(OR(AB243=MAX(Z243:AC243),AND(AB243&lt;&gt;"-",AB243&gt;4,V243&gt;5)),"3B",IF(AE243=MAX(AD243:AF243),"CF",IF(AND(AF243=MAX(AD243,AF243),AND(W243&gt;5,AD243&lt;&gt;"-")),"RF",IF(AD243&lt;&gt;"-","LF",IF(Z243&lt;&gt;"-","1B","DH"))))))))</f>
        <v>CF</v>
      </c>
      <c r="AR243" t="s">
        <v>35</v>
      </c>
      <c r="AU243" t="str">
        <f>IF(AND($Q243&gt;=6,AVERAGE($S243:$T243)&gt;=6),"Likely",IF(OR($Q243&gt;6,AND($Q243=6,AVERAGE($S243:$T243)&gt;=3),AND($Q243&gt;=5,AVERAGE($S243:$T243)&gt;=5),AVERAGE($Q243,$S243:$T243)&gt;5),"Possible","Unlikely"))</f>
        <v>Unlikely</v>
      </c>
      <c r="AW243" t="e">
        <f>IF(VLOOKUP($B243,'Draft List'!$D$4:$AB$2598,AW$3,FALSE)&lt;&gt;0,VLOOKUP($B243,'Draft List'!$D$4:$AB$2598,AW$3,FALSE),"")</f>
        <v>#N/A</v>
      </c>
      <c r="AX243" t="e">
        <f>IF(VLOOKUP($B243,'Draft List'!$D$4:$AB$2598,AX$3,FALSE)&lt;&gt;0,VLOOKUP($B243,'Draft List'!$D$4:$AB$2598,AX$3,FALSE),"")</f>
        <v>#N/A</v>
      </c>
      <c r="AY243" t="e">
        <f>IF(VLOOKUP($B243,'Draft List'!$D$4:$AB$2598,AY$3,FALSE)&lt;&gt;0,VLOOKUP($B243,'Draft List'!$D$4:$AB$2598,AY$3,FALSE),"")</f>
        <v>#N/A</v>
      </c>
    </row>
    <row r="244" spans="1:51">
      <c r="A244" t="str">
        <f>IF(C244="C","C-",C244)&amp;D244&amp;E244</f>
        <v>LFMario Gonzáles21</v>
      </c>
      <c r="B244" t="e">
        <f>VLOOKUP($A244,draft_listing_batters_stats!$A$1:$B$1324,2,FALSE)</f>
        <v>#N/A</v>
      </c>
      <c r="C244" s="1" t="s">
        <v>2035</v>
      </c>
      <c r="D244" s="1" t="s">
        <v>1304</v>
      </c>
      <c r="E244" s="1">
        <v>21</v>
      </c>
      <c r="F244" s="1" t="s">
        <v>2038</v>
      </c>
      <c r="G244" s="1" t="s">
        <v>2038</v>
      </c>
      <c r="H244" s="1" t="s">
        <v>2033</v>
      </c>
      <c r="I244" s="1" t="s">
        <v>2033</v>
      </c>
      <c r="J244" s="1" t="s">
        <v>2025</v>
      </c>
      <c r="K244" s="1" t="s">
        <v>2025</v>
      </c>
      <c r="L244" s="1">
        <v>3</v>
      </c>
      <c r="M244" s="1">
        <v>6</v>
      </c>
      <c r="N244" s="1">
        <v>1</v>
      </c>
      <c r="O244" s="1">
        <v>2</v>
      </c>
      <c r="P244" s="1">
        <v>2</v>
      </c>
      <c r="Q244" s="1">
        <v>4</v>
      </c>
      <c r="R244" s="1">
        <v>6</v>
      </c>
      <c r="S244" s="1">
        <v>1</v>
      </c>
      <c r="T244" s="1">
        <v>3</v>
      </c>
      <c r="U244" s="1">
        <v>4</v>
      </c>
      <c r="V244" s="1">
        <v>1</v>
      </c>
      <c r="W244" s="1">
        <v>6</v>
      </c>
      <c r="X244" s="1">
        <v>1</v>
      </c>
      <c r="Y244" s="1" t="s">
        <v>2027</v>
      </c>
      <c r="Z244" s="1" t="s">
        <v>2027</v>
      </c>
      <c r="AA244" s="1" t="s">
        <v>2027</v>
      </c>
      <c r="AB244" s="1" t="s">
        <v>2027</v>
      </c>
      <c r="AC244" s="1" t="s">
        <v>2027</v>
      </c>
      <c r="AD244" s="1">
        <v>5</v>
      </c>
      <c r="AE244" s="1">
        <v>4</v>
      </c>
      <c r="AF244" s="1">
        <v>5</v>
      </c>
      <c r="AG244" s="1">
        <v>7</v>
      </c>
      <c r="AH244" s="1">
        <v>10</v>
      </c>
      <c r="AI244" s="1">
        <v>7</v>
      </c>
      <c r="AJ244" s="52" t="s">
        <v>2029</v>
      </c>
      <c r="AK244" s="9">
        <f>($L$3*(L244-$Q$1)/$Q$2+$M$3*(M244-$R$1)/$R$2+$N$3*(N244-$S$1)/$S$2+$O$3*(O244-$T$1)/$T$2+$P$3*(P244-$U$1)/$U$2)/(SUM($L$3:$P$3))</f>
        <v>-1.0542063895020406</v>
      </c>
      <c r="AL244" s="9">
        <f>($L$3*(Q244-$Q$1)/$Q$2+$M$3*(R244-$R$1)/$R$2+$N$3*(S244-$S$1)/$S$2+$O$3*(T244-$T$1)/$T$2+$P$3*(U244-$U$1)/$U$2)/(SUM($L$3:$P$3))</f>
        <v>-0.56190832365561794</v>
      </c>
      <c r="AM244">
        <f>IF(AVERAGE(AG244:AH244)&gt;9,1,0)+IF(AVERAGE(AG244:AH244)&gt;7,1,0)+IF(AG244&gt;7,1,0)+IF(AH244&gt;7,1,0)+IF(AI244&gt;8,1,0)+IF(AI244&gt;6,1,0)</f>
        <v>3</v>
      </c>
      <c r="AN244" s="6">
        <f>MIN(2,IF(OR(Y244="-",X244&lt;5),0,1+IF(Y244&gt;7,1+IF(X244&gt;7,0.25,0),IF(Y244&gt;4,0.5+IF(X244&gt;7,0.25,0),0+IF(X244&gt;7,0.25))))+IF(Z244="-",0,IF(Z244&gt;9,0.5,IF(Z244&gt;7,0.25,0)))+IF(AA244="-",0,IF(AA244&gt;7,1.1,IF(AA244&gt;4,0.6,0)))+IF(OR(AB244="-",V244&lt;5),0,IF(AB244&gt;7,1+IF(V244&gt;7,0.25,0),IF(AB244&gt;4,0.5+IF(V244&gt;7,0.25,0),0)))+IF(AC244="-",0,IF(AC244&gt;7,1.5,IF(AC244&gt;4,1,0)))+IF(AD244="-",0,IF(AD244&gt;9,0.5,IF(AD244&gt;7,0.25,0)))+IF(AE244="-",0,IF(AE244&gt;7,1.25,IF(AE244&gt;4,0.75,0)))+IF(OR(AF244="-",W244&lt;4),0,IF(AF244&gt;7,1+IF(W244&gt;7,0.15,0),IF(AF244&gt;4,0.5+IF(W244&gt;7,0.15,0),0))))</f>
        <v>0.5</v>
      </c>
      <c r="AO244" s="9">
        <f>($AK$3*AK244+$AL$3*AL244+$AM$3*AM244+$AN$3*AN244)+$J$3*VLOOKUP(J244,COND!$A$2:$C$7,2,FALSE)+$K$3*VLOOKUP(K244,COND!$A$2:$C$7,3,FALSE)</f>
        <v>4.1516794771823804</v>
      </c>
      <c r="AP244" s="37">
        <f>STANDARDIZE(AO244,AVERAGE($AO$5:$AO$1295),STDEVP($AO$5:$AO$1295))</f>
        <v>-0.90506396356918717</v>
      </c>
      <c r="AQ244" t="str">
        <f>IF(AND(Y244&lt;&gt;"-",X244&gt;1),"C",IF(AA244=MAX(AA244:AC244),"2B",IF(AC244=MAX(AA244:AC244),"SS",IF(OR(AB244=MAX(Z244:AC244),AND(AB244&lt;&gt;"-",AB244&gt;4,V244&gt;5)),"3B",IF(AE244=MAX(AD244:AF244),"CF",IF(AND(AF244=MAX(AD244,AF244),AND(W244&gt;5,AD244&lt;&gt;"-")),"RF",IF(AD244&lt;&gt;"-","LF",IF(Z244&lt;&gt;"-","1B","DH"))))))))</f>
        <v>RF</v>
      </c>
      <c r="AR244" t="s">
        <v>35</v>
      </c>
      <c r="AU244" t="str">
        <f>IF(AND($Q244&gt;=6,AVERAGE($S244:$T244)&gt;=6),"Likely",IF(OR($Q244&gt;6,AND($Q244=6,AVERAGE($S244:$T244)&gt;=3),AND($Q244&gt;=5,AVERAGE($S244:$T244)&gt;=5),AVERAGE($Q244,$S244:$T244)&gt;5),"Possible","Unlikely"))</f>
        <v>Unlikely</v>
      </c>
      <c r="AW244" t="e">
        <f>IF(VLOOKUP($B244,'Draft List'!$D$4:$AB$2598,AW$3,FALSE)&lt;&gt;0,VLOOKUP($B244,'Draft List'!$D$4:$AB$2598,AW$3,FALSE),"")</f>
        <v>#N/A</v>
      </c>
      <c r="AX244" t="e">
        <f>IF(VLOOKUP($B244,'Draft List'!$D$4:$AB$2598,AX$3,FALSE)&lt;&gt;0,VLOOKUP($B244,'Draft List'!$D$4:$AB$2598,AX$3,FALSE),"")</f>
        <v>#N/A</v>
      </c>
      <c r="AY244" t="e">
        <f>IF(VLOOKUP($B244,'Draft List'!$D$4:$AB$2598,AY$3,FALSE)&lt;&gt;0,VLOOKUP($B244,'Draft List'!$D$4:$AB$2598,AY$3,FALSE),"")</f>
        <v>#N/A</v>
      </c>
    </row>
    <row r="245" spans="1:51">
      <c r="A245" t="str">
        <f>IF(C245="C","C-",C245)&amp;D245&amp;E245</f>
        <v>RFChris Nicholas21</v>
      </c>
      <c r="B245">
        <f>VLOOKUP($A245,draft_listing_batters_stats!$A$1:$B$1324,2,FALSE)</f>
        <v>6219</v>
      </c>
      <c r="C245" s="1" t="s">
        <v>2057</v>
      </c>
      <c r="D245" s="1" t="s">
        <v>1384</v>
      </c>
      <c r="E245" s="1">
        <v>21</v>
      </c>
      <c r="F245" s="1" t="s">
        <v>2038</v>
      </c>
      <c r="G245" s="1" t="s">
        <v>2038</v>
      </c>
      <c r="H245" s="1" t="s">
        <v>2033</v>
      </c>
      <c r="I245" s="1" t="s">
        <v>2033</v>
      </c>
      <c r="J245" s="1" t="s">
        <v>2030</v>
      </c>
      <c r="K245" s="1" t="s">
        <v>2025</v>
      </c>
      <c r="L245" s="1">
        <v>4</v>
      </c>
      <c r="M245" s="1">
        <v>6</v>
      </c>
      <c r="N245" s="1">
        <v>1</v>
      </c>
      <c r="O245" s="1">
        <v>2</v>
      </c>
      <c r="P245" s="1">
        <v>2</v>
      </c>
      <c r="Q245" s="1">
        <v>4</v>
      </c>
      <c r="R245" s="1">
        <v>6</v>
      </c>
      <c r="S245" s="1">
        <v>1</v>
      </c>
      <c r="T245" s="1">
        <v>3</v>
      </c>
      <c r="U245" s="1">
        <v>4</v>
      </c>
      <c r="V245" s="1">
        <v>1</v>
      </c>
      <c r="W245" s="1">
        <v>4</v>
      </c>
      <c r="X245" s="1">
        <v>1</v>
      </c>
      <c r="Y245" s="1" t="s">
        <v>2027</v>
      </c>
      <c r="Z245" s="1" t="s">
        <v>2027</v>
      </c>
      <c r="AA245" s="1" t="s">
        <v>2027</v>
      </c>
      <c r="AB245" s="1" t="s">
        <v>2027</v>
      </c>
      <c r="AC245" s="1" t="s">
        <v>2027</v>
      </c>
      <c r="AD245" s="1">
        <v>3</v>
      </c>
      <c r="AE245" s="1" t="s">
        <v>2027</v>
      </c>
      <c r="AF245" s="1">
        <v>4</v>
      </c>
      <c r="AG245" s="1">
        <v>8</v>
      </c>
      <c r="AH245" s="1">
        <v>10</v>
      </c>
      <c r="AI245" s="1">
        <v>10</v>
      </c>
      <c r="AJ245" s="52" t="s">
        <v>2029</v>
      </c>
      <c r="AK245" s="9">
        <f>($L$3*(L245-$Q$1)/$Q$2+$M$3*(M245-$R$1)/$R$2+$N$3*(N245-$S$1)/$S$2+$O$3*(O245-$T$1)/$T$2+$P$3*(P245-$U$1)/$U$2)/(SUM($L$3:$P$3))</f>
        <v>-0.7316505532993659</v>
      </c>
      <c r="AL245" s="9">
        <f>($L$3*(Q245-$Q$1)/$Q$2+$M$3*(R245-$R$1)/$R$2+$N$3*(S245-$S$1)/$S$2+$O$3*(T245-$T$1)/$T$2+$P$3*(U245-$U$1)/$U$2)/(SUM($L$3:$P$3))</f>
        <v>-0.56190832365561794</v>
      </c>
      <c r="AM245">
        <f>IF(AVERAGE(AG245:AH245)&gt;9,1,0)+IF(AVERAGE(AG245:AH245)&gt;7,1,0)+IF(AG245&gt;7,1,0)+IF(AH245&gt;7,1,0)+IF(AI245&gt;8,1,0)+IF(AI245&gt;6,1,0)</f>
        <v>5</v>
      </c>
      <c r="AN245" s="6">
        <f>MIN(2,IF(OR(Y245="-",X245&lt;5),0,1+IF(Y245&gt;7,1+IF(X245&gt;7,0.25,0),IF(Y245&gt;4,0.5+IF(X245&gt;7,0.25,0),0+IF(X245&gt;7,0.25))))+IF(Z245="-",0,IF(Z245&gt;9,0.5,IF(Z245&gt;7,0.25,0)))+IF(AA245="-",0,IF(AA245&gt;7,1.1,IF(AA245&gt;4,0.6,0)))+IF(OR(AB245="-",V245&lt;5),0,IF(AB245&gt;7,1+IF(V245&gt;7,0.25,0),IF(AB245&gt;4,0.5+IF(V245&gt;7,0.25,0),0)))+IF(AC245="-",0,IF(AC245&gt;7,1.5,IF(AC245&gt;4,1,0)))+IF(AD245="-",0,IF(AD245&gt;9,0.5,IF(AD245&gt;7,0.25,0)))+IF(AE245="-",0,IF(AE245&gt;7,1.25,IF(AE245&gt;4,0.75,0)))+IF(OR(AF245="-",W245&lt;4),0,IF(AF245&gt;7,1+IF(W245&gt;7,0.15,0),IF(AF245&gt;4,0.5+IF(W245&gt;7,0.15,0),0))))</f>
        <v>0</v>
      </c>
      <c r="AO245" s="9">
        <f>($AK$3*AK245+$AL$3*AL245+$AM$3*AM245+$AN$3*AN245)+$J$3*VLOOKUP(J245,COND!$A$2:$C$7,2,FALSE)+$K$3*VLOOKUP(K245,COND!$A$2:$C$7,3,FALSE)</f>
        <v>4.1172683941359809</v>
      </c>
      <c r="AP245" s="37">
        <f>STANDARDIZE(AO245,AVERAGE($AO$5:$AO$1295),STDEVP($AO$5:$AO$1295))</f>
        <v>-0.90984447692583237</v>
      </c>
      <c r="AQ245" t="str">
        <f>IF(AND(Y245&lt;&gt;"-",X245&gt;1),"C",IF(AA245=MAX(AA245:AC245),"2B",IF(AC245=MAX(AA245:AC245),"SS",IF(OR(AB245=MAX(Z245:AC245),AND(AB245&lt;&gt;"-",AB245&gt;4,V245&gt;5)),"3B",IF(AE245=MAX(AD245:AF245),"CF",IF(AND(AF245=MAX(AD245,AF245),AND(W245&gt;5,AD245&lt;&gt;"-")),"RF",IF(AD245&lt;&gt;"-","LF",IF(Z245&lt;&gt;"-","1B","DH"))))))))</f>
        <v>LF</v>
      </c>
      <c r="AR245" t="s">
        <v>35</v>
      </c>
      <c r="AU245" t="str">
        <f>IF(AND($Q245&gt;=6,AVERAGE($S245:$T245)&gt;=6),"Likely",IF(OR($Q245&gt;6,AND($Q245=6,AVERAGE($S245:$T245)&gt;=3),AND($Q245&gt;=5,AVERAGE($S245:$T245)&gt;=5),AVERAGE($Q245,$S245:$T245)&gt;5),"Possible","Unlikely"))</f>
        <v>Unlikely</v>
      </c>
      <c r="AW245" t="str">
        <f>IF(VLOOKUP($B245,'Draft List'!$D$4:$AB$2598,AW$3,FALSE)&lt;&gt;0,VLOOKUP($B245,'Draft List'!$D$4:$AB$2598,AW$3,FALSE),"")</f>
        <v/>
      </c>
      <c r="AX245" t="str">
        <f>IF(VLOOKUP($B245,'Draft List'!$D$4:$AB$2598,AX$3,FALSE)&lt;&gt;0,VLOOKUP($B245,'Draft List'!$D$4:$AB$2598,AX$3,FALSE),"")</f>
        <v/>
      </c>
      <c r="AY245" t="str">
        <f>IF(VLOOKUP($B245,'Draft List'!$D$4:$AB$2598,AY$3,FALSE)&lt;&gt;0,VLOOKUP($B245,'Draft List'!$D$4:$AB$2598,AY$3,FALSE),"")</f>
        <v/>
      </c>
    </row>
    <row r="246" spans="1:51">
      <c r="A246" t="str">
        <f>IF(C246="C","C-",C246)&amp;D246&amp;E246</f>
        <v>SSBryan Buckley18</v>
      </c>
      <c r="B246">
        <f>VLOOKUP($A246,draft_listing_batters_stats!$A$1:$B$1324,2,FALSE)</f>
        <v>13778</v>
      </c>
      <c r="C246" s="1" t="s">
        <v>2074</v>
      </c>
      <c r="D246" s="1" t="s">
        <v>1465</v>
      </c>
      <c r="E246" s="1">
        <v>18</v>
      </c>
      <c r="F246" s="1" t="s">
        <v>2038</v>
      </c>
      <c r="G246" s="1" t="s">
        <v>2022</v>
      </c>
      <c r="H246" s="1" t="s">
        <v>2033</v>
      </c>
      <c r="I246" s="1" t="s">
        <v>2033</v>
      </c>
      <c r="J246" s="1" t="s">
        <v>2040</v>
      </c>
      <c r="K246" s="1" t="s">
        <v>2030</v>
      </c>
      <c r="L246" s="1">
        <v>1</v>
      </c>
      <c r="M246" s="1">
        <v>3</v>
      </c>
      <c r="N246" s="1">
        <v>1</v>
      </c>
      <c r="O246" s="1">
        <v>1</v>
      </c>
      <c r="P246" s="1">
        <v>1</v>
      </c>
      <c r="Q246" s="1">
        <v>4</v>
      </c>
      <c r="R246" s="1">
        <v>5</v>
      </c>
      <c r="S246" s="1">
        <v>2</v>
      </c>
      <c r="T246" s="1">
        <v>3</v>
      </c>
      <c r="U246" s="1">
        <v>4</v>
      </c>
      <c r="V246" s="1">
        <v>7</v>
      </c>
      <c r="W246" s="1">
        <v>6</v>
      </c>
      <c r="X246" s="1">
        <v>1</v>
      </c>
      <c r="Y246" s="1" t="s">
        <v>2027</v>
      </c>
      <c r="Z246" s="1">
        <v>2</v>
      </c>
      <c r="AA246" s="1">
        <v>2</v>
      </c>
      <c r="AB246" s="1">
        <v>2</v>
      </c>
      <c r="AC246" s="1">
        <v>4</v>
      </c>
      <c r="AD246" s="1" t="s">
        <v>2027</v>
      </c>
      <c r="AE246" s="1" t="s">
        <v>2027</v>
      </c>
      <c r="AF246" s="1" t="s">
        <v>2027</v>
      </c>
      <c r="AG246" s="1">
        <v>9</v>
      </c>
      <c r="AH246" s="1">
        <v>10</v>
      </c>
      <c r="AI246" s="1">
        <v>9</v>
      </c>
      <c r="AJ246" s="52">
        <v>2400000</v>
      </c>
      <c r="AK246" s="9">
        <f>($L$3*(L246-$Q$1)/$Q$2+$M$3*(M246-$R$1)/$R$2+$N$3*(N246-$S$1)/$S$2+$O$3*(O246-$T$1)/$T$2+$P$3*(P246-$U$1)/$U$2)/(SUM($L$3:$P$3))</f>
        <v>-1.9822235905901651</v>
      </c>
      <c r="AL246" s="9">
        <f>($L$3*(Q246-$Q$1)/$Q$2+$M$3*(R246-$R$1)/$R$2+$N$3*(S246-$S$1)/$S$2+$O$3*(T246-$T$1)/$T$2+$P$3*(U246-$U$1)/$U$2)/(SUM($L$3:$P$3))</f>
        <v>-0.52990670925041994</v>
      </c>
      <c r="AM246">
        <f>IF(AVERAGE(AG246:AH246)&gt;9,1,0)+IF(AVERAGE(AG246:AH246)&gt;7,1,0)+IF(AG246&gt;7,1,0)+IF(AH246&gt;7,1,0)+IF(AI246&gt;8,1,0)+IF(AI246&gt;6,1,0)</f>
        <v>6</v>
      </c>
      <c r="AN246" s="6">
        <f>MIN(2,IF(OR(Y246="-",X246&lt;5),0,1+IF(Y246&gt;7,1+IF(X246&gt;7,0.25,0),IF(Y246&gt;4,0.5+IF(X246&gt;7,0.25,0),0+IF(X246&gt;7,0.25))))+IF(Z246="-",0,IF(Z246&gt;9,0.5,IF(Z246&gt;7,0.25,0)))+IF(AA246="-",0,IF(AA246&gt;7,1.1,IF(AA246&gt;4,0.6,0)))+IF(OR(AB246="-",V246&lt;5),0,IF(AB246&gt;7,1+IF(V246&gt;7,0.25,0),IF(AB246&gt;4,0.5+IF(V246&gt;7,0.25,0),0)))+IF(AC246="-",0,IF(AC246&gt;7,1.5,IF(AC246&gt;4,1,0)))+IF(AD246="-",0,IF(AD246&gt;9,0.5,IF(AD246&gt;7,0.25,0)))+IF(AE246="-",0,IF(AE246&gt;7,1.25,IF(AE246&gt;4,0.75,0)))+IF(OR(AF246="-",W246&lt;4),0,IF(AF246&gt;7,1+IF(W246&gt;7,0.15,0),IF(AF246&gt;4,0.5+IF(W246&gt;7,0.15,0),0))))</f>
        <v>0</v>
      </c>
      <c r="AO246" s="9">
        <f>($AK$3*AK246+$AL$3*AL246+$AM$3*AM246+$AN$3*AN246)+$J$3*VLOOKUP(J246,COND!$A$2:$C$7,2,FALSE)+$K$3*VLOOKUP(K246,COND!$A$2:$C$7,3,FALSE)</f>
        <v>4.0428971299359437</v>
      </c>
      <c r="AP246" s="37">
        <f>STANDARDIZE(AO246,AVERAGE($AO$5:$AO$1295),STDEVP($AO$5:$AO$1295))</f>
        <v>-0.92017640461841543</v>
      </c>
      <c r="AQ246" t="str">
        <f>IF(AND(Y246&lt;&gt;"-",X246&gt;1),"C",IF(AA246=MAX(AA246:AC246),"2B",IF(AC246=MAX(AA246:AC246),"SS",IF(OR(AB246=MAX(Z246:AC246),AND(AB246&lt;&gt;"-",AB246&gt;4,V246&gt;5)),"3B",IF(AE246=MAX(AD246:AF246),"CF",IF(AND(AF246=MAX(AD246,AF246),AND(W246&gt;5,AD246&lt;&gt;"-")),"RF",IF(AD246&lt;&gt;"-","LF",IF(Z246&lt;&gt;"-","1B","DH"))))))))</f>
        <v>SS</v>
      </c>
      <c r="AR246" t="s">
        <v>35</v>
      </c>
      <c r="AT246" t="s">
        <v>155</v>
      </c>
      <c r="AU246" t="str">
        <f>IF(AND($Q246&gt;=6,AVERAGE($S246:$T246)&gt;=6),"Likely",IF(OR($Q246&gt;6,AND($Q246=6,AVERAGE($S246:$T246)&gt;=3),AND($Q246&gt;=5,AVERAGE($S246:$T246)&gt;=5),AVERAGE($Q246,$S246:$T246)&gt;5),"Possible","Unlikely"))</f>
        <v>Unlikely</v>
      </c>
      <c r="AW246" t="str">
        <f>IF(VLOOKUP($B246,'Draft List'!$D$4:$AB$2598,AW$3,FALSE)&lt;&gt;0,VLOOKUP($B246,'Draft List'!$D$4:$AB$2598,AW$3,FALSE),"")</f>
        <v/>
      </c>
      <c r="AX246" t="str">
        <f>IF(VLOOKUP($B246,'Draft List'!$D$4:$AB$2598,AX$3,FALSE)&lt;&gt;0,VLOOKUP($B246,'Draft List'!$D$4:$AB$2598,AX$3,FALSE),"")</f>
        <v/>
      </c>
      <c r="AY246" t="str">
        <f>IF(VLOOKUP($B246,'Draft List'!$D$4:$AB$2598,AY$3,FALSE)&lt;&gt;0,VLOOKUP($B246,'Draft List'!$D$4:$AB$2598,AY$3,FALSE),"")</f>
        <v/>
      </c>
    </row>
    <row r="247" spans="1:51">
      <c r="A247" t="str">
        <f>IF(C247="C","C-",C247)&amp;D247&amp;E247</f>
        <v>LFToby Lott18</v>
      </c>
      <c r="B247">
        <f>VLOOKUP($A247,draft_listing_batters_stats!$A$1:$B$1324,2,FALSE)</f>
        <v>13760</v>
      </c>
      <c r="C247" s="1" t="s">
        <v>2035</v>
      </c>
      <c r="D247" s="1" t="s">
        <v>1349</v>
      </c>
      <c r="E247" s="1">
        <v>18</v>
      </c>
      <c r="F247" s="1" t="s">
        <v>2022</v>
      </c>
      <c r="G247" s="1" t="s">
        <v>2022</v>
      </c>
      <c r="H247" s="1" t="s">
        <v>2033</v>
      </c>
      <c r="I247" s="1" t="s">
        <v>2033</v>
      </c>
      <c r="J247" s="1" t="s">
        <v>2026</v>
      </c>
      <c r="K247" s="1" t="s">
        <v>2026</v>
      </c>
      <c r="L247" s="1">
        <v>1</v>
      </c>
      <c r="M247" s="1">
        <v>2</v>
      </c>
      <c r="N247" s="1">
        <v>1</v>
      </c>
      <c r="O247" s="1">
        <v>1</v>
      </c>
      <c r="P247" s="1">
        <v>1</v>
      </c>
      <c r="Q247" s="1">
        <v>4</v>
      </c>
      <c r="R247" s="1">
        <v>4</v>
      </c>
      <c r="S247" s="1">
        <v>4</v>
      </c>
      <c r="T247" s="1">
        <v>2</v>
      </c>
      <c r="U247" s="1">
        <v>4</v>
      </c>
      <c r="V247" s="1">
        <v>1</v>
      </c>
      <c r="W247" s="1">
        <v>6</v>
      </c>
      <c r="X247" s="1">
        <v>1</v>
      </c>
      <c r="Y247" s="1" t="s">
        <v>2027</v>
      </c>
      <c r="Z247" s="1">
        <v>1</v>
      </c>
      <c r="AA247" s="1" t="s">
        <v>2027</v>
      </c>
      <c r="AB247" s="1" t="s">
        <v>2027</v>
      </c>
      <c r="AC247" s="1" t="s">
        <v>2027</v>
      </c>
      <c r="AD247" s="1">
        <v>1</v>
      </c>
      <c r="AE247" s="1">
        <v>1</v>
      </c>
      <c r="AF247" s="1">
        <v>1</v>
      </c>
      <c r="AG247" s="1">
        <v>7</v>
      </c>
      <c r="AH247" s="1">
        <v>9</v>
      </c>
      <c r="AI247" s="1">
        <v>8</v>
      </c>
      <c r="AJ247" s="52" t="s">
        <v>2029</v>
      </c>
      <c r="AK247" s="9">
        <f>($L$3*(L247-$Q$1)/$Q$2+$M$3*(M247-$R$1)/$R$2+$N$3*(N247-$S$1)/$S$2+$O$3*(O247-$T$1)/$T$2+$P$3*(P247-$U$1)/$U$2)/(SUM($L$3:$P$3))</f>
        <v>-2.0332834702088682</v>
      </c>
      <c r="AL247" s="9">
        <f>($L$3*(Q247-$Q$1)/$Q$2+$M$3*(R247-$R$1)/$R$2+$N$3*(S247-$S$1)/$S$2+$O$3*(T247-$T$1)/$T$2+$P$3*(U247-$U$1)/$U$2)/(SUM($L$3:$P$3))</f>
        <v>-0.50455315083090146</v>
      </c>
      <c r="AM247">
        <f>IF(AVERAGE(AG247:AH247)&gt;9,1,0)+IF(AVERAGE(AG247:AH247)&gt;7,1,0)+IF(AG247&gt;7,1,0)+IF(AH247&gt;7,1,0)+IF(AI247&gt;8,1,0)+IF(AI247&gt;6,1,0)</f>
        <v>3</v>
      </c>
      <c r="AN247" s="6">
        <f>MIN(2,IF(OR(Y247="-",X247&lt;5),0,1+IF(Y247&gt;7,1+IF(X247&gt;7,0.25,0),IF(Y247&gt;4,0.5+IF(X247&gt;7,0.25,0),0+IF(X247&gt;7,0.25))))+IF(Z247="-",0,IF(Z247&gt;9,0.5,IF(Z247&gt;7,0.25,0)))+IF(AA247="-",0,IF(AA247&gt;7,1.1,IF(AA247&gt;4,0.6,0)))+IF(OR(AB247="-",V247&lt;5),0,IF(AB247&gt;7,1+IF(V247&gt;7,0.25,0),IF(AB247&gt;4,0.5+IF(V247&gt;7,0.25,0),0)))+IF(AC247="-",0,IF(AC247&gt;7,1.5,IF(AC247&gt;4,1,0)))+IF(AD247="-",0,IF(AD247&gt;9,0.5,IF(AD247&gt;7,0.25,0)))+IF(AE247="-",0,IF(AE247&gt;7,1.25,IF(AE247&gt;4,0.75,0)))+IF(OR(AF247="-",W247&lt;4),0,IF(AF247&gt;7,1+IF(W247&gt;7,0.15,0),IF(AF247&gt;4,0.5+IF(W247&gt;7,0.15,0),0))))</f>
        <v>0</v>
      </c>
      <c r="AO247" s="9">
        <f>($AK$3*AK247+$AL$3*AL247+$AM$3*AM247+$AN$3*AN247)+$J$3*VLOOKUP(J247,COND!$A$2:$C$7,2,FALSE)+$K$3*VLOOKUP(K247,COND!$A$2:$C$7,3,FALSE)</f>
        <v>4.0420338430082969</v>
      </c>
      <c r="AP247" s="37">
        <f>STANDARDIZE(AO247,AVERAGE($AO$5:$AO$1295),STDEVP($AO$5:$AO$1295))</f>
        <v>-0.92029633559189483</v>
      </c>
      <c r="AQ247" t="str">
        <f>IF(AND(Y247&lt;&gt;"-",X247&gt;1),"C",IF(AA247=MAX(AA247:AC247),"2B",IF(AC247=MAX(AA247:AC247),"SS",IF(OR(AB247=MAX(Z247:AC247),AND(AB247&lt;&gt;"-",AB247&gt;4,V247&gt;5)),"3B",IF(AE247=MAX(AD247:AF247),"CF",IF(AND(AF247=MAX(AD247,AF247),AND(W247&gt;5,AD247&lt;&gt;"-")),"RF",IF(AD247&lt;&gt;"-","LF",IF(Z247&lt;&gt;"-","1B","DH"))))))))</f>
        <v>CF</v>
      </c>
      <c r="AR247" t="s">
        <v>35</v>
      </c>
      <c r="AU247" t="str">
        <f>IF(AND($Q247&gt;=6,AVERAGE($S247:$T247)&gt;=6),"Likely",IF(OR($Q247&gt;6,AND($Q247=6,AVERAGE($S247:$T247)&gt;=3),AND($Q247&gt;=5,AVERAGE($S247:$T247)&gt;=5),AVERAGE($Q247,$S247:$T247)&gt;5),"Possible","Unlikely"))</f>
        <v>Unlikely</v>
      </c>
      <c r="AW247" t="str">
        <f>IF(VLOOKUP($B247,'Draft List'!$D$4:$AB$2598,AW$3,FALSE)&lt;&gt;0,VLOOKUP($B247,'Draft List'!$D$4:$AB$2598,AW$3,FALSE),"")</f>
        <v/>
      </c>
      <c r="AX247" t="str">
        <f>IF(VLOOKUP($B247,'Draft List'!$D$4:$AB$2598,AX$3,FALSE)&lt;&gt;0,VLOOKUP($B247,'Draft List'!$D$4:$AB$2598,AX$3,FALSE),"")</f>
        <v/>
      </c>
      <c r="AY247" t="str">
        <f>IF(VLOOKUP($B247,'Draft List'!$D$4:$AB$2598,AY$3,FALSE)&lt;&gt;0,VLOOKUP($B247,'Draft List'!$D$4:$AB$2598,AY$3,FALSE),"")</f>
        <v/>
      </c>
    </row>
    <row r="248" spans="1:51">
      <c r="A248" t="str">
        <f>IF(C248="C","C-",C248)&amp;D248&amp;E248</f>
        <v>C-Tim Morgan18</v>
      </c>
      <c r="B248">
        <f>VLOOKUP($A248,draft_listing_batters_stats!$A$1:$B$1324,2,FALSE)</f>
        <v>1785</v>
      </c>
      <c r="C248" s="1" t="s">
        <v>2091</v>
      </c>
      <c r="D248" s="1" t="s">
        <v>1377</v>
      </c>
      <c r="E248" s="1">
        <v>18</v>
      </c>
      <c r="F248" s="1" t="s">
        <v>2022</v>
      </c>
      <c r="G248" s="1" t="s">
        <v>2022</v>
      </c>
      <c r="H248" s="1" t="s">
        <v>2033</v>
      </c>
      <c r="I248" s="1" t="s">
        <v>2033</v>
      </c>
      <c r="J248" s="1" t="s">
        <v>2040</v>
      </c>
      <c r="K248" s="1" t="s">
        <v>2030</v>
      </c>
      <c r="L248" s="1">
        <v>1</v>
      </c>
      <c r="M248" s="1">
        <v>1</v>
      </c>
      <c r="N248" s="1">
        <v>1</v>
      </c>
      <c r="O248" s="1">
        <v>1</v>
      </c>
      <c r="P248" s="1">
        <v>1</v>
      </c>
      <c r="Q248" s="1">
        <v>4</v>
      </c>
      <c r="R248" s="1">
        <v>5</v>
      </c>
      <c r="S248" s="1">
        <v>3</v>
      </c>
      <c r="T248" s="1">
        <v>3</v>
      </c>
      <c r="U248" s="1">
        <v>4</v>
      </c>
      <c r="V248" s="1">
        <v>3</v>
      </c>
      <c r="W248" s="1">
        <v>3</v>
      </c>
      <c r="X248" s="1">
        <v>5</v>
      </c>
      <c r="Y248" s="1" t="s">
        <v>2027</v>
      </c>
      <c r="Z248" s="1" t="s">
        <v>2027</v>
      </c>
      <c r="AA248" s="1" t="s">
        <v>2027</v>
      </c>
      <c r="AB248" s="1" t="s">
        <v>2027</v>
      </c>
      <c r="AC248" s="1" t="s">
        <v>2027</v>
      </c>
      <c r="AD248" s="1" t="s">
        <v>2027</v>
      </c>
      <c r="AE248" s="1" t="s">
        <v>2027</v>
      </c>
      <c r="AF248" s="1" t="s">
        <v>2027</v>
      </c>
      <c r="AG248" s="1">
        <v>1</v>
      </c>
      <c r="AH248" s="1">
        <v>1</v>
      </c>
      <c r="AI248" s="1">
        <v>1</v>
      </c>
      <c r="AJ248" s="52" t="s">
        <v>2029</v>
      </c>
      <c r="AK248" s="9">
        <f>($L$3*(L248-$Q$1)/$Q$2+$M$3*(M248-$R$1)/$R$2+$N$3*(N248-$S$1)/$S$2+$O$3*(O248-$T$1)/$T$2+$P$3*(P248-$U$1)/$U$2)/(SUM($L$3:$P$3))</f>
        <v>-2.0843433498275723</v>
      </c>
      <c r="AL248" s="9">
        <f>($L$3*(Q248-$Q$1)/$Q$2+$M$3*(R248-$R$1)/$R$2+$N$3*(S248-$S$1)/$S$2+$O$3*(T248-$T$1)/$T$2+$P$3*(U248-$U$1)/$U$2)/(SUM($L$3:$P$3))</f>
        <v>-0.44684521522651838</v>
      </c>
      <c r="AM248">
        <f>IF(AVERAGE(AG248:AH248)&gt;9,1,0)+IF(AVERAGE(AG248:AH248)&gt;7,1,0)+IF(AG248&gt;7,1,0)+IF(AH248&gt;7,1,0)+IF(AI248&gt;8,1,0)+IF(AI248&gt;6,1,0)</f>
        <v>0</v>
      </c>
      <c r="AN248" s="6">
        <f>MIN(2,IF(OR(Y248="-",X248&lt;5),0,1+IF(Y248&gt;7,1+IF(X248&gt;7,0.25,0),IF(Y248&gt;4,0.5+IF(X248&gt;7,0.25,0),0+IF(X248&gt;7,0.25))))+IF(Z248="-",0,IF(Z248&gt;9,0.5,IF(Z248&gt;7,0.25,0)))+IF(AA248="-",0,IF(AA248&gt;7,1.1,IF(AA248&gt;4,0.6,0)))+IF(OR(AB248="-",V248&lt;5),0,IF(AB248&gt;7,1+IF(V248&gt;7,0.25,0),IF(AB248&gt;4,0.5+IF(V248&gt;7,0.25,0),0)))+IF(AC248="-",0,IF(AC248&gt;7,1.5,IF(AC248&gt;4,1,0)))+IF(AD248="-",0,IF(AD248&gt;9,0.5,IF(AD248&gt;7,0.25,0)))+IF(AE248="-",0,IF(AE248&gt;7,1.25,IF(AE248&gt;4,0.75,0)))+IF(OR(AF248="-",W248&lt;4),0,IF(AF248&gt;7,1+IF(W248&gt;7,0.15,0),IF(AF248&gt;4,0.5+IF(W248&gt;7,0.15,0),0))))</f>
        <v>0</v>
      </c>
      <c r="AO248" s="9">
        <f>($AK$3*AK248+$AL$3*AL248+$AM$3*AM248+$AN$3*AN248)+$J$3*VLOOKUP(J248,COND!$A$2:$C$7,2,FALSE)+$K$3*VLOOKUP(K248,COND!$A$2:$C$7,3,FALSE)</f>
        <v>4.0294230822990214</v>
      </c>
      <c r="AP248" s="37">
        <f>STANDARDIZE(AO248,AVERAGE($AO$5:$AO$1295),STDEVP($AO$5:$AO$1295))</f>
        <v>-0.9220482685353264</v>
      </c>
      <c r="AQ248" t="str">
        <f>IF(AND(Y248&lt;&gt;"-",X248&gt;1),"C",IF(AA248=MAX(AA248:AC248),"2B",IF(AC248=MAX(AA248:AC248),"SS",IF(OR(AB248=MAX(Z248:AC248),AND(AB248&lt;&gt;"-",AB248&gt;4,V248&gt;5)),"3B",IF(AE248=MAX(AD248:AF248),"CF",IF(AND(AF248=MAX(AD248,AF248),AND(W248&gt;5,AD248&lt;&gt;"-")),"RF",IF(AD248&lt;&gt;"-","LF",IF(Z248&lt;&gt;"-","1B","DH"))))))))</f>
        <v>DH</v>
      </c>
      <c r="AR248" t="s">
        <v>35</v>
      </c>
      <c r="AU248" t="str">
        <f>IF(AND($Q248&gt;=6,AVERAGE($S248:$T248)&gt;=6),"Likely",IF(OR($Q248&gt;6,AND($Q248=6,AVERAGE($S248:$T248)&gt;=3),AND($Q248&gt;=5,AVERAGE($S248:$T248)&gt;=5),AVERAGE($Q248,$S248:$T248)&gt;5),"Possible","Unlikely"))</f>
        <v>Unlikely</v>
      </c>
      <c r="AW248" t="str">
        <f>IF(VLOOKUP($B248,'Draft List'!$D$4:$AB$2598,AW$3,FALSE)&lt;&gt;0,VLOOKUP($B248,'Draft List'!$D$4:$AB$2598,AW$3,FALSE),"")</f>
        <v/>
      </c>
      <c r="AX248" t="str">
        <f>IF(VLOOKUP($B248,'Draft List'!$D$4:$AB$2598,AX$3,FALSE)&lt;&gt;0,VLOOKUP($B248,'Draft List'!$D$4:$AB$2598,AX$3,FALSE),"")</f>
        <v/>
      </c>
      <c r="AY248" t="str">
        <f>IF(VLOOKUP($B248,'Draft List'!$D$4:$AB$2598,AY$3,FALSE)&lt;&gt;0,VLOOKUP($B248,'Draft List'!$D$4:$AB$2598,AY$3,FALSE),"")</f>
        <v/>
      </c>
    </row>
    <row r="249" spans="1:51">
      <c r="A249" t="str">
        <f>IF(C249="C","C-",C249)&amp;D249&amp;E249</f>
        <v>RFPaul Jackson18</v>
      </c>
      <c r="B249">
        <f>VLOOKUP($A249,draft_listing_batters_stats!$A$1:$B$1324,2,FALSE)</f>
        <v>13751</v>
      </c>
      <c r="C249" s="1" t="s">
        <v>2057</v>
      </c>
      <c r="D249" s="1" t="s">
        <v>1321</v>
      </c>
      <c r="E249" s="1">
        <v>18</v>
      </c>
      <c r="F249" s="1" t="s">
        <v>2022</v>
      </c>
      <c r="G249" s="1" t="s">
        <v>2022</v>
      </c>
      <c r="H249" s="1" t="s">
        <v>2033</v>
      </c>
      <c r="I249" s="1" t="s">
        <v>2033</v>
      </c>
      <c r="J249" s="1" t="s">
        <v>2025</v>
      </c>
      <c r="K249" s="1" t="s">
        <v>2025</v>
      </c>
      <c r="L249" s="1">
        <v>1</v>
      </c>
      <c r="M249" s="1">
        <v>2</v>
      </c>
      <c r="N249" s="1">
        <v>1</v>
      </c>
      <c r="O249" s="1">
        <v>1</v>
      </c>
      <c r="P249" s="1">
        <v>1</v>
      </c>
      <c r="Q249" s="1">
        <v>4</v>
      </c>
      <c r="R249" s="1">
        <v>5</v>
      </c>
      <c r="S249" s="1">
        <v>3</v>
      </c>
      <c r="T249" s="1">
        <v>2</v>
      </c>
      <c r="U249" s="1">
        <v>4</v>
      </c>
      <c r="V249" s="1">
        <v>1</v>
      </c>
      <c r="W249" s="1">
        <v>8</v>
      </c>
      <c r="X249" s="1">
        <v>1</v>
      </c>
      <c r="Y249" s="1" t="s">
        <v>2027</v>
      </c>
      <c r="Z249" s="1" t="s">
        <v>2027</v>
      </c>
      <c r="AA249" s="1" t="s">
        <v>2027</v>
      </c>
      <c r="AB249" s="1" t="s">
        <v>2027</v>
      </c>
      <c r="AC249" s="1" t="s">
        <v>2027</v>
      </c>
      <c r="AD249" s="1">
        <v>1</v>
      </c>
      <c r="AE249" s="1">
        <v>1</v>
      </c>
      <c r="AF249" s="1">
        <v>3</v>
      </c>
      <c r="AG249" s="1">
        <v>6</v>
      </c>
      <c r="AH249" s="1">
        <v>10</v>
      </c>
      <c r="AI249" s="1">
        <v>9</v>
      </c>
      <c r="AJ249" s="52" t="s">
        <v>2029</v>
      </c>
      <c r="AK249" s="9">
        <f>($L$3*(L249-$Q$1)/$Q$2+$M$3*(M249-$R$1)/$R$2+$N$3*(N249-$S$1)/$S$2+$O$3*(O249-$T$1)/$T$2+$P$3*(P249-$U$1)/$U$2)/(SUM($L$3:$P$3))</f>
        <v>-2.0332834702088682</v>
      </c>
      <c r="AL249" s="9">
        <f>($L$3*(Q249-$Q$1)/$Q$2+$M$3*(R249-$R$1)/$R$2+$N$3*(S249-$S$1)/$S$2+$O$3*(T249-$T$1)/$T$2+$P$3*(U249-$U$1)/$U$2)/(SUM($L$3:$P$3))</f>
        <v>-0.53655476523609946</v>
      </c>
      <c r="AM249">
        <f>IF(AVERAGE(AG249:AH249)&gt;9,1,0)+IF(AVERAGE(AG249:AH249)&gt;7,1,0)+IF(AG249&gt;7,1,0)+IF(AH249&gt;7,1,0)+IF(AI249&gt;8,1,0)+IF(AI249&gt;6,1,0)</f>
        <v>4</v>
      </c>
      <c r="AN249" s="6">
        <f>MIN(2,IF(OR(Y249="-",X249&lt;5),0,1+IF(Y249&gt;7,1+IF(X249&gt;7,0.25,0),IF(Y249&gt;4,0.5+IF(X249&gt;7,0.25,0),0+IF(X249&gt;7,0.25))))+IF(Z249="-",0,IF(Z249&gt;9,0.5,IF(Z249&gt;7,0.25,0)))+IF(AA249="-",0,IF(AA249&gt;7,1.1,IF(AA249&gt;4,0.6,0)))+IF(OR(AB249="-",V249&lt;5),0,IF(AB249&gt;7,1+IF(V249&gt;7,0.25,0),IF(AB249&gt;4,0.5+IF(V249&gt;7,0.25,0),0)))+IF(AC249="-",0,IF(AC249&gt;7,1.5,IF(AC249&gt;4,1,0)))+IF(AD249="-",0,IF(AD249&gt;9,0.5,IF(AD249&gt;7,0.25,0)))+IF(AE249="-",0,IF(AE249&gt;7,1.25,IF(AE249&gt;4,0.75,0)))+IF(OR(AF249="-",W249&lt;4),0,IF(AF249&gt;7,1+IF(W249&gt;7,0.15,0),IF(AF249&gt;4,0.5+IF(W249&gt;7,0.15,0),0))))</f>
        <v>0</v>
      </c>
      <c r="AO249" s="9">
        <f>($AK$3*AK249+$AL$3*AL249+$AM$3*AM249+$AN$3*AN249)+$J$3*VLOOKUP(J249,COND!$A$2:$C$7,2,FALSE)+$K$3*VLOOKUP(K249,COND!$A$2:$C$7,3,FALSE)</f>
        <v>4.0246811368125872</v>
      </c>
      <c r="AP249" s="37">
        <f>STANDARDIZE(AO249,AVERAGE($AO$5:$AO$1295),STDEVP($AO$5:$AO$1295))</f>
        <v>-0.92270703692409861</v>
      </c>
      <c r="AQ249" t="str">
        <f>IF(AND(Y249&lt;&gt;"-",X249&gt;1),"C",IF(AA249=MAX(AA249:AC249),"2B",IF(AC249=MAX(AA249:AC249),"SS",IF(OR(AB249=MAX(Z249:AC249),AND(AB249&lt;&gt;"-",AB249&gt;4,V249&gt;5)),"3B",IF(AE249=MAX(AD249:AF249),"CF",IF(AND(AF249=MAX(AD249,AF249),AND(W249&gt;5,AD249&lt;&gt;"-")),"RF",IF(AD249&lt;&gt;"-","LF",IF(Z249&lt;&gt;"-","1B","DH"))))))))</f>
        <v>RF</v>
      </c>
      <c r="AR249" t="s">
        <v>35</v>
      </c>
      <c r="AU249" t="str">
        <f>IF(AND($Q249&gt;=6,AVERAGE($S249:$T249)&gt;=6),"Likely",IF(OR($Q249&gt;6,AND($Q249=6,AVERAGE($S249:$T249)&gt;=3),AND($Q249&gt;=5,AVERAGE($S249:$T249)&gt;=5),AVERAGE($Q249,$S249:$T249)&gt;5),"Possible","Unlikely"))</f>
        <v>Unlikely</v>
      </c>
      <c r="AW249" t="str">
        <f>IF(VLOOKUP($B249,'Draft List'!$D$4:$AB$2598,AW$3,FALSE)&lt;&gt;0,VLOOKUP($B249,'Draft List'!$D$4:$AB$2598,AW$3,FALSE),"")</f>
        <v/>
      </c>
      <c r="AX249" t="str">
        <f>IF(VLOOKUP($B249,'Draft List'!$D$4:$AB$2598,AX$3,FALSE)&lt;&gt;0,VLOOKUP($B249,'Draft List'!$D$4:$AB$2598,AX$3,FALSE),"")</f>
        <v/>
      </c>
      <c r="AY249" t="str">
        <f>IF(VLOOKUP($B249,'Draft List'!$D$4:$AB$2598,AY$3,FALSE)&lt;&gt;0,VLOOKUP($B249,'Draft List'!$D$4:$AB$2598,AY$3,FALSE),"")</f>
        <v/>
      </c>
    </row>
    <row r="250" spans="1:51">
      <c r="A250" t="str">
        <f>IF(C250="C","C-",C250)&amp;D250&amp;E250</f>
        <v>C-Lawrence Weston21</v>
      </c>
      <c r="B250">
        <f>VLOOKUP($A250,draft_listing_batters_stats!$A$1:$B$1324,2,FALSE)</f>
        <v>5817</v>
      </c>
      <c r="C250" s="1" t="s">
        <v>2091</v>
      </c>
      <c r="D250" s="1" t="s">
        <v>1252</v>
      </c>
      <c r="E250" s="1">
        <v>21</v>
      </c>
      <c r="F250" s="1" t="s">
        <v>2022</v>
      </c>
      <c r="G250" s="1" t="s">
        <v>2022</v>
      </c>
      <c r="H250" s="1" t="s">
        <v>2033</v>
      </c>
      <c r="I250" s="1" t="s">
        <v>2033</v>
      </c>
      <c r="J250" s="1" t="s">
        <v>2040</v>
      </c>
      <c r="K250" s="1" t="s">
        <v>2026</v>
      </c>
      <c r="L250" s="1">
        <v>4</v>
      </c>
      <c r="M250" s="1">
        <v>4</v>
      </c>
      <c r="N250" s="1">
        <v>1</v>
      </c>
      <c r="O250" s="1">
        <v>2</v>
      </c>
      <c r="P250" s="1">
        <v>4</v>
      </c>
      <c r="Q250" s="1">
        <v>4</v>
      </c>
      <c r="R250" s="1">
        <v>5</v>
      </c>
      <c r="S250" s="1">
        <v>1</v>
      </c>
      <c r="T250" s="1">
        <v>3</v>
      </c>
      <c r="U250" s="1">
        <v>5</v>
      </c>
      <c r="V250" s="1">
        <v>5</v>
      </c>
      <c r="W250" s="1">
        <v>5</v>
      </c>
      <c r="X250" s="1">
        <v>7</v>
      </c>
      <c r="Y250" s="1">
        <v>5</v>
      </c>
      <c r="Z250" s="1">
        <v>1</v>
      </c>
      <c r="AA250" s="1" t="s">
        <v>2027</v>
      </c>
      <c r="AB250" s="1" t="s">
        <v>2027</v>
      </c>
      <c r="AC250" s="1" t="s">
        <v>2027</v>
      </c>
      <c r="AD250" s="1" t="s">
        <v>2027</v>
      </c>
      <c r="AE250" s="1" t="s">
        <v>2027</v>
      </c>
      <c r="AF250" s="1" t="s">
        <v>2027</v>
      </c>
      <c r="AG250" s="1">
        <v>1</v>
      </c>
      <c r="AH250" s="1">
        <v>1</v>
      </c>
      <c r="AI250" s="1">
        <v>1</v>
      </c>
      <c r="AJ250" s="52" t="s">
        <v>2029</v>
      </c>
      <c r="AK250" s="9">
        <f>($L$3*(L250-$Q$1)/$Q$2+$M$3*(M250-$R$1)/$R$2+$N$3*(N250-$S$1)/$S$2+$O$3*(O250-$T$1)/$T$2+$P$3*(P250-$U$1)/$U$2)/(SUM($L$3:$P$3))</f>
        <v>-0.75373763290260587</v>
      </c>
      <c r="AL250" s="9">
        <f>($L$3*(Q250-$Q$1)/$Q$2+$M$3*(R250-$R$1)/$R$2+$N$3*(S250-$S$1)/$S$2+$O$3*(T250-$T$1)/$T$2+$P$3*(U250-$U$1)/$U$2)/(SUM($L$3:$P$3))</f>
        <v>-0.57295186345723803</v>
      </c>
      <c r="AM250">
        <f>IF(AVERAGE(AG250:AH250)&gt;9,1,0)+IF(AVERAGE(AG250:AH250)&gt;7,1,0)+IF(AG250&gt;7,1,0)+IF(AH250&gt;7,1,0)+IF(AI250&gt;8,1,0)+IF(AI250&gt;6,1,0)</f>
        <v>0</v>
      </c>
      <c r="AN250" s="6">
        <f>MIN(2,IF(OR(Y250="-",X250&lt;5),0,1+IF(Y250&gt;7,1+IF(X250&gt;7,0.25,0),IF(Y250&gt;4,0.5+IF(X250&gt;7,0.25,0),0+IF(X250&gt;7,0.25))))+IF(Z250="-",0,IF(Z250&gt;9,0.5,IF(Z250&gt;7,0.25,0)))+IF(AA250="-",0,IF(AA250&gt;7,1.1,IF(AA250&gt;4,0.6,0)))+IF(OR(AB250="-",V250&lt;5),0,IF(AB250&gt;7,1+IF(V250&gt;7,0.25,0),IF(AB250&gt;4,0.5+IF(V250&gt;7,0.25,0),0)))+IF(AC250="-",0,IF(AC250&gt;7,1.5,IF(AC250&gt;4,1,0)))+IF(AD250="-",0,IF(AD250&gt;9,0.5,IF(AD250&gt;7,0.25,0)))+IF(AE250="-",0,IF(AE250&gt;7,1.25,IF(AE250&gt;4,0.75,0)))+IF(OR(AF250="-",W250&lt;4),0,IF(AF250&gt;7,1+IF(W250&gt;7,0.15,0),IF(AF250&gt;4,0.5+IF(W250&gt;7,0.15,0),0))))</f>
        <v>1.5</v>
      </c>
      <c r="AO250" s="9">
        <f>($AK$3*AK250+$AL$3*AL250+$AM$3*AM250+$AN$3*AN250)+$J$3*VLOOKUP(J250,COND!$A$2:$C$7,2,FALSE)+$K$3*VLOOKUP(K250,COND!$A$2:$C$7,3,FALSE)</f>
        <v>3.9492038752228833</v>
      </c>
      <c r="AP250" s="37">
        <f>STANDARDIZE(AO250,AVERAGE($AO$5:$AO$1295),STDEVP($AO$5:$AO$1295))</f>
        <v>-0.93319261381413898</v>
      </c>
      <c r="AQ250" t="str">
        <f>IF(AND(Y250&lt;&gt;"-",X250&gt;1),"C",IF(AA250=MAX(AA250:AC250),"2B",IF(AC250=MAX(AA250:AC250),"SS",IF(OR(AB250=MAX(Z250:AC250),AND(AB250&lt;&gt;"-",AB250&gt;4,V250&gt;5)),"3B",IF(AE250=MAX(AD250:AF250),"CF",IF(AND(AF250=MAX(AD250,AF250),AND(W250&gt;5,AD250&lt;&gt;"-")),"RF",IF(AD250&lt;&gt;"-","LF",IF(Z250&lt;&gt;"-","1B","DH"))))))))</f>
        <v>C</v>
      </c>
      <c r="AR250" t="s">
        <v>35</v>
      </c>
      <c r="AU250" t="str">
        <f>IF(AND($Q250&gt;=6,AVERAGE($S250:$T250)&gt;=6),"Likely",IF(OR($Q250&gt;6,AND($Q250=6,AVERAGE($S250:$T250)&gt;=3),AND($Q250&gt;=5,AVERAGE($S250:$T250)&gt;=5),AVERAGE($Q250,$S250:$T250)&gt;5),"Possible","Unlikely"))</f>
        <v>Unlikely</v>
      </c>
      <c r="AW250" t="str">
        <f>IF(VLOOKUP($B250,'Draft List'!$D$4:$AB$2598,AW$3,FALSE)&lt;&gt;0,VLOOKUP($B250,'Draft List'!$D$4:$AB$2598,AW$3,FALSE),"")</f>
        <v/>
      </c>
      <c r="AX250" t="str">
        <f>IF(VLOOKUP($B250,'Draft List'!$D$4:$AB$2598,AX$3,FALSE)&lt;&gt;0,VLOOKUP($B250,'Draft List'!$D$4:$AB$2598,AX$3,FALSE),"")</f>
        <v/>
      </c>
      <c r="AY250" t="str">
        <f>IF(VLOOKUP($B250,'Draft List'!$D$4:$AB$2598,AY$3,FALSE)&lt;&gt;0,VLOOKUP($B250,'Draft List'!$D$4:$AB$2598,AY$3,FALSE),"")</f>
        <v/>
      </c>
    </row>
    <row r="251" spans="1:51">
      <c r="A251" t="str">
        <f>IF(C251="C","C-",C251)&amp;D251&amp;E251</f>
        <v>LFReynaldo Díaz18</v>
      </c>
      <c r="B251" t="e">
        <f>VLOOKUP($A251,draft_listing_batters_stats!$A$1:$B$1324,2,FALSE)</f>
        <v>#N/A</v>
      </c>
      <c r="C251" s="1" t="s">
        <v>2035</v>
      </c>
      <c r="D251" s="1" t="s">
        <v>1486</v>
      </c>
      <c r="E251" s="1">
        <v>18</v>
      </c>
      <c r="F251" s="1" t="s">
        <v>2038</v>
      </c>
      <c r="G251" s="1" t="s">
        <v>2038</v>
      </c>
      <c r="H251" s="1" t="s">
        <v>2033</v>
      </c>
      <c r="I251" s="1" t="s">
        <v>2033</v>
      </c>
      <c r="J251" s="1" t="s">
        <v>2040</v>
      </c>
      <c r="K251" s="1" t="s">
        <v>2036</v>
      </c>
      <c r="L251" s="1">
        <v>1</v>
      </c>
      <c r="M251" s="1">
        <v>1</v>
      </c>
      <c r="N251" s="1">
        <v>1</v>
      </c>
      <c r="O251" s="1">
        <v>1</v>
      </c>
      <c r="P251" s="1">
        <v>1</v>
      </c>
      <c r="Q251" s="1">
        <v>4</v>
      </c>
      <c r="R251" s="1">
        <v>5</v>
      </c>
      <c r="S251" s="1">
        <v>3</v>
      </c>
      <c r="T251" s="1">
        <v>2</v>
      </c>
      <c r="U251" s="1">
        <v>4</v>
      </c>
      <c r="V251" s="1">
        <v>1</v>
      </c>
      <c r="W251" s="1">
        <v>6</v>
      </c>
      <c r="X251" s="1">
        <v>1</v>
      </c>
      <c r="Y251" s="1" t="s">
        <v>2027</v>
      </c>
      <c r="Z251" s="1" t="s">
        <v>2027</v>
      </c>
      <c r="AA251" s="1" t="s">
        <v>2027</v>
      </c>
      <c r="AB251" s="1" t="s">
        <v>2027</v>
      </c>
      <c r="AC251" s="1" t="s">
        <v>2027</v>
      </c>
      <c r="AD251" s="1">
        <v>3</v>
      </c>
      <c r="AE251" s="1">
        <v>1</v>
      </c>
      <c r="AF251" s="1">
        <v>1</v>
      </c>
      <c r="AG251" s="1">
        <v>8</v>
      </c>
      <c r="AH251" s="1">
        <v>9</v>
      </c>
      <c r="AI251" s="1">
        <v>9</v>
      </c>
      <c r="AJ251" s="52" t="s">
        <v>2029</v>
      </c>
      <c r="AK251" s="9">
        <f>($L$3*(L251-$Q$1)/$Q$2+$M$3*(M251-$R$1)/$R$2+$N$3*(N251-$S$1)/$S$2+$O$3*(O251-$T$1)/$T$2+$P$3*(P251-$U$1)/$U$2)/(SUM($L$3:$P$3))</f>
        <v>-2.0843433498275723</v>
      </c>
      <c r="AL251" s="9">
        <f>($L$3*(Q251-$Q$1)/$Q$2+$M$3*(R251-$R$1)/$R$2+$N$3*(S251-$S$1)/$S$2+$O$3*(T251-$T$1)/$T$2+$P$3*(U251-$U$1)/$U$2)/(SUM($L$3:$P$3))</f>
        <v>-0.53655476523609946</v>
      </c>
      <c r="AM251">
        <f>IF(AVERAGE(AG251:AH251)&gt;9,1,0)+IF(AVERAGE(AG251:AH251)&gt;7,1,0)+IF(AG251&gt;7,1,0)+IF(AH251&gt;7,1,0)+IF(AI251&gt;8,1,0)+IF(AI251&gt;6,1,0)</f>
        <v>5</v>
      </c>
      <c r="AN251" s="6">
        <f>MIN(2,IF(OR(Y251="-",X251&lt;5),0,1+IF(Y251&gt;7,1+IF(X251&gt;7,0.25,0),IF(Y251&gt;4,0.5+IF(X251&gt;7,0.25,0),0+IF(X251&gt;7,0.25))))+IF(Z251="-",0,IF(Z251&gt;9,0.5,IF(Z251&gt;7,0.25,0)))+IF(AA251="-",0,IF(AA251&gt;7,1.1,IF(AA251&gt;4,0.6,0)))+IF(OR(AB251="-",V251&lt;5),0,IF(AB251&gt;7,1+IF(V251&gt;7,0.25,0),IF(AB251&gt;4,0.5+IF(V251&gt;7,0.25,0),0)))+IF(AC251="-",0,IF(AC251&gt;7,1.5,IF(AC251&gt;4,1,0)))+IF(AD251="-",0,IF(AD251&gt;9,0.5,IF(AD251&gt;7,0.25,0)))+IF(AE251="-",0,IF(AE251&gt;7,1.25,IF(AE251&gt;4,0.75,0)))+IF(OR(AF251="-",W251&lt;4),0,IF(AF251&gt;7,1+IF(W251&gt;7,0.15,0),IF(AF251&gt;4,0.5+IF(W251&gt;7,0.15,0),0))))</f>
        <v>0</v>
      </c>
      <c r="AO251" s="9">
        <f>($AK$3*AK251+$AL$3*AL251+$AM$3*AM251+$AN$3*AN251)+$J$3*VLOOKUP(J251,COND!$A$2:$C$7,2,FALSE)+$K$3*VLOOKUP(K251,COND!$A$2:$C$7,3,FALSE)</f>
        <v>3.9362418155173824</v>
      </c>
      <c r="AP251" s="37">
        <f>STANDARDIZE(AO251,AVERAGE($AO$5:$AO$1295),STDEVP($AO$5:$AO$1295))</f>
        <v>-0.93499335049738219</v>
      </c>
      <c r="AQ251" t="str">
        <f>IF(AND(Y251&lt;&gt;"-",X251&gt;1),"C",IF(AA251=MAX(AA251:AC251),"2B",IF(AC251=MAX(AA251:AC251),"SS",IF(OR(AB251=MAX(Z251:AC251),AND(AB251&lt;&gt;"-",AB251&gt;4,V251&gt;5)),"3B",IF(AE251=MAX(AD251:AF251),"CF",IF(AND(AF251=MAX(AD251,AF251),AND(W251&gt;5,AD251&lt;&gt;"-")),"RF",IF(AD251&lt;&gt;"-","LF",IF(Z251&lt;&gt;"-","1B","DH"))))))))</f>
        <v>LF</v>
      </c>
      <c r="AR251" t="s">
        <v>35</v>
      </c>
      <c r="AU251" t="str">
        <f>IF(AND($Q251&gt;=6,AVERAGE($S251:$T251)&gt;=6),"Likely",IF(OR($Q251&gt;6,AND($Q251=6,AVERAGE($S251:$T251)&gt;=3),AND($Q251&gt;=5,AVERAGE($S251:$T251)&gt;=5),AVERAGE($Q251,$S251:$T251)&gt;5),"Possible","Unlikely"))</f>
        <v>Unlikely</v>
      </c>
      <c r="AW251" t="e">
        <f>IF(VLOOKUP($B251,'Draft List'!$D$4:$AB$2598,AW$3,FALSE)&lt;&gt;0,VLOOKUP($B251,'Draft List'!$D$4:$AB$2598,AW$3,FALSE),"")</f>
        <v>#N/A</v>
      </c>
      <c r="AX251" t="e">
        <f>IF(VLOOKUP($B251,'Draft List'!$D$4:$AB$2598,AX$3,FALSE)&lt;&gt;0,VLOOKUP($B251,'Draft List'!$D$4:$AB$2598,AX$3,FALSE),"")</f>
        <v>#N/A</v>
      </c>
      <c r="AY251" t="e">
        <f>IF(VLOOKUP($B251,'Draft List'!$D$4:$AB$2598,AY$3,FALSE)&lt;&gt;0,VLOOKUP($B251,'Draft List'!$D$4:$AB$2598,AY$3,FALSE),"")</f>
        <v>#N/A</v>
      </c>
    </row>
    <row r="252" spans="1:51">
      <c r="A252" t="str">
        <f>IF(C252="C","C-",C252)&amp;D252&amp;E252</f>
        <v>C-Juan Gómez21</v>
      </c>
      <c r="B252" t="e">
        <f>VLOOKUP($A252,draft_listing_batters_stats!$A$1:$B$1324,2,FALSE)</f>
        <v>#N/A</v>
      </c>
      <c r="C252" s="1" t="s">
        <v>2091</v>
      </c>
      <c r="D252" s="1" t="s">
        <v>1301</v>
      </c>
      <c r="E252" s="1">
        <v>21</v>
      </c>
      <c r="F252" s="1" t="s">
        <v>2049</v>
      </c>
      <c r="G252" s="1" t="s">
        <v>2022</v>
      </c>
      <c r="H252" s="1" t="s">
        <v>2033</v>
      </c>
      <c r="I252" s="1" t="s">
        <v>2033</v>
      </c>
      <c r="J252" s="1" t="s">
        <v>2040</v>
      </c>
      <c r="K252" s="1" t="s">
        <v>2026</v>
      </c>
      <c r="L252" s="1">
        <v>3</v>
      </c>
      <c r="M252" s="1">
        <v>4</v>
      </c>
      <c r="N252" s="1">
        <v>1</v>
      </c>
      <c r="O252" s="1">
        <v>1</v>
      </c>
      <c r="P252" s="1">
        <v>2</v>
      </c>
      <c r="Q252" s="1">
        <v>4</v>
      </c>
      <c r="R252" s="1">
        <v>5</v>
      </c>
      <c r="S252" s="1">
        <v>2</v>
      </c>
      <c r="T252" s="1">
        <v>3</v>
      </c>
      <c r="U252" s="1">
        <v>4</v>
      </c>
      <c r="V252" s="1">
        <v>3</v>
      </c>
      <c r="W252" s="1">
        <v>2</v>
      </c>
      <c r="X252" s="1">
        <v>4</v>
      </c>
      <c r="Y252" s="1">
        <v>4</v>
      </c>
      <c r="Z252" s="1" t="s">
        <v>2027</v>
      </c>
      <c r="AA252" s="1" t="s">
        <v>2027</v>
      </c>
      <c r="AB252" s="1" t="s">
        <v>2027</v>
      </c>
      <c r="AC252" s="1" t="s">
        <v>2027</v>
      </c>
      <c r="AD252" s="1" t="s">
        <v>2027</v>
      </c>
      <c r="AE252" s="1" t="s">
        <v>2027</v>
      </c>
      <c r="AF252" s="1" t="s">
        <v>2027</v>
      </c>
      <c r="AG252" s="1">
        <v>9</v>
      </c>
      <c r="AH252" s="1">
        <v>10</v>
      </c>
      <c r="AI252" s="1">
        <v>10</v>
      </c>
      <c r="AJ252" s="52" t="s">
        <v>2029</v>
      </c>
      <c r="AK252" s="9">
        <f>($L$3*(L252-$Q$1)/$Q$2+$M$3*(M252-$R$1)/$R$2+$N$3*(N252-$S$1)/$S$2+$O$3*(O252-$T$1)/$T$2+$P$3*(P252-$U$1)/$U$2)/(SUM($L$3:$P$3))</f>
        <v>-1.2460356987490286</v>
      </c>
      <c r="AL252" s="9">
        <f>($L$3*(Q252-$Q$1)/$Q$2+$M$3*(R252-$R$1)/$R$2+$N$3*(S252-$S$1)/$S$2+$O$3*(T252-$T$1)/$T$2+$P$3*(U252-$U$1)/$U$2)/(SUM($L$3:$P$3))</f>
        <v>-0.52990670925041994</v>
      </c>
      <c r="AM252">
        <f>IF(AVERAGE(AG252:AH252)&gt;9,1,0)+IF(AVERAGE(AG252:AH252)&gt;7,1,0)+IF(AG252&gt;7,1,0)+IF(AH252&gt;7,1,0)+IF(AI252&gt;8,1,0)+IF(AI252&gt;6,1,0)</f>
        <v>6</v>
      </c>
      <c r="AN252" s="6">
        <f>MIN(2,IF(OR(Y252="-",X252&lt;5),0,1+IF(Y252&gt;7,1+IF(X252&gt;7,0.25,0),IF(Y252&gt;4,0.5+IF(X252&gt;7,0.25,0),0+IF(X252&gt;7,0.25))))+IF(Z252="-",0,IF(Z252&gt;9,0.5,IF(Z252&gt;7,0.25,0)))+IF(AA252="-",0,IF(AA252&gt;7,1.1,IF(AA252&gt;4,0.6,0)))+IF(OR(AB252="-",V252&lt;5),0,IF(AB252&gt;7,1+IF(V252&gt;7,0.25,0),IF(AB252&gt;4,0.5+IF(V252&gt;7,0.25,0),0)))+IF(AC252="-",0,IF(AC252&gt;7,1.5,IF(AC252&gt;4,1,0)))+IF(AD252="-",0,IF(AD252&gt;9,0.5,IF(AD252&gt;7,0.25,0)))+IF(AE252="-",0,IF(AE252&gt;7,1.25,IF(AE252&gt;4,0.75,0)))+IF(OR(AF252="-",W252&lt;4),0,IF(AF252&gt;7,1+IF(W252&gt;7,0.15,0),IF(AF252&gt;4,0.5+IF(W252&gt;7,0.15,0),0))))</f>
        <v>0</v>
      </c>
      <c r="AO252" s="9">
        <f>($AK$3*AK252+$AL$3*AL252+$AM$3*AM252+$AN$3*AN252)+$J$3*VLOOKUP(J252,COND!$A$2:$C$7,2,FALSE)+$K$3*VLOOKUP(K252,COND!$A$2:$C$7,3,FALSE)</f>
        <v>3.9165159191200578</v>
      </c>
      <c r="AP252" s="37">
        <f>STANDARDIZE(AO252,AVERAGE($AO$5:$AO$1295),STDEVP($AO$5:$AO$1295))</f>
        <v>-0.93773374408139287</v>
      </c>
      <c r="AQ252" t="str">
        <f>IF(AND(Y252&lt;&gt;"-",X252&gt;1),"C",IF(AA252=MAX(AA252:AC252),"2B",IF(AC252=MAX(AA252:AC252),"SS",IF(OR(AB252=MAX(Z252:AC252),AND(AB252&lt;&gt;"-",AB252&gt;4,V252&gt;5)),"3B",IF(AE252=MAX(AD252:AF252),"CF",IF(AND(AF252=MAX(AD252,AF252),AND(W252&gt;5,AD252&lt;&gt;"-")),"RF",IF(AD252&lt;&gt;"-","LF",IF(Z252&lt;&gt;"-","1B","DH"))))))))</f>
        <v>C</v>
      </c>
      <c r="AR252" t="s">
        <v>35</v>
      </c>
      <c r="AU252" t="str">
        <f>IF(AND($Q252&gt;=6,AVERAGE($S252:$T252)&gt;=6),"Likely",IF(OR($Q252&gt;6,AND($Q252=6,AVERAGE($S252:$T252)&gt;=3),AND($Q252&gt;=5,AVERAGE($S252:$T252)&gt;=5),AVERAGE($Q252,$S252:$T252)&gt;5),"Possible","Unlikely"))</f>
        <v>Unlikely</v>
      </c>
      <c r="AW252" t="e">
        <f>IF(VLOOKUP($B252,'Draft List'!$D$4:$AB$2598,AW$3,FALSE)&lt;&gt;0,VLOOKUP($B252,'Draft List'!$D$4:$AB$2598,AW$3,FALSE),"")</f>
        <v>#N/A</v>
      </c>
      <c r="AX252" t="e">
        <f>IF(VLOOKUP($B252,'Draft List'!$D$4:$AB$2598,AX$3,FALSE)&lt;&gt;0,VLOOKUP($B252,'Draft List'!$D$4:$AB$2598,AX$3,FALSE),"")</f>
        <v>#N/A</v>
      </c>
      <c r="AY252" t="e">
        <f>IF(VLOOKUP($B252,'Draft List'!$D$4:$AB$2598,AY$3,FALSE)&lt;&gt;0,VLOOKUP($B252,'Draft List'!$D$4:$AB$2598,AY$3,FALSE),"")</f>
        <v>#N/A</v>
      </c>
    </row>
    <row r="253" spans="1:51">
      <c r="A253" t="str">
        <f>IF(C253="C","C-",C253)&amp;D253&amp;E253</f>
        <v>C-Michael Carter18</v>
      </c>
      <c r="B253">
        <f>VLOOKUP($A253,draft_listing_batters_stats!$A$1:$B$1324,2,FALSE)</f>
        <v>1388</v>
      </c>
      <c r="C253" s="1" t="s">
        <v>2091</v>
      </c>
      <c r="D253" s="1" t="s">
        <v>1469</v>
      </c>
      <c r="E253" s="1">
        <v>18</v>
      </c>
      <c r="F253" s="1" t="s">
        <v>2022</v>
      </c>
      <c r="G253" s="1" t="s">
        <v>2022</v>
      </c>
      <c r="H253" s="1" t="s">
        <v>2033</v>
      </c>
      <c r="I253" s="1" t="s">
        <v>2033</v>
      </c>
      <c r="J253" s="1" t="s">
        <v>2025</v>
      </c>
      <c r="K253" s="1" t="s">
        <v>2040</v>
      </c>
      <c r="L253" s="1">
        <v>1</v>
      </c>
      <c r="M253" s="1">
        <v>1</v>
      </c>
      <c r="N253" s="1">
        <v>1</v>
      </c>
      <c r="O253" s="1">
        <v>1</v>
      </c>
      <c r="P253" s="1">
        <v>1</v>
      </c>
      <c r="Q253" s="1">
        <v>4</v>
      </c>
      <c r="R253" s="1">
        <v>5</v>
      </c>
      <c r="S253" s="1">
        <v>3</v>
      </c>
      <c r="T253" s="1">
        <v>2</v>
      </c>
      <c r="U253" s="1">
        <v>4</v>
      </c>
      <c r="V253" s="1">
        <v>5</v>
      </c>
      <c r="W253" s="1">
        <v>5</v>
      </c>
      <c r="X253" s="1">
        <v>7</v>
      </c>
      <c r="Y253" s="1">
        <v>2</v>
      </c>
      <c r="Z253" s="1" t="s">
        <v>2027</v>
      </c>
      <c r="AA253" s="1" t="s">
        <v>2027</v>
      </c>
      <c r="AB253" s="1" t="s">
        <v>2027</v>
      </c>
      <c r="AC253" s="1" t="s">
        <v>2027</v>
      </c>
      <c r="AD253" s="1" t="s">
        <v>2027</v>
      </c>
      <c r="AE253" s="1" t="s">
        <v>2027</v>
      </c>
      <c r="AF253" s="1" t="s">
        <v>2027</v>
      </c>
      <c r="AG253" s="1">
        <v>3</v>
      </c>
      <c r="AH253" s="1">
        <v>5</v>
      </c>
      <c r="AI253" s="1">
        <v>4</v>
      </c>
      <c r="AJ253" s="52" t="s">
        <v>2029</v>
      </c>
      <c r="AK253" s="9">
        <f>($L$3*(L253-$Q$1)/$Q$2+$M$3*(M253-$R$1)/$R$2+$N$3*(N253-$S$1)/$S$2+$O$3*(O253-$T$1)/$T$2+$P$3*(P253-$U$1)/$U$2)/(SUM($L$3:$P$3))</f>
        <v>-2.0843433498275723</v>
      </c>
      <c r="AL253" s="9">
        <f>($L$3*(Q253-$Q$1)/$Q$2+$M$3*(R253-$R$1)/$R$2+$N$3*(S253-$S$1)/$S$2+$O$3*(T253-$T$1)/$T$2+$P$3*(U253-$U$1)/$U$2)/(SUM($L$3:$P$3))</f>
        <v>-0.53655476523609946</v>
      </c>
      <c r="AM253">
        <f>IF(AVERAGE(AG253:AH253)&gt;9,1,0)+IF(AVERAGE(AG253:AH253)&gt;7,1,0)+IF(AG253&gt;7,1,0)+IF(AH253&gt;7,1,0)+IF(AI253&gt;8,1,0)+IF(AI253&gt;6,1,0)</f>
        <v>0</v>
      </c>
      <c r="AN253" s="6">
        <f>MIN(2,IF(OR(Y253="-",X253&lt;5),0,1+IF(Y253&gt;7,1+IF(X253&gt;7,0.25,0),IF(Y253&gt;4,0.5+IF(X253&gt;7,0.25,0),0+IF(X253&gt;7,0.25))))+IF(Z253="-",0,IF(Z253&gt;9,0.5,IF(Z253&gt;7,0.25,0)))+IF(AA253="-",0,IF(AA253&gt;7,1.1,IF(AA253&gt;4,0.6,0)))+IF(OR(AB253="-",V253&lt;5),0,IF(AB253&gt;7,1+IF(V253&gt;7,0.25,0),IF(AB253&gt;4,0.5+IF(V253&gt;7,0.25,0),0)))+IF(AC253="-",0,IF(AC253&gt;7,1.5,IF(AC253&gt;4,1,0)))+IF(AD253="-",0,IF(AD253&gt;9,0.5,IF(AD253&gt;7,0.25,0)))+IF(AE253="-",0,IF(AE253&gt;7,1.25,IF(AE253&gt;4,0.75,0)))+IF(OR(AF253="-",W253&lt;4),0,IF(AF253&gt;7,1+IF(W253&gt;7,0.15,0),IF(AF253&gt;4,0.5+IF(W253&gt;7,0.15,0),0))))</f>
        <v>1</v>
      </c>
      <c r="AO253" s="9">
        <f>($AK$3*AK253+$AL$3*AL253+$AM$3*AM253+$AN$3*AN253)+$J$3*VLOOKUP(J253,COND!$A$2:$C$7,2,FALSE)+$K$3*VLOOKUP(K253,COND!$A$2:$C$7,3,FALSE)</f>
        <v>3.8529084821840494</v>
      </c>
      <c r="AP253" s="37">
        <f>STANDARDIZE(AO253,AVERAGE($AO$5:$AO$1295),STDEVP($AO$5:$AO$1295))</f>
        <v>-0.94657032157139931</v>
      </c>
      <c r="AQ253" t="str">
        <f>IF(AND(Y253&lt;&gt;"-",X253&gt;1),"C",IF(AA253=MAX(AA253:AC253),"2B",IF(AC253=MAX(AA253:AC253),"SS",IF(OR(AB253=MAX(Z253:AC253),AND(AB253&lt;&gt;"-",AB253&gt;4,V253&gt;5)),"3B",IF(AE253=MAX(AD253:AF253),"CF",IF(AND(AF253=MAX(AD253,AF253),AND(W253&gt;5,AD253&lt;&gt;"-")),"RF",IF(AD253&lt;&gt;"-","LF",IF(Z253&lt;&gt;"-","1B","DH"))))))))</f>
        <v>C</v>
      </c>
      <c r="AR253" t="s">
        <v>35</v>
      </c>
      <c r="AU253" t="str">
        <f>IF(AND($Q253&gt;=6,AVERAGE($S253:$T253)&gt;=6),"Likely",IF(OR($Q253&gt;6,AND($Q253=6,AVERAGE($S253:$T253)&gt;=3),AND($Q253&gt;=5,AVERAGE($S253:$T253)&gt;=5),AVERAGE($Q253,$S253:$T253)&gt;5),"Possible","Unlikely"))</f>
        <v>Unlikely</v>
      </c>
      <c r="AW253" t="str">
        <f>IF(VLOOKUP($B253,'Draft List'!$D$4:$AB$2598,AW$3,FALSE)&lt;&gt;0,VLOOKUP($B253,'Draft List'!$D$4:$AB$2598,AW$3,FALSE),"")</f>
        <v/>
      </c>
      <c r="AX253" t="str">
        <f>IF(VLOOKUP($B253,'Draft List'!$D$4:$AB$2598,AX$3,FALSE)&lt;&gt;0,VLOOKUP($B253,'Draft List'!$D$4:$AB$2598,AX$3,FALSE),"")</f>
        <v/>
      </c>
      <c r="AY253" t="str">
        <f>IF(VLOOKUP($B253,'Draft List'!$D$4:$AB$2598,AY$3,FALSE)&lt;&gt;0,VLOOKUP($B253,'Draft List'!$D$4:$AB$2598,AY$3,FALSE),"")</f>
        <v/>
      </c>
    </row>
    <row r="254" spans="1:51">
      <c r="A254" t="str">
        <f>IF(C254="C","C-",C254)&amp;D254&amp;E254</f>
        <v>LFRodney Armstrong17</v>
      </c>
      <c r="B254">
        <f>VLOOKUP($A254,draft_listing_batters_stats!$A$1:$B$1324,2,FALSE)</f>
        <v>3589</v>
      </c>
      <c r="C254" s="1" t="s">
        <v>2035</v>
      </c>
      <c r="D254" s="1" t="s">
        <v>1448</v>
      </c>
      <c r="E254" s="1">
        <v>17</v>
      </c>
      <c r="F254" s="1" t="s">
        <v>2022</v>
      </c>
      <c r="G254" s="1" t="s">
        <v>2022</v>
      </c>
      <c r="H254" s="1" t="s">
        <v>2033</v>
      </c>
      <c r="I254" s="1" t="s">
        <v>2033</v>
      </c>
      <c r="J254" s="1" t="s">
        <v>2040</v>
      </c>
      <c r="K254" s="1" t="s">
        <v>2030</v>
      </c>
      <c r="L254" s="1">
        <v>1</v>
      </c>
      <c r="M254" s="1">
        <v>2</v>
      </c>
      <c r="N254" s="1">
        <v>1</v>
      </c>
      <c r="O254" s="1">
        <v>2</v>
      </c>
      <c r="P254" s="1">
        <v>1</v>
      </c>
      <c r="Q254" s="1">
        <v>4</v>
      </c>
      <c r="R254" s="1">
        <v>4</v>
      </c>
      <c r="S254" s="1">
        <v>2</v>
      </c>
      <c r="T254" s="1">
        <v>4</v>
      </c>
      <c r="U254" s="1">
        <v>4</v>
      </c>
      <c r="V254" s="1">
        <v>1</v>
      </c>
      <c r="W254" s="1">
        <v>8</v>
      </c>
      <c r="X254" s="1">
        <v>1</v>
      </c>
      <c r="Y254" s="1" t="s">
        <v>2027</v>
      </c>
      <c r="Z254" s="1" t="s">
        <v>2027</v>
      </c>
      <c r="AA254" s="1" t="s">
        <v>2027</v>
      </c>
      <c r="AB254" s="1" t="s">
        <v>2027</v>
      </c>
      <c r="AC254" s="1" t="s">
        <v>2027</v>
      </c>
      <c r="AD254" s="1">
        <v>3</v>
      </c>
      <c r="AE254" s="1" t="s">
        <v>2027</v>
      </c>
      <c r="AF254" s="1">
        <v>1</v>
      </c>
      <c r="AG254" s="1">
        <v>8</v>
      </c>
      <c r="AH254" s="1">
        <v>6</v>
      </c>
      <c r="AI254" s="1">
        <v>7</v>
      </c>
      <c r="AJ254" s="52">
        <v>210000</v>
      </c>
      <c r="AK254" s="9">
        <f>($L$3*(L254-$Q$1)/$Q$2+$M$3*(M254-$R$1)/$R$2+$N$3*(N254-$S$1)/$S$2+$O$3*(O254-$T$1)/$T$2+$P$3*(P254-$U$1)/$U$2)/(SUM($L$3:$P$3))</f>
        <v>-1.9435739201992874</v>
      </c>
      <c r="AL254" s="9">
        <f>($L$3*(Q254-$Q$1)/$Q$2+$M$3*(R254-$R$1)/$R$2+$N$3*(S254-$S$1)/$S$2+$O$3*(T254-$T$1)/$T$2+$P$3*(U254-$U$1)/$U$2)/(SUM($L$3:$P$3))</f>
        <v>-0.49125703885954242</v>
      </c>
      <c r="AM254">
        <f>IF(AVERAGE(AG254:AH254)&gt;9,1,0)+IF(AVERAGE(AG254:AH254)&gt;7,1,0)+IF(AG254&gt;7,1,0)+IF(AH254&gt;7,1,0)+IF(AI254&gt;8,1,0)+IF(AI254&gt;6,1,0)</f>
        <v>2</v>
      </c>
      <c r="AN254" s="6">
        <f>MIN(2,IF(OR(Y254="-",X254&lt;5),0,1+IF(Y254&gt;7,1+IF(X254&gt;7,0.25,0),IF(Y254&gt;4,0.5+IF(X254&gt;7,0.25,0),0+IF(X254&gt;7,0.25))))+IF(Z254="-",0,IF(Z254&gt;9,0.5,IF(Z254&gt;7,0.25,0)))+IF(AA254="-",0,IF(AA254&gt;7,1.1,IF(AA254&gt;4,0.6,0)))+IF(OR(AB254="-",V254&lt;5),0,IF(AB254&gt;7,1+IF(V254&gt;7,0.25,0),IF(AB254&gt;4,0.5+IF(V254&gt;7,0.25,0),0)))+IF(AC254="-",0,IF(AC254&gt;7,1.5,IF(AC254&gt;4,1,0)))+IF(AD254="-",0,IF(AD254&gt;9,0.5,IF(AD254&gt;7,0.25,0)))+IF(AE254="-",0,IF(AE254&gt;7,1.25,IF(AE254&gt;4,0.75,0)))+IF(OR(AF254="-",W254&lt;4),0,IF(AF254&gt;7,1+IF(W254&gt;7,0.15,0),IF(AF254&gt;4,0.5+IF(W254&gt;7,0.15,0),0))))</f>
        <v>0</v>
      </c>
      <c r="AO254" s="9">
        <f>($AK$3*AK254+$AL$3*AL254+$AM$3*AM254+$AN$3*AN254)+$J$3*VLOOKUP(J254,COND!$A$2:$C$7,2,FALSE)+$K$3*VLOOKUP(K254,COND!$A$2:$C$7,3,FALSE)</f>
        <v>3.8438914749988946</v>
      </c>
      <c r="AP254" s="37">
        <f>STANDARDIZE(AO254,AVERAGE($AO$5:$AO$1295),STDEVP($AO$5:$AO$1295))</f>
        <v>-0.94782299714768026</v>
      </c>
      <c r="AQ254" t="str">
        <f>IF(AND(Y254&lt;&gt;"-",X254&gt;1),"C",IF(AA254=MAX(AA254:AC254),"2B",IF(AC254=MAX(AA254:AC254),"SS",IF(OR(AB254=MAX(Z254:AC254),AND(AB254&lt;&gt;"-",AB254&gt;4,V254&gt;5)),"3B",IF(AE254=MAX(AD254:AF254),"CF",IF(AND(AF254=MAX(AD254,AF254),AND(W254&gt;5,AD254&lt;&gt;"-")),"RF",IF(AD254&lt;&gt;"-","LF",IF(Z254&lt;&gt;"-","1B","DH"))))))))</f>
        <v>LF</v>
      </c>
      <c r="AR254" t="s">
        <v>35</v>
      </c>
      <c r="AT254" t="s">
        <v>155</v>
      </c>
      <c r="AU254" t="str">
        <f>IF(AND($Q254&gt;=6,AVERAGE($S254:$T254)&gt;=6),"Likely",IF(OR($Q254&gt;6,AND($Q254=6,AVERAGE($S254:$T254)&gt;=3),AND($Q254&gt;=5,AVERAGE($S254:$T254)&gt;=5),AVERAGE($Q254,$S254:$T254)&gt;5),"Possible","Unlikely"))</f>
        <v>Unlikely</v>
      </c>
      <c r="AW254" t="str">
        <f>IF(VLOOKUP($B254,'Draft List'!$D$4:$AB$2598,AW$3,FALSE)&lt;&gt;0,VLOOKUP($B254,'Draft List'!$D$4:$AB$2598,AW$3,FALSE),"")</f>
        <v/>
      </c>
      <c r="AX254" t="str">
        <f>IF(VLOOKUP($B254,'Draft List'!$D$4:$AB$2598,AX$3,FALSE)&lt;&gt;0,VLOOKUP($B254,'Draft List'!$D$4:$AB$2598,AX$3,FALSE),"")</f>
        <v/>
      </c>
      <c r="AY254" t="str">
        <f>IF(VLOOKUP($B254,'Draft List'!$D$4:$AB$2598,AY$3,FALSE)&lt;&gt;0,VLOOKUP($B254,'Draft List'!$D$4:$AB$2598,AY$3,FALSE),"")</f>
        <v/>
      </c>
    </row>
    <row r="255" spans="1:51">
      <c r="A255" t="str">
        <f>IF(C255="C","C-",C255)&amp;D255&amp;E255</f>
        <v>LFCarlos Macías21</v>
      </c>
      <c r="B255" t="e">
        <f>VLOOKUP($A255,draft_listing_batters_stats!$A$1:$B$1324,2,FALSE)</f>
        <v>#N/A</v>
      </c>
      <c r="C255" s="1" t="s">
        <v>2035</v>
      </c>
      <c r="D255" s="1" t="s">
        <v>1352</v>
      </c>
      <c r="E255" s="1">
        <v>21</v>
      </c>
      <c r="F255" s="1" t="s">
        <v>2022</v>
      </c>
      <c r="G255" s="1" t="s">
        <v>2022</v>
      </c>
      <c r="H255" s="1" t="s">
        <v>2033</v>
      </c>
      <c r="I255" s="1" t="s">
        <v>2033</v>
      </c>
      <c r="J255" s="1" t="s">
        <v>2040</v>
      </c>
      <c r="K255" s="1" t="s">
        <v>2026</v>
      </c>
      <c r="L255" s="1">
        <v>3</v>
      </c>
      <c r="M255" s="1">
        <v>3</v>
      </c>
      <c r="N255" s="1">
        <v>1</v>
      </c>
      <c r="O255" s="1">
        <v>2</v>
      </c>
      <c r="P255" s="1">
        <v>2</v>
      </c>
      <c r="Q255" s="1">
        <v>4</v>
      </c>
      <c r="R255" s="1">
        <v>4</v>
      </c>
      <c r="S255" s="1">
        <v>2</v>
      </c>
      <c r="T255" s="1">
        <v>3</v>
      </c>
      <c r="U255" s="1">
        <v>4</v>
      </c>
      <c r="V255" s="1">
        <v>1</v>
      </c>
      <c r="W255" s="1">
        <v>7</v>
      </c>
      <c r="X255" s="1">
        <v>1</v>
      </c>
      <c r="Y255" s="1" t="s">
        <v>2027</v>
      </c>
      <c r="Z255" s="1" t="s">
        <v>2027</v>
      </c>
      <c r="AA255" s="1" t="s">
        <v>2027</v>
      </c>
      <c r="AB255" s="1" t="s">
        <v>2027</v>
      </c>
      <c r="AC255" s="1" t="s">
        <v>2027</v>
      </c>
      <c r="AD255" s="1">
        <v>3</v>
      </c>
      <c r="AE255" s="1" t="s">
        <v>2027</v>
      </c>
      <c r="AF255" s="1">
        <v>7</v>
      </c>
      <c r="AG255" s="1">
        <v>10</v>
      </c>
      <c r="AH255" s="1">
        <v>10</v>
      </c>
      <c r="AI255" s="1">
        <v>10</v>
      </c>
      <c r="AJ255" s="52" t="s">
        <v>2029</v>
      </c>
      <c r="AK255" s="9">
        <f>($L$3*(L255-$Q$1)/$Q$2+$M$3*(M255-$R$1)/$R$2+$N$3*(N255-$S$1)/$S$2+$O$3*(O255-$T$1)/$T$2+$P$3*(P255-$U$1)/$U$2)/(SUM($L$3:$P$3))</f>
        <v>-1.207386028358151</v>
      </c>
      <c r="AL255" s="9">
        <f>($L$3*(Q255-$Q$1)/$Q$2+$M$3*(R255-$R$1)/$R$2+$N$3*(S255-$S$1)/$S$2+$O$3*(T255-$T$1)/$T$2+$P$3*(U255-$U$1)/$U$2)/(SUM($L$3:$P$3))</f>
        <v>-0.58096658886912345</v>
      </c>
      <c r="AM255">
        <f>IF(AVERAGE(AG255:AH255)&gt;9,1,0)+IF(AVERAGE(AG255:AH255)&gt;7,1,0)+IF(AG255&gt;7,1,0)+IF(AH255&gt;7,1,0)+IF(AI255&gt;8,1,0)+IF(AI255&gt;6,1,0)</f>
        <v>6</v>
      </c>
      <c r="AN255" s="6">
        <f>MIN(2,IF(OR(Y255="-",X255&lt;5),0,1+IF(Y255&gt;7,1+IF(X255&gt;7,0.25,0),IF(Y255&gt;4,0.5+IF(X255&gt;7,0.25,0),0+IF(X255&gt;7,0.25))))+IF(Z255="-",0,IF(Z255&gt;9,0.5,IF(Z255&gt;7,0.25,0)))+IF(AA255="-",0,IF(AA255&gt;7,1.1,IF(AA255&gt;4,0.6,0)))+IF(OR(AB255="-",V255&lt;5),0,IF(AB255&gt;7,1+IF(V255&gt;7,0.25,0),IF(AB255&gt;4,0.5+IF(V255&gt;7,0.25,0),0)))+IF(AC255="-",0,IF(AC255&gt;7,1.5,IF(AC255&gt;4,1,0)))+IF(AD255="-",0,IF(AD255&gt;9,0.5,IF(AD255&gt;7,0.25,0)))+IF(AE255="-",0,IF(AE255&gt;7,1.25,IF(AE255&gt;4,0.75,0)))+IF(OR(AF255="-",W255&lt;4),0,IF(AF255&gt;7,1+IF(W255&gt;7,0.15,0),IF(AF255&gt;4,0.5+IF(W255&gt;7,0.15,0),0))))</f>
        <v>0.5</v>
      </c>
      <c r="AO255" s="9">
        <f>($AK$3*AK255+$AL$3*AL255+$AM$3*AM255+$AN$3*AN255)+$J$3*VLOOKUP(J255,COND!$A$2:$C$7,2,FALSE)+$K$3*VLOOKUP(K255,COND!$A$2:$C$7,3,FALSE)</f>
        <v>3.8076623307347033</v>
      </c>
      <c r="AP255" s="37">
        <f>STANDARDIZE(AO255,AVERAGE($AO$5:$AO$1295),STDEVP($AO$5:$AO$1295))</f>
        <v>-0.9528560822098755</v>
      </c>
      <c r="AQ255" t="str">
        <f>IF(AND(Y255&lt;&gt;"-",X255&gt;1),"C",IF(AA255=MAX(AA255:AC255),"2B",IF(AC255=MAX(AA255:AC255),"SS",IF(OR(AB255=MAX(Z255:AC255),AND(AB255&lt;&gt;"-",AB255&gt;4,V255&gt;5)),"3B",IF(AE255=MAX(AD255:AF255),"CF",IF(AND(AF255=MAX(AD255,AF255),AND(W255&gt;5,AD255&lt;&gt;"-")),"RF",IF(AD255&lt;&gt;"-","LF",IF(Z255&lt;&gt;"-","1B","DH"))))))))</f>
        <v>RF</v>
      </c>
      <c r="AR255" t="s">
        <v>35</v>
      </c>
      <c r="AU255" t="str">
        <f>IF(AND($Q255&gt;=6,AVERAGE($S255:$T255)&gt;=6),"Likely",IF(OR($Q255&gt;6,AND($Q255=6,AVERAGE($S255:$T255)&gt;=3),AND($Q255&gt;=5,AVERAGE($S255:$T255)&gt;=5),AVERAGE($Q255,$S255:$T255)&gt;5),"Possible","Unlikely"))</f>
        <v>Unlikely</v>
      </c>
      <c r="AW255" t="e">
        <f>IF(VLOOKUP($B255,'Draft List'!$D$4:$AB$2598,AW$3,FALSE)&lt;&gt;0,VLOOKUP($B255,'Draft List'!$D$4:$AB$2598,AW$3,FALSE),"")</f>
        <v>#N/A</v>
      </c>
      <c r="AX255" t="e">
        <f>IF(VLOOKUP($B255,'Draft List'!$D$4:$AB$2598,AX$3,FALSE)&lt;&gt;0,VLOOKUP($B255,'Draft List'!$D$4:$AB$2598,AX$3,FALSE),"")</f>
        <v>#N/A</v>
      </c>
      <c r="AY255" t="e">
        <f>IF(VLOOKUP($B255,'Draft List'!$D$4:$AB$2598,AY$3,FALSE)&lt;&gt;0,VLOOKUP($B255,'Draft List'!$D$4:$AB$2598,AY$3,FALSE),"")</f>
        <v>#N/A</v>
      </c>
    </row>
    <row r="256" spans="1:51">
      <c r="A256" t="str">
        <f>IF(C256="C","C-",C256)&amp;D256&amp;E256</f>
        <v>LFHiroshige Maruyama21</v>
      </c>
      <c r="B256">
        <f>VLOOKUP($A256,draft_listing_batters_stats!$A$1:$B$1324,2,FALSE)</f>
        <v>7773</v>
      </c>
      <c r="C256" s="1" t="s">
        <v>2035</v>
      </c>
      <c r="D256" s="1" t="s">
        <v>1359</v>
      </c>
      <c r="E256" s="1">
        <v>21</v>
      </c>
      <c r="F256" s="1" t="s">
        <v>2038</v>
      </c>
      <c r="G256" s="1" t="s">
        <v>2022</v>
      </c>
      <c r="H256" s="1" t="s">
        <v>2033</v>
      </c>
      <c r="I256" s="1" t="s">
        <v>2033</v>
      </c>
      <c r="J256" s="1" t="s">
        <v>2040</v>
      </c>
      <c r="K256" s="1" t="s">
        <v>2025</v>
      </c>
      <c r="L256" s="1">
        <v>3</v>
      </c>
      <c r="M256" s="1">
        <v>4</v>
      </c>
      <c r="N256" s="1">
        <v>1</v>
      </c>
      <c r="O256" s="1">
        <v>3</v>
      </c>
      <c r="P256" s="1">
        <v>2</v>
      </c>
      <c r="Q256" s="1">
        <v>4</v>
      </c>
      <c r="R256" s="1">
        <v>4</v>
      </c>
      <c r="S256" s="1">
        <v>1</v>
      </c>
      <c r="T256" s="1">
        <v>5</v>
      </c>
      <c r="U256" s="1">
        <v>4</v>
      </c>
      <c r="V256" s="1">
        <v>1</v>
      </c>
      <c r="W256" s="1">
        <v>7</v>
      </c>
      <c r="X256" s="1">
        <v>1</v>
      </c>
      <c r="Y256" s="1" t="s">
        <v>2027</v>
      </c>
      <c r="Z256" s="1" t="s">
        <v>2027</v>
      </c>
      <c r="AA256" s="1" t="s">
        <v>2027</v>
      </c>
      <c r="AB256" s="1" t="s">
        <v>2027</v>
      </c>
      <c r="AC256" s="1" t="s">
        <v>2027</v>
      </c>
      <c r="AD256" s="1">
        <v>4</v>
      </c>
      <c r="AE256" s="1">
        <v>4</v>
      </c>
      <c r="AF256" s="1">
        <v>3</v>
      </c>
      <c r="AG256" s="1">
        <v>8</v>
      </c>
      <c r="AH256" s="1">
        <v>6</v>
      </c>
      <c r="AI256" s="1">
        <v>4</v>
      </c>
      <c r="AJ256" s="52" t="s">
        <v>2029</v>
      </c>
      <c r="AK256" s="9">
        <f>($L$3*(L256-$Q$1)/$Q$2+$M$3*(M256-$R$1)/$R$2+$N$3*(N256-$S$1)/$S$2+$O$3*(O256-$T$1)/$T$2+$P$3*(P256-$U$1)/$U$2)/(SUM($L$3:$P$3))</f>
        <v>-1.0666165987298666</v>
      </c>
      <c r="AL256" s="9">
        <f>($L$3*(Q256-$Q$1)/$Q$2+$M$3*(R256-$R$1)/$R$2+$N$3*(S256-$S$1)/$S$2+$O$3*(T256-$T$1)/$T$2+$P$3*(U256-$U$1)/$U$2)/(SUM($L$3:$P$3))</f>
        <v>-0.48460898287386284</v>
      </c>
      <c r="AM256">
        <f>IF(AVERAGE(AG256:AH256)&gt;9,1,0)+IF(AVERAGE(AG256:AH256)&gt;7,1,0)+IF(AG256&gt;7,1,0)+IF(AH256&gt;7,1,0)+IF(AI256&gt;8,1,0)+IF(AI256&gt;6,1,0)</f>
        <v>1</v>
      </c>
      <c r="AN256" s="6">
        <f>MIN(2,IF(OR(Y256="-",X256&lt;5),0,1+IF(Y256&gt;7,1+IF(X256&gt;7,0.25,0),IF(Y256&gt;4,0.5+IF(X256&gt;7,0.25,0),0+IF(X256&gt;7,0.25))))+IF(Z256="-",0,IF(Z256&gt;9,0.5,IF(Z256&gt;7,0.25,0)))+IF(AA256="-",0,IF(AA256&gt;7,1.1,IF(AA256&gt;4,0.6,0)))+IF(OR(AB256="-",V256&lt;5),0,IF(AB256&gt;7,1+IF(V256&gt;7,0.25,0),IF(AB256&gt;4,0.5+IF(V256&gt;7,0.25,0),0)))+IF(AC256="-",0,IF(AC256&gt;7,1.5,IF(AC256&gt;4,1,0)))+IF(AD256="-",0,IF(AD256&gt;9,0.5,IF(AD256&gt;7,0.25,0)))+IF(AE256="-",0,IF(AE256&gt;7,1.25,IF(AE256&gt;4,0.75,0)))+IF(OR(AF256="-",W256&lt;4),0,IF(AF256&gt;7,1+IF(W256&gt;7,0.15,0),IF(AF256&gt;4,0.5+IF(W256&gt;7,0.15,0),0))))</f>
        <v>0</v>
      </c>
      <c r="AO256" s="9">
        <f>($AK$3*AK256+$AL$3*AL256+$AM$3*AM256+$AN$3*AN256)+$J$3*VLOOKUP(J256,COND!$A$2:$C$7,2,FALSE)+$K$3*VLOOKUP(K256,COND!$A$2:$C$7,3,FALSE)</f>
        <v>3.7446972123073268</v>
      </c>
      <c r="AP256" s="37">
        <f>STANDARDIZE(AO256,AVERAGE($AO$5:$AO$1295),STDEVP($AO$5:$AO$1295))</f>
        <v>-0.96160342646634522</v>
      </c>
      <c r="AQ256" t="str">
        <f>IF(AND(Y256&lt;&gt;"-",X256&gt;1),"C",IF(AA256=MAX(AA256:AC256),"2B",IF(AC256=MAX(AA256:AC256),"SS",IF(OR(AB256=MAX(Z256:AC256),AND(AB256&lt;&gt;"-",AB256&gt;4,V256&gt;5)),"3B",IF(AE256=MAX(AD256:AF256),"CF",IF(AND(AF256=MAX(AD256,AF256),AND(W256&gt;5,AD256&lt;&gt;"-")),"RF",IF(AD256&lt;&gt;"-","LF",IF(Z256&lt;&gt;"-","1B","DH"))))))))</f>
        <v>CF</v>
      </c>
      <c r="AR256" t="s">
        <v>35</v>
      </c>
      <c r="AU256" t="str">
        <f>IF(AND($Q256&gt;=6,AVERAGE($S256:$T256)&gt;=6),"Likely",IF(OR($Q256&gt;6,AND($Q256=6,AVERAGE($S256:$T256)&gt;=3),AND($Q256&gt;=5,AVERAGE($S256:$T256)&gt;=5),AVERAGE($Q256,$S256:$T256)&gt;5),"Possible","Unlikely"))</f>
        <v>Unlikely</v>
      </c>
      <c r="AW256" t="e">
        <f>IF(VLOOKUP($B256,'Draft List'!$D$4:$AB$2598,AW$3,FALSE)&lt;&gt;0,VLOOKUP($B256,'Draft List'!$D$4:$AB$2598,AW$3,FALSE),"")</f>
        <v>#N/A</v>
      </c>
      <c r="AX256" t="e">
        <f>IF(VLOOKUP($B256,'Draft List'!$D$4:$AB$2598,AX$3,FALSE)&lt;&gt;0,VLOOKUP($B256,'Draft List'!$D$4:$AB$2598,AX$3,FALSE),"")</f>
        <v>#N/A</v>
      </c>
      <c r="AY256" t="e">
        <f>IF(VLOOKUP($B256,'Draft List'!$D$4:$AB$2598,AY$3,FALSE)&lt;&gt;0,VLOOKUP($B256,'Draft List'!$D$4:$AB$2598,AY$3,FALSE),"")</f>
        <v>#N/A</v>
      </c>
    </row>
    <row r="257" spans="1:51">
      <c r="A257" t="str">
        <f>IF(C257="C","C-",C257)&amp;D257&amp;E257</f>
        <v>CFJorge Rodríguez21</v>
      </c>
      <c r="B257" t="e">
        <f>VLOOKUP($A257,draft_listing_batters_stats!$A$1:$B$1324,2,FALSE)</f>
        <v>#N/A</v>
      </c>
      <c r="C257" s="1" t="s">
        <v>2079</v>
      </c>
      <c r="D257" s="1" t="s">
        <v>2096</v>
      </c>
      <c r="E257" s="1">
        <v>21</v>
      </c>
      <c r="F257" s="1" t="s">
        <v>2022</v>
      </c>
      <c r="G257" s="1" t="s">
        <v>2022</v>
      </c>
      <c r="H257" s="1" t="s">
        <v>2033</v>
      </c>
      <c r="I257" s="1" t="s">
        <v>2033</v>
      </c>
      <c r="J257" s="1" t="s">
        <v>2040</v>
      </c>
      <c r="K257" s="1" t="s">
        <v>2030</v>
      </c>
      <c r="L257" s="1">
        <v>2</v>
      </c>
      <c r="M257" s="1">
        <v>5</v>
      </c>
      <c r="N257" s="1">
        <v>1</v>
      </c>
      <c r="O257" s="1">
        <v>2</v>
      </c>
      <c r="P257" s="1">
        <v>1</v>
      </c>
      <c r="Q257" s="1">
        <v>4</v>
      </c>
      <c r="R257" s="1">
        <v>6</v>
      </c>
      <c r="S257" s="1">
        <v>2</v>
      </c>
      <c r="T257" s="1">
        <v>3</v>
      </c>
      <c r="U257" s="1">
        <v>4</v>
      </c>
      <c r="V257" s="1">
        <v>1</v>
      </c>
      <c r="W257" s="1">
        <v>5</v>
      </c>
      <c r="X257" s="1">
        <v>1</v>
      </c>
      <c r="Y257" s="1" t="s">
        <v>2027</v>
      </c>
      <c r="Z257" s="1" t="s">
        <v>2027</v>
      </c>
      <c r="AA257" s="1" t="s">
        <v>2027</v>
      </c>
      <c r="AB257" s="1" t="s">
        <v>2027</v>
      </c>
      <c r="AC257" s="1" t="s">
        <v>2027</v>
      </c>
      <c r="AD257" s="1">
        <v>1</v>
      </c>
      <c r="AE257" s="1">
        <v>2</v>
      </c>
      <c r="AF257" s="1">
        <v>1</v>
      </c>
      <c r="AG257" s="1">
        <v>6</v>
      </c>
      <c r="AH257" s="1">
        <v>3</v>
      </c>
      <c r="AI257" s="1">
        <v>1</v>
      </c>
      <c r="AJ257" s="52" t="s">
        <v>2029</v>
      </c>
      <c r="AK257" s="9">
        <f>($L$3*(L257-$Q$1)/$Q$2+$M$3*(M257-$R$1)/$R$2+$N$3*(N257-$S$1)/$S$2+$O$3*(O257-$T$1)/$T$2+$P$3*(P257-$U$1)/$U$2)/(SUM($L$3:$P$3))</f>
        <v>-1.4678384451405022</v>
      </c>
      <c r="AL257" s="9">
        <f>($L$3*(Q257-$Q$1)/$Q$2+$M$3*(R257-$R$1)/$R$2+$N$3*(S257-$S$1)/$S$2+$O$3*(T257-$T$1)/$T$2+$P$3*(U257-$U$1)/$U$2)/(SUM($L$3:$P$3))</f>
        <v>-0.47884682963171643</v>
      </c>
      <c r="AM257">
        <f>IF(AVERAGE(AG257:AH257)&gt;9,1,0)+IF(AVERAGE(AG257:AH257)&gt;7,1,0)+IF(AG257&gt;7,1,0)+IF(AH257&gt;7,1,0)+IF(AI257&gt;8,1,0)+IF(AI257&gt;6,1,0)</f>
        <v>0</v>
      </c>
      <c r="AN257" s="6">
        <f>MIN(2,IF(OR(Y257="-",X257&lt;5),0,1+IF(Y257&gt;7,1+IF(X257&gt;7,0.25,0),IF(Y257&gt;4,0.5+IF(X257&gt;7,0.25,0),0+IF(X257&gt;7,0.25))))+IF(Z257="-",0,IF(Z257&gt;9,0.5,IF(Z257&gt;7,0.25,0)))+IF(AA257="-",0,IF(AA257&gt;7,1.1,IF(AA257&gt;4,0.6,0)))+IF(OR(AB257="-",V257&lt;5),0,IF(AB257&gt;7,1+IF(V257&gt;7,0.25,0),IF(AB257&gt;4,0.5+IF(V257&gt;7,0.25,0),0)))+IF(AC257="-",0,IF(AC257&gt;7,1.5,IF(AC257&gt;4,1,0)))+IF(AD257="-",0,IF(AD257&gt;9,0.5,IF(AD257&gt;7,0.25,0)))+IF(AE257="-",0,IF(AE257&gt;7,1.25,IF(AE257&gt;4,0.75,0)))+IF(OR(AF257="-",W257&lt;4),0,IF(AF257&gt;7,1+IF(W257&gt;7,0.15,0),IF(AF257&gt;4,0.5+IF(W257&gt;7,0.15,0),0))))</f>
        <v>0</v>
      </c>
      <c r="AO257" s="9">
        <f>($AK$3*AK257+$AL$3*AL257+$AM$3*AM257+$AN$3*AN257)+$J$3*VLOOKUP(J257,COND!$A$2:$C$7,2,FALSE)+$K$3*VLOOKUP(K257,COND!$A$2:$C$7,3,FALSE)</f>
        <v>3.707054199905353</v>
      </c>
      <c r="AP257" s="37">
        <f>STANDARDIZE(AO257,AVERAGE($AO$5:$AO$1295),STDEVP($AO$5:$AO$1295))</f>
        <v>-0.96683293125494341</v>
      </c>
      <c r="AQ257" t="str">
        <f>IF(AND(Y257&lt;&gt;"-",X257&gt;1),"C",IF(AA257=MAX(AA257:AC257),"2B",IF(AC257=MAX(AA257:AC257),"SS",IF(OR(AB257=MAX(Z257:AC257),AND(AB257&lt;&gt;"-",AB257&gt;4,V257&gt;5)),"3B",IF(AE257=MAX(AD257:AF257),"CF",IF(AND(AF257=MAX(AD257,AF257),AND(W257&gt;5,AD257&lt;&gt;"-")),"RF",IF(AD257&lt;&gt;"-","LF",IF(Z257&lt;&gt;"-","1B","DH"))))))))</f>
        <v>CF</v>
      </c>
      <c r="AR257" t="s">
        <v>35</v>
      </c>
      <c r="AU257" t="str">
        <f>IF(AND($Q257&gt;=6,AVERAGE($S257:$T257)&gt;=6),"Likely",IF(OR($Q257&gt;6,AND($Q257=6,AVERAGE($S257:$T257)&gt;=3),AND($Q257&gt;=5,AVERAGE($S257:$T257)&gt;=5),AVERAGE($Q257,$S257:$T257)&gt;5),"Possible","Unlikely"))</f>
        <v>Unlikely</v>
      </c>
      <c r="AW257" t="e">
        <f>IF(VLOOKUP($B257,'Draft List'!$D$4:$AB$2598,AW$3,FALSE)&lt;&gt;0,VLOOKUP($B257,'Draft List'!$D$4:$AB$2598,AW$3,FALSE),"")</f>
        <v>#N/A</v>
      </c>
      <c r="AX257" t="e">
        <f>IF(VLOOKUP($B257,'Draft List'!$D$4:$AB$2598,AX$3,FALSE)&lt;&gt;0,VLOOKUP($B257,'Draft List'!$D$4:$AB$2598,AX$3,FALSE),"")</f>
        <v>#N/A</v>
      </c>
      <c r="AY257" t="e">
        <f>IF(VLOOKUP($B257,'Draft List'!$D$4:$AB$2598,AY$3,FALSE)&lt;&gt;0,VLOOKUP($B257,'Draft List'!$D$4:$AB$2598,AY$3,FALSE),"")</f>
        <v>#N/A</v>
      </c>
    </row>
    <row r="258" spans="1:51">
      <c r="A258" t="str">
        <f>IF(C258="C","C-",C258)&amp;D258&amp;E258</f>
        <v>C-Troy Wilson18</v>
      </c>
      <c r="B258">
        <f>VLOOKUP($A258,draft_listing_batters_stats!$A$1:$B$1324,2,FALSE)</f>
        <v>148</v>
      </c>
      <c r="C258" s="1" t="s">
        <v>2091</v>
      </c>
      <c r="D258" s="1" t="s">
        <v>1261</v>
      </c>
      <c r="E258" s="1">
        <v>18</v>
      </c>
      <c r="F258" s="1" t="s">
        <v>2022</v>
      </c>
      <c r="G258" s="1" t="s">
        <v>2022</v>
      </c>
      <c r="H258" s="1" t="s">
        <v>2033</v>
      </c>
      <c r="I258" s="1" t="s">
        <v>2033</v>
      </c>
      <c r="J258" s="1" t="s">
        <v>2025</v>
      </c>
      <c r="K258" s="1" t="s">
        <v>2025</v>
      </c>
      <c r="L258" s="1">
        <v>1</v>
      </c>
      <c r="M258" s="1">
        <v>1</v>
      </c>
      <c r="N258" s="1">
        <v>1</v>
      </c>
      <c r="O258" s="1">
        <v>1</v>
      </c>
      <c r="P258" s="1">
        <v>1</v>
      </c>
      <c r="Q258" s="1">
        <v>4</v>
      </c>
      <c r="R258" s="1">
        <v>2</v>
      </c>
      <c r="S258" s="1">
        <v>3</v>
      </c>
      <c r="T258" s="1">
        <v>4</v>
      </c>
      <c r="U258" s="1">
        <v>4</v>
      </c>
      <c r="V258" s="1">
        <v>5</v>
      </c>
      <c r="W258" s="1">
        <v>6</v>
      </c>
      <c r="X258" s="1">
        <v>4</v>
      </c>
      <c r="Y258" s="1" t="s">
        <v>2027</v>
      </c>
      <c r="Z258" s="1" t="s">
        <v>2027</v>
      </c>
      <c r="AA258" s="1" t="s">
        <v>2027</v>
      </c>
      <c r="AB258" s="1" t="s">
        <v>2027</v>
      </c>
      <c r="AC258" s="1" t="s">
        <v>2027</v>
      </c>
      <c r="AD258" s="1" t="s">
        <v>2027</v>
      </c>
      <c r="AE258" s="1" t="s">
        <v>2027</v>
      </c>
      <c r="AF258" s="1" t="s">
        <v>2027</v>
      </c>
      <c r="AG258" s="1">
        <v>1</v>
      </c>
      <c r="AH258" s="1">
        <v>3</v>
      </c>
      <c r="AI258" s="1">
        <v>4</v>
      </c>
      <c r="AJ258" s="52" t="s">
        <v>2029</v>
      </c>
      <c r="AK258" s="9">
        <f>($L$3*(L258-$Q$1)/$Q$2+$M$3*(M258-$R$1)/$R$2+$N$3*(N258-$S$1)/$S$2+$O$3*(O258-$T$1)/$T$2+$P$3*(P258-$U$1)/$U$2)/(SUM($L$3:$P$3))</f>
        <v>-2.0843433498275723</v>
      </c>
      <c r="AL258" s="9">
        <f>($L$3*(Q258-$Q$1)/$Q$2+$M$3*(R258-$R$1)/$R$2+$N$3*(S258-$S$1)/$S$2+$O$3*(T258-$T$1)/$T$2+$P$3*(U258-$U$1)/$U$2)/(SUM($L$3:$P$3))</f>
        <v>-0.51031530407304782</v>
      </c>
      <c r="AM258">
        <f>IF(AVERAGE(AG258:AH258)&gt;9,1,0)+IF(AVERAGE(AG258:AH258)&gt;7,1,0)+IF(AG258&gt;7,1,0)+IF(AH258&gt;7,1,0)+IF(AI258&gt;8,1,0)+IF(AI258&gt;6,1,0)</f>
        <v>0</v>
      </c>
      <c r="AN258" s="6">
        <f>MIN(2,IF(OR(Y258="-",X258&lt;5),0,1+IF(Y258&gt;7,1+IF(X258&gt;7,0.25,0),IF(Y258&gt;4,0.5+IF(X258&gt;7,0.25,0),0+IF(X258&gt;7,0.25))))+IF(Z258="-",0,IF(Z258&gt;9,0.5,IF(Z258&gt;7,0.25,0)))+IF(AA258="-",0,IF(AA258&gt;7,1.1,IF(AA258&gt;4,0.6,0)))+IF(OR(AB258="-",V258&lt;5),0,IF(AB258&gt;7,1+IF(V258&gt;7,0.25,0),IF(AB258&gt;4,0.5+IF(V258&gt;7,0.25,0),0)))+IF(AC258="-",0,IF(AC258&gt;7,1.5,IF(AC258&gt;4,1,0)))+IF(AD258="-",0,IF(AD258&gt;9,0.5,IF(AD258&gt;7,0.25,0)))+IF(AE258="-",0,IF(AE258&gt;7,1.25,IF(AE258&gt;4,0.75,0)))+IF(OR(AF258="-",W258&lt;4),0,IF(AF258&gt;7,1+IF(W258&gt;7,0.15,0),IF(AF258&gt;4,0.5+IF(W258&gt;7,0.15,0),0))))</f>
        <v>0</v>
      </c>
      <c r="AO258" s="9">
        <f>($AK$3*AK258+$AL$3*AL258+$AM$3*AM258+$AN$3*AN258)+$J$3*VLOOKUP(J258,COND!$A$2:$C$7,2,FALSE)+$K$3*VLOOKUP(K258,COND!$A$2:$C$7,3,FALSE)</f>
        <v>3.6677820161406691</v>
      </c>
      <c r="AP258" s="37">
        <f>STANDARDIZE(AO258,AVERAGE($AO$5:$AO$1295),STDEVP($AO$5:$AO$1295))</f>
        <v>-0.97228876648043028</v>
      </c>
      <c r="AQ258" t="str">
        <f>IF(AND(Y258&lt;&gt;"-",X258&gt;1),"C",IF(AA258=MAX(AA258:AC258),"2B",IF(AC258=MAX(AA258:AC258),"SS",IF(OR(AB258=MAX(Z258:AC258),AND(AB258&lt;&gt;"-",AB258&gt;4,V258&gt;5)),"3B",IF(AE258=MAX(AD258:AF258),"CF",IF(AND(AF258=MAX(AD258,AF258),AND(W258&gt;5,AD258&lt;&gt;"-")),"RF",IF(AD258&lt;&gt;"-","LF",IF(Z258&lt;&gt;"-","1B","DH"))))))))</f>
        <v>DH</v>
      </c>
      <c r="AR258" t="s">
        <v>35</v>
      </c>
      <c r="AU258" t="str">
        <f>IF(AND($Q258&gt;=6,AVERAGE($S258:$T258)&gt;=6),"Likely",IF(OR($Q258&gt;6,AND($Q258=6,AVERAGE($S258:$T258)&gt;=3),AND($Q258&gt;=5,AVERAGE($S258:$T258)&gt;=5),AVERAGE($Q258,$S258:$T258)&gt;5),"Possible","Unlikely"))</f>
        <v>Unlikely</v>
      </c>
      <c r="AW258" t="str">
        <f>IF(VLOOKUP($B258,'Draft List'!$D$4:$AB$2598,AW$3,FALSE)&lt;&gt;0,VLOOKUP($B258,'Draft List'!$D$4:$AB$2598,AW$3,FALSE),"")</f>
        <v/>
      </c>
      <c r="AX258" t="str">
        <f>IF(VLOOKUP($B258,'Draft List'!$D$4:$AB$2598,AX$3,FALSE)&lt;&gt;0,VLOOKUP($B258,'Draft List'!$D$4:$AB$2598,AX$3,FALSE),"")</f>
        <v/>
      </c>
      <c r="AY258" t="str">
        <f>IF(VLOOKUP($B258,'Draft List'!$D$4:$AB$2598,AY$3,FALSE)&lt;&gt;0,VLOOKUP($B258,'Draft List'!$D$4:$AB$2598,AY$3,FALSE),"")</f>
        <v/>
      </c>
    </row>
    <row r="259" spans="1:51">
      <c r="A259" t="str">
        <f>IF(C259="C","C-",C259)&amp;D259&amp;E259</f>
        <v>LFStan Gates21</v>
      </c>
      <c r="B259">
        <f>VLOOKUP($A259,draft_listing_batters_stats!$A$1:$B$1324,2,FALSE)</f>
        <v>2508</v>
      </c>
      <c r="C259" s="1" t="s">
        <v>2035</v>
      </c>
      <c r="D259" s="1" t="s">
        <v>1298</v>
      </c>
      <c r="E259" s="1">
        <v>21</v>
      </c>
      <c r="F259" s="1" t="s">
        <v>2022</v>
      </c>
      <c r="G259" s="1" t="s">
        <v>2022</v>
      </c>
      <c r="H259" s="1" t="s">
        <v>2033</v>
      </c>
      <c r="I259" s="1" t="s">
        <v>2033</v>
      </c>
      <c r="J259" s="1" t="s">
        <v>2025</v>
      </c>
      <c r="K259" s="1" t="s">
        <v>2026</v>
      </c>
      <c r="L259" s="1">
        <v>2</v>
      </c>
      <c r="M259" s="1">
        <v>4</v>
      </c>
      <c r="N259" s="1">
        <v>1</v>
      </c>
      <c r="O259" s="1">
        <v>2</v>
      </c>
      <c r="P259" s="1">
        <v>2</v>
      </c>
      <c r="Q259" s="1">
        <v>4</v>
      </c>
      <c r="R259" s="1">
        <v>4</v>
      </c>
      <c r="S259" s="1">
        <v>2</v>
      </c>
      <c r="T259" s="1">
        <v>3</v>
      </c>
      <c r="U259" s="1">
        <v>4</v>
      </c>
      <c r="V259" s="1">
        <v>1</v>
      </c>
      <c r="W259" s="1">
        <v>6</v>
      </c>
      <c r="X259" s="1">
        <v>1</v>
      </c>
      <c r="Y259" s="1" t="s">
        <v>2027</v>
      </c>
      <c r="Z259" s="1" t="s">
        <v>2027</v>
      </c>
      <c r="AA259" s="1" t="s">
        <v>2027</v>
      </c>
      <c r="AB259" s="1" t="s">
        <v>2027</v>
      </c>
      <c r="AC259" s="1" t="s">
        <v>2027</v>
      </c>
      <c r="AD259" s="1">
        <v>7</v>
      </c>
      <c r="AE259" s="1" t="s">
        <v>2027</v>
      </c>
      <c r="AF259" s="1">
        <v>2</v>
      </c>
      <c r="AG259" s="1">
        <v>8</v>
      </c>
      <c r="AH259" s="1">
        <v>10</v>
      </c>
      <c r="AI259" s="1">
        <v>9</v>
      </c>
      <c r="AJ259" s="52" t="s">
        <v>2029</v>
      </c>
      <c r="AK259" s="9">
        <f>($L$3*(L259-$Q$1)/$Q$2+$M$3*(M259-$R$1)/$R$2+$N$3*(N259-$S$1)/$S$2+$O$3*(O259-$T$1)/$T$2+$P$3*(P259-$U$1)/$U$2)/(SUM($L$3:$P$3))</f>
        <v>-1.4788819849421222</v>
      </c>
      <c r="AL259" s="9">
        <f>($L$3*(Q259-$Q$1)/$Q$2+$M$3*(R259-$R$1)/$R$2+$N$3*(S259-$S$1)/$S$2+$O$3*(T259-$T$1)/$T$2+$P$3*(U259-$U$1)/$U$2)/(SUM($L$3:$P$3))</f>
        <v>-0.58096658886912345</v>
      </c>
      <c r="AM259">
        <f>IF(AVERAGE(AG259:AH259)&gt;9,1,0)+IF(AVERAGE(AG259:AH259)&gt;7,1,0)+IF(AG259&gt;7,1,0)+IF(AH259&gt;7,1,0)+IF(AI259&gt;8,1,0)+IF(AI259&gt;6,1,0)</f>
        <v>5</v>
      </c>
      <c r="AN259" s="6">
        <f>MIN(2,IF(OR(Y259="-",X259&lt;5),0,1+IF(Y259&gt;7,1+IF(X259&gt;7,0.25,0),IF(Y259&gt;4,0.5+IF(X259&gt;7,0.25,0),0+IF(X259&gt;7,0.25))))+IF(Z259="-",0,IF(Z259&gt;9,0.5,IF(Z259&gt;7,0.25,0)))+IF(AA259="-",0,IF(AA259&gt;7,1.1,IF(AA259&gt;4,0.6,0)))+IF(OR(AB259="-",V259&lt;5),0,IF(AB259&gt;7,1+IF(V259&gt;7,0.25,0),IF(AB259&gt;4,0.5+IF(V259&gt;7,0.25,0),0)))+IF(AC259="-",0,IF(AC259&gt;7,1.5,IF(AC259&gt;4,1,0)))+IF(AD259="-",0,IF(AD259&gt;9,0.5,IF(AD259&gt;7,0.25,0)))+IF(AE259="-",0,IF(AE259&gt;7,1.25,IF(AE259&gt;4,0.75,0)))+IF(OR(AF259="-",W259&lt;4),0,IF(AF259&gt;7,1+IF(W259&gt;7,0.15,0),IF(AF259&gt;4,0.5+IF(W259&gt;7,0.15,0),0))))</f>
        <v>0</v>
      </c>
      <c r="AO259" s="9">
        <f>($AK$3*AK259+$AL$3*AL259+$AM$3*AM259+$AN$3*AN259)+$J$3*VLOOKUP(J259,COND!$A$2:$C$7,2,FALSE)+$K$3*VLOOKUP(K259,COND!$A$2:$C$7,3,FALSE)</f>
        <v>3.6138460684096394</v>
      </c>
      <c r="AP259" s="37">
        <f>STANDARDIZE(AO259,AVERAGE($AO$5:$AO$1295),STDEVP($AO$5:$AO$1295))</f>
        <v>-0.97978174536121232</v>
      </c>
      <c r="AQ259" t="str">
        <f>IF(AND(Y259&lt;&gt;"-",X259&gt;1),"C",IF(AA259=MAX(AA259:AC259),"2B",IF(AC259=MAX(AA259:AC259),"SS",IF(OR(AB259=MAX(Z259:AC259),AND(AB259&lt;&gt;"-",AB259&gt;4,V259&gt;5)),"3B",IF(AE259=MAX(AD259:AF259),"CF",IF(AND(AF259=MAX(AD259,AF259),AND(W259&gt;5,AD259&lt;&gt;"-")),"RF",IF(AD259&lt;&gt;"-","LF",IF(Z259&lt;&gt;"-","1B","DH"))))))))</f>
        <v>LF</v>
      </c>
      <c r="AR259" t="s">
        <v>35</v>
      </c>
      <c r="AU259" t="str">
        <f>IF(AND($Q259&gt;=6,AVERAGE($S259:$T259)&gt;=6),"Likely",IF(OR($Q259&gt;6,AND($Q259=6,AVERAGE($S259:$T259)&gt;=3),AND($Q259&gt;=5,AVERAGE($S259:$T259)&gt;=5),AVERAGE($Q259,$S259:$T259)&gt;5),"Possible","Unlikely"))</f>
        <v>Unlikely</v>
      </c>
      <c r="AW259" t="str">
        <f>IF(VLOOKUP($B259,'Draft List'!$D$4:$AB$2598,AW$3,FALSE)&lt;&gt;0,VLOOKUP($B259,'Draft List'!$D$4:$AB$2598,AW$3,FALSE),"")</f>
        <v/>
      </c>
      <c r="AX259" t="str">
        <f>IF(VLOOKUP($B259,'Draft List'!$D$4:$AB$2598,AX$3,FALSE)&lt;&gt;0,VLOOKUP($B259,'Draft List'!$D$4:$AB$2598,AX$3,FALSE),"")</f>
        <v/>
      </c>
      <c r="AY259" t="str">
        <f>IF(VLOOKUP($B259,'Draft List'!$D$4:$AB$2598,AY$3,FALSE)&lt;&gt;0,VLOOKUP($B259,'Draft List'!$D$4:$AB$2598,AY$3,FALSE),"")</f>
        <v/>
      </c>
    </row>
    <row r="260" spans="1:51">
      <c r="A260" t="str">
        <f>IF(C260="C","C-",C260)&amp;D260&amp;E260</f>
        <v>SSJason McDonald21</v>
      </c>
      <c r="B260">
        <f>VLOOKUP($A260,draft_listing_batters_stats!$A$1:$B$1324,2,FALSE)</f>
        <v>8387</v>
      </c>
      <c r="C260" s="1" t="s">
        <v>2074</v>
      </c>
      <c r="D260" s="1" t="s">
        <v>1364</v>
      </c>
      <c r="E260" s="1">
        <v>21</v>
      </c>
      <c r="F260" s="1" t="s">
        <v>2022</v>
      </c>
      <c r="G260" s="1" t="s">
        <v>2022</v>
      </c>
      <c r="H260" s="1" t="s">
        <v>2033</v>
      </c>
      <c r="I260" s="1" t="s">
        <v>2033</v>
      </c>
      <c r="J260" s="1" t="s">
        <v>2025</v>
      </c>
      <c r="K260" s="1" t="s">
        <v>2025</v>
      </c>
      <c r="L260" s="1">
        <v>3</v>
      </c>
      <c r="M260" s="1">
        <v>3</v>
      </c>
      <c r="N260" s="1">
        <v>1</v>
      </c>
      <c r="O260" s="1">
        <v>1</v>
      </c>
      <c r="P260" s="1">
        <v>3</v>
      </c>
      <c r="Q260" s="1">
        <v>4</v>
      </c>
      <c r="R260" s="1">
        <v>4</v>
      </c>
      <c r="S260" s="1">
        <v>2</v>
      </c>
      <c r="T260" s="1">
        <v>2</v>
      </c>
      <c r="U260" s="1">
        <v>5</v>
      </c>
      <c r="V260" s="1">
        <v>5</v>
      </c>
      <c r="W260" s="1">
        <v>1</v>
      </c>
      <c r="X260" s="1">
        <v>1</v>
      </c>
      <c r="Y260" s="1" t="s">
        <v>2027</v>
      </c>
      <c r="Z260" s="1" t="s">
        <v>2027</v>
      </c>
      <c r="AA260" s="1">
        <v>6</v>
      </c>
      <c r="AB260" s="1">
        <v>2</v>
      </c>
      <c r="AC260" s="1">
        <v>4</v>
      </c>
      <c r="AD260" s="1" t="s">
        <v>2027</v>
      </c>
      <c r="AE260" s="1" t="s">
        <v>2027</v>
      </c>
      <c r="AF260" s="1" t="s">
        <v>2027</v>
      </c>
      <c r="AG260" s="1">
        <v>8</v>
      </c>
      <c r="AH260" s="1">
        <v>8</v>
      </c>
      <c r="AI260" s="1">
        <v>8</v>
      </c>
      <c r="AJ260" s="52" t="s">
        <v>2029</v>
      </c>
      <c r="AK260" s="9">
        <f>($L$3*(L260-$Q$1)/$Q$2+$M$3*(M260-$R$1)/$R$2+$N$3*(N260-$S$1)/$S$2+$O$3*(O260-$T$1)/$T$2+$P$3*(P260-$U$1)/$U$2)/(SUM($L$3:$P$3))</f>
        <v>-1.2570792385506486</v>
      </c>
      <c r="AL260" s="9">
        <f>($L$3*(Q260-$Q$1)/$Q$2+$M$3*(R260-$R$1)/$R$2+$N$3*(S260-$S$1)/$S$2+$O$3*(T260-$T$1)/$T$2+$P$3*(U260-$U$1)/$U$2)/(SUM($L$3:$P$3))</f>
        <v>-0.63065979906162095</v>
      </c>
      <c r="AM260">
        <f>IF(AVERAGE(AG260:AH260)&gt;9,1,0)+IF(AVERAGE(AG260:AH260)&gt;7,1,0)+IF(AG260&gt;7,1,0)+IF(AH260&gt;7,1,0)+IF(AI260&gt;8,1,0)+IF(AI260&gt;6,1,0)</f>
        <v>4</v>
      </c>
      <c r="AN260" s="6">
        <f>MIN(2,IF(OR(Y260="-",X260&lt;5),0,1+IF(Y260&gt;7,1+IF(X260&gt;7,0.25,0),IF(Y260&gt;4,0.5+IF(X260&gt;7,0.25,0),0+IF(X260&gt;7,0.25))))+IF(Z260="-",0,IF(Z260&gt;9,0.5,IF(Z260&gt;7,0.25,0)))+IF(AA260="-",0,IF(AA260&gt;7,1.1,IF(AA260&gt;4,0.6,0)))+IF(OR(AB260="-",V260&lt;5),0,IF(AB260&gt;7,1+IF(V260&gt;7,0.25,0),IF(AB260&gt;4,0.5+IF(V260&gt;7,0.25,0),0)))+IF(AC260="-",0,IF(AC260&gt;7,1.5,IF(AC260&gt;4,1,0)))+IF(AD260="-",0,IF(AD260&gt;9,0.5,IF(AD260&gt;7,0.25,0)))+IF(AE260="-",0,IF(AE260&gt;7,1.25,IF(AE260&gt;4,0.75,0)))+IF(OR(AF260="-",W260&lt;4),0,IF(AF260&gt;7,1+IF(W260&gt;7,0.15,0),IF(AF260&gt;4,0.5+IF(W260&gt;7,0.15,0),0))))</f>
        <v>0.6</v>
      </c>
      <c r="AO260" s="9">
        <f>($AK$3*AK260+$AL$3*AL260+$AM$3*AM260+$AN$3*AN260)+$J$3*VLOOKUP(J260,COND!$A$2:$C$7,2,FALSE)+$K$3*VLOOKUP(K260,COND!$A$2:$C$7,3,FALSE)</f>
        <v>3.5730411540721505</v>
      </c>
      <c r="AP260" s="37">
        <f>STANDARDIZE(AO260,AVERAGE($AO$5:$AO$1295),STDEVP($AO$5:$AO$1295))</f>
        <v>-0.98545051311676657</v>
      </c>
      <c r="AQ260" t="str">
        <f>IF(AND(Y260&lt;&gt;"-",X260&gt;1),"C",IF(AA260=MAX(AA260:AC260),"2B",IF(AC260=MAX(AA260:AC260),"SS",IF(OR(AB260=MAX(Z260:AC260),AND(AB260&lt;&gt;"-",AB260&gt;4,V260&gt;5)),"3B",IF(AE260=MAX(AD260:AF260),"CF",IF(AND(AF260=MAX(AD260,AF260),AND(W260&gt;5,AD260&lt;&gt;"-")),"RF",IF(AD260&lt;&gt;"-","LF",IF(Z260&lt;&gt;"-","1B","DH"))))))))</f>
        <v>2B</v>
      </c>
      <c r="AR260" t="s">
        <v>35</v>
      </c>
      <c r="AU260" t="str">
        <f>IF(AND($Q260&gt;=6,AVERAGE($S260:$T260)&gt;=6),"Likely",IF(OR($Q260&gt;6,AND($Q260=6,AVERAGE($S260:$T260)&gt;=3),AND($Q260&gt;=5,AVERAGE($S260:$T260)&gt;=5),AVERAGE($Q260,$S260:$T260)&gt;5),"Possible","Unlikely"))</f>
        <v>Unlikely</v>
      </c>
      <c r="AW260" t="e">
        <f>IF(VLOOKUP($B260,'Draft List'!$D$4:$AB$2598,AW$3,FALSE)&lt;&gt;0,VLOOKUP($B260,'Draft List'!$D$4:$AB$2598,AW$3,FALSE),"")</f>
        <v>#N/A</v>
      </c>
      <c r="AX260" t="e">
        <f>IF(VLOOKUP($B260,'Draft List'!$D$4:$AB$2598,AX$3,FALSE)&lt;&gt;0,VLOOKUP($B260,'Draft List'!$D$4:$AB$2598,AX$3,FALSE),"")</f>
        <v>#N/A</v>
      </c>
      <c r="AY260" t="e">
        <f>IF(VLOOKUP($B260,'Draft List'!$D$4:$AB$2598,AY$3,FALSE)&lt;&gt;0,VLOOKUP($B260,'Draft List'!$D$4:$AB$2598,AY$3,FALSE),"")</f>
        <v>#N/A</v>
      </c>
    </row>
    <row r="261" spans="1:51">
      <c r="A261" t="str">
        <f>IF(C261="C","C-",C261)&amp;D261&amp;E261</f>
        <v>3BRoberto Villegas18</v>
      </c>
      <c r="B261">
        <f>VLOOKUP($A261,draft_listing_batters_stats!$A$1:$B$1324,2,FALSE)</f>
        <v>13825</v>
      </c>
      <c r="C261" s="1" t="s">
        <v>2061</v>
      </c>
      <c r="D261" s="1" t="s">
        <v>1242</v>
      </c>
      <c r="E261" s="1">
        <v>18</v>
      </c>
      <c r="F261" s="1" t="s">
        <v>2022</v>
      </c>
      <c r="G261" s="1" t="s">
        <v>2022</v>
      </c>
      <c r="H261" s="1" t="s">
        <v>2033</v>
      </c>
      <c r="I261" s="1" t="s">
        <v>2033</v>
      </c>
      <c r="J261" s="1" t="s">
        <v>2025</v>
      </c>
      <c r="K261" s="1" t="s">
        <v>2040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v>4</v>
      </c>
      <c r="R261" s="1">
        <v>6</v>
      </c>
      <c r="S261" s="1">
        <v>2</v>
      </c>
      <c r="T261" s="1">
        <v>3</v>
      </c>
      <c r="U261" s="1">
        <v>4</v>
      </c>
      <c r="V261" s="1">
        <v>8</v>
      </c>
      <c r="W261" s="1">
        <v>2</v>
      </c>
      <c r="X261" s="1">
        <v>2</v>
      </c>
      <c r="Y261" s="1" t="s">
        <v>2027</v>
      </c>
      <c r="Z261" s="1" t="s">
        <v>2027</v>
      </c>
      <c r="AA261" s="1" t="s">
        <v>2027</v>
      </c>
      <c r="AB261" s="1">
        <v>2</v>
      </c>
      <c r="AC261" s="1" t="s">
        <v>2027</v>
      </c>
      <c r="AD261" s="1" t="s">
        <v>2027</v>
      </c>
      <c r="AE261" s="1" t="s">
        <v>2027</v>
      </c>
      <c r="AF261" s="1" t="s">
        <v>2027</v>
      </c>
      <c r="AG261" s="1">
        <v>4</v>
      </c>
      <c r="AH261" s="1">
        <v>4</v>
      </c>
      <c r="AI261" s="1">
        <v>3</v>
      </c>
      <c r="AJ261" s="52" t="s">
        <v>2029</v>
      </c>
      <c r="AK261" s="9">
        <f>($L$3*(L261-$Q$1)/$Q$2+$M$3*(M261-$R$1)/$R$2+$N$3*(N261-$S$1)/$S$2+$O$3*(O261-$T$1)/$T$2+$P$3*(P261-$U$1)/$U$2)/(SUM($L$3:$P$3))</f>
        <v>-2.0843433498275723</v>
      </c>
      <c r="AL261" s="9">
        <f>($L$3*(Q261-$Q$1)/$Q$2+$M$3*(R261-$R$1)/$R$2+$N$3*(S261-$S$1)/$S$2+$O$3*(T261-$T$1)/$T$2+$P$3*(U261-$U$1)/$U$2)/(SUM($L$3:$P$3))</f>
        <v>-0.47884682963171643</v>
      </c>
      <c r="AM261">
        <f>IF(AVERAGE(AG261:AH261)&gt;9,1,0)+IF(AVERAGE(AG261:AH261)&gt;7,1,0)+IF(AG261&gt;7,1,0)+IF(AH261&gt;7,1,0)+IF(AI261&gt;8,1,0)+IF(AI261&gt;6,1,0)</f>
        <v>0</v>
      </c>
      <c r="AN261" s="6">
        <f>MIN(2,IF(OR(Y261="-",X261&lt;5),0,1+IF(Y261&gt;7,1+IF(X261&gt;7,0.25,0),IF(Y261&gt;4,0.5+IF(X261&gt;7,0.25,0),0+IF(X261&gt;7,0.25))))+IF(Z261="-",0,IF(Z261&gt;9,0.5,IF(Z261&gt;7,0.25,0)))+IF(AA261="-",0,IF(AA261&gt;7,1.1,IF(AA261&gt;4,0.6,0)))+IF(OR(AB261="-",V261&lt;5),0,IF(AB261&gt;7,1+IF(V261&gt;7,0.25,0),IF(AB261&gt;4,0.5+IF(V261&gt;7,0.25,0),0)))+IF(AC261="-",0,IF(AC261&gt;7,1.5,IF(AC261&gt;4,1,0)))+IF(AD261="-",0,IF(AD261&gt;9,0.5,IF(AD261&gt;7,0.25,0)))+IF(AE261="-",0,IF(AE261&gt;7,1.25,IF(AE261&gt;4,0.75,0)))+IF(OR(AF261="-",W261&lt;4),0,IF(AF261&gt;7,1+IF(W261&gt;7,0.15,0),IF(AF261&gt;4,0.5+IF(W261&gt;7,0.15,0),0))))</f>
        <v>0</v>
      </c>
      <c r="AO261" s="9">
        <f>($AK$3*AK261+$AL$3*AL261+$AM$3*AM261+$AN$3*AN261)+$J$3*VLOOKUP(J261,COND!$A$2:$C$7,2,FALSE)+$K$3*VLOOKUP(K261,COND!$A$2:$C$7,3,FALSE)</f>
        <v>3.5454037094366457</v>
      </c>
      <c r="AP261" s="37">
        <f>STANDARDIZE(AO261,AVERAGE($AO$5:$AO$1295),STDEVP($AO$5:$AO$1295))</f>
        <v>-0.98929000788202648</v>
      </c>
      <c r="AQ261" t="str">
        <f>IF(AND(Y261&lt;&gt;"-",X261&gt;1),"C",IF(AA261=MAX(AA261:AC261),"2B",IF(AC261=MAX(AA261:AC261),"SS",IF(OR(AB261=MAX(Z261:AC261),AND(AB261&lt;&gt;"-",AB261&gt;4,V261&gt;5)),"3B",IF(AE261=MAX(AD261:AF261),"CF",IF(AND(AF261=MAX(AD261,AF261),AND(W261&gt;5,AD261&lt;&gt;"-")),"RF",IF(AD261&lt;&gt;"-","LF",IF(Z261&lt;&gt;"-","1B","DH"))))))))</f>
        <v>3B</v>
      </c>
      <c r="AR261" t="s">
        <v>35</v>
      </c>
      <c r="AU261" t="str">
        <f>IF(AND($Q261&gt;=6,AVERAGE($S261:$T261)&gt;=6),"Likely",IF(OR($Q261&gt;6,AND($Q261=6,AVERAGE($S261:$T261)&gt;=3),AND($Q261&gt;=5,AVERAGE($S261:$T261)&gt;=5),AVERAGE($Q261,$S261:$T261)&gt;5),"Possible","Unlikely"))</f>
        <v>Unlikely</v>
      </c>
      <c r="AW261" t="str">
        <f>IF(VLOOKUP($B261,'Draft List'!$D$4:$AB$2598,AW$3,FALSE)&lt;&gt;0,VLOOKUP($B261,'Draft List'!$D$4:$AB$2598,AW$3,FALSE),"")</f>
        <v/>
      </c>
      <c r="AX261" t="str">
        <f>IF(VLOOKUP($B261,'Draft List'!$D$4:$AB$2598,AX$3,FALSE)&lt;&gt;0,VLOOKUP($B261,'Draft List'!$D$4:$AB$2598,AX$3,FALSE),"")</f>
        <v/>
      </c>
      <c r="AY261" t="str">
        <f>IF(VLOOKUP($B261,'Draft List'!$D$4:$AB$2598,AY$3,FALSE)&lt;&gt;0,VLOOKUP($B261,'Draft List'!$D$4:$AB$2598,AY$3,FALSE),"")</f>
        <v/>
      </c>
    </row>
    <row r="262" spans="1:51">
      <c r="A262" t="str">
        <f>IF(C262="C","C-",C262)&amp;D262&amp;E262</f>
        <v>LFGlenn Kenney21</v>
      </c>
      <c r="B262">
        <f>VLOOKUP($A262,draft_listing_batters_stats!$A$1:$B$1324,2,FALSE)</f>
        <v>7407</v>
      </c>
      <c r="C262" s="1" t="s">
        <v>2035</v>
      </c>
      <c r="D262" s="1" t="s">
        <v>1334</v>
      </c>
      <c r="E262" s="1">
        <v>21</v>
      </c>
      <c r="F262" s="1" t="s">
        <v>2049</v>
      </c>
      <c r="G262" s="1" t="s">
        <v>2022</v>
      </c>
      <c r="H262" s="1" t="s">
        <v>2033</v>
      </c>
      <c r="I262" s="1" t="s">
        <v>2033</v>
      </c>
      <c r="J262" s="1" t="s">
        <v>2025</v>
      </c>
      <c r="K262" s="1" t="s">
        <v>2040</v>
      </c>
      <c r="L262" s="1">
        <v>3</v>
      </c>
      <c r="M262" s="1">
        <v>2</v>
      </c>
      <c r="N262" s="1">
        <v>1</v>
      </c>
      <c r="O262" s="1">
        <v>3</v>
      </c>
      <c r="P262" s="1">
        <v>2</v>
      </c>
      <c r="Q262" s="1">
        <v>4</v>
      </c>
      <c r="R262" s="1">
        <v>4</v>
      </c>
      <c r="S262" s="1">
        <v>2</v>
      </c>
      <c r="T262" s="1">
        <v>4</v>
      </c>
      <c r="U262" s="1">
        <v>4</v>
      </c>
      <c r="V262" s="1">
        <v>1</v>
      </c>
      <c r="W262" s="1">
        <v>8</v>
      </c>
      <c r="X262" s="1">
        <v>2</v>
      </c>
      <c r="Y262" s="1" t="s">
        <v>2027</v>
      </c>
      <c r="Z262" s="1" t="s">
        <v>2027</v>
      </c>
      <c r="AA262" s="1" t="s">
        <v>2027</v>
      </c>
      <c r="AB262" s="1" t="s">
        <v>2027</v>
      </c>
      <c r="AC262" s="1" t="s">
        <v>2027</v>
      </c>
      <c r="AD262" s="1">
        <v>2</v>
      </c>
      <c r="AE262" s="1">
        <v>1</v>
      </c>
      <c r="AF262" s="1">
        <v>4</v>
      </c>
      <c r="AG262" s="1">
        <v>3</v>
      </c>
      <c r="AH262" s="1">
        <v>6</v>
      </c>
      <c r="AI262" s="1">
        <v>6</v>
      </c>
      <c r="AJ262" s="52" t="s">
        <v>2029</v>
      </c>
      <c r="AK262" s="9">
        <f>($L$3*(L262-$Q$1)/$Q$2+$M$3*(M262-$R$1)/$R$2+$N$3*(N262-$S$1)/$S$2+$O$3*(O262-$T$1)/$T$2+$P$3*(P262-$U$1)/$U$2)/(SUM($L$3:$P$3))</f>
        <v>-1.1687363579672738</v>
      </c>
      <c r="AL262" s="9">
        <f>($L$3*(Q262-$Q$1)/$Q$2+$M$3*(R262-$R$1)/$R$2+$N$3*(S262-$S$1)/$S$2+$O$3*(T262-$T$1)/$T$2+$P$3*(U262-$U$1)/$U$2)/(SUM($L$3:$P$3))</f>
        <v>-0.49125703885954242</v>
      </c>
      <c r="AM262">
        <f>IF(AVERAGE(AG262:AH262)&gt;9,1,0)+IF(AVERAGE(AG262:AH262)&gt;7,1,0)+IF(AG262&gt;7,1,0)+IF(AH262&gt;7,1,0)+IF(AI262&gt;8,1,0)+IF(AI262&gt;6,1,0)</f>
        <v>0</v>
      </c>
      <c r="AN262" s="6">
        <f>MIN(2,IF(OR(Y262="-",X262&lt;5),0,1+IF(Y262&gt;7,1+IF(X262&gt;7,0.25,0),IF(Y262&gt;4,0.5+IF(X262&gt;7,0.25,0),0+IF(X262&gt;7,0.25))))+IF(Z262="-",0,IF(Z262&gt;9,0.5,IF(Z262&gt;7,0.25,0)))+IF(AA262="-",0,IF(AA262&gt;7,1.1,IF(AA262&gt;4,0.6,0)))+IF(OR(AB262="-",V262&lt;5),0,IF(AB262&gt;7,1+IF(V262&gt;7,0.25,0),IF(AB262&gt;4,0.5+IF(V262&gt;7,0.25,0),0)))+IF(AC262="-",0,IF(AC262&gt;7,1.5,IF(AC262&gt;4,1,0)))+IF(AD262="-",0,IF(AD262&gt;9,0.5,IF(AD262&gt;7,0.25,0)))+IF(AE262="-",0,IF(AE262&gt;7,1.25,IF(AE262&gt;4,0.75,0)))+IF(OR(AF262="-",W262&lt;4),0,IF(AF262&gt;7,1+IF(W262&gt;7,0.15,0),IF(AF262&gt;4,0.5+IF(W262&gt;7,0.15,0),0))))</f>
        <v>0</v>
      </c>
      <c r="AO262" s="9">
        <f>($AK$3*AK262+$AL$3*AL262+$AM$3*AM262+$AN$3*AN262)+$J$3*VLOOKUP(J262,COND!$A$2:$C$7,2,FALSE)+$K$3*VLOOKUP(K262,COND!$A$2:$C$7,3,FALSE)</f>
        <v>3.4880418978887633</v>
      </c>
      <c r="AP262" s="37">
        <f>STANDARDIZE(AO262,AVERAGE($AO$5:$AO$1295),STDEVP($AO$5:$AO$1295))</f>
        <v>-0.99725892027854324</v>
      </c>
      <c r="AQ262" t="str">
        <f>IF(AND(Y262&lt;&gt;"-",X262&gt;1),"C",IF(AA262=MAX(AA262:AC262),"2B",IF(AC262=MAX(AA262:AC262),"SS",IF(OR(AB262=MAX(Z262:AC262),AND(AB262&lt;&gt;"-",AB262&gt;4,V262&gt;5)),"3B",IF(AE262=MAX(AD262:AF262),"CF",IF(AND(AF262=MAX(AD262,AF262),AND(W262&gt;5,AD262&lt;&gt;"-")),"RF",IF(AD262&lt;&gt;"-","LF",IF(Z262&lt;&gt;"-","1B","DH"))))))))</f>
        <v>RF</v>
      </c>
      <c r="AR262" t="s">
        <v>35</v>
      </c>
      <c r="AU262" t="str">
        <f>IF(AND($Q262&gt;=6,AVERAGE($S262:$T262)&gt;=6),"Likely",IF(OR($Q262&gt;6,AND($Q262=6,AVERAGE($S262:$T262)&gt;=3),AND($Q262&gt;=5,AVERAGE($S262:$T262)&gt;=5),AVERAGE($Q262,$S262:$T262)&gt;5),"Possible","Unlikely"))</f>
        <v>Unlikely</v>
      </c>
      <c r="AW262" t="e">
        <f>IF(VLOOKUP($B262,'Draft List'!$D$4:$AB$2598,AW$3,FALSE)&lt;&gt;0,VLOOKUP($B262,'Draft List'!$D$4:$AB$2598,AW$3,FALSE),"")</f>
        <v>#N/A</v>
      </c>
      <c r="AX262" t="e">
        <f>IF(VLOOKUP($B262,'Draft List'!$D$4:$AB$2598,AX$3,FALSE)&lt;&gt;0,VLOOKUP($B262,'Draft List'!$D$4:$AB$2598,AX$3,FALSE),"")</f>
        <v>#N/A</v>
      </c>
      <c r="AY262" t="e">
        <f>IF(VLOOKUP($B262,'Draft List'!$D$4:$AB$2598,AY$3,FALSE)&lt;&gt;0,VLOOKUP($B262,'Draft List'!$D$4:$AB$2598,AY$3,FALSE),"")</f>
        <v>#N/A</v>
      </c>
    </row>
    <row r="263" spans="1:51">
      <c r="A263" t="str">
        <f>IF(C263="C","C-",C263)&amp;D263&amp;E263</f>
        <v>C-George Gaulton18</v>
      </c>
      <c r="B263">
        <f>VLOOKUP($A263,draft_listing_batters_stats!$A$1:$B$1324,2,FALSE)</f>
        <v>13830</v>
      </c>
      <c r="C263" s="1" t="s">
        <v>2091</v>
      </c>
      <c r="D263" s="1" t="s">
        <v>1299</v>
      </c>
      <c r="E263" s="1">
        <v>18</v>
      </c>
      <c r="F263" s="1" t="s">
        <v>2022</v>
      </c>
      <c r="G263" s="1" t="s">
        <v>2022</v>
      </c>
      <c r="H263" s="1" t="s">
        <v>2033</v>
      </c>
      <c r="I263" s="1" t="s">
        <v>2033</v>
      </c>
      <c r="J263" s="1" t="s">
        <v>2025</v>
      </c>
      <c r="K263" s="1" t="s">
        <v>2030</v>
      </c>
      <c r="L263" s="1">
        <v>1</v>
      </c>
      <c r="M263" s="1">
        <v>1</v>
      </c>
      <c r="N263" s="1">
        <v>1</v>
      </c>
      <c r="O263" s="1">
        <v>1</v>
      </c>
      <c r="P263" s="1">
        <v>1</v>
      </c>
      <c r="Q263" s="1">
        <v>4</v>
      </c>
      <c r="R263" s="1">
        <v>5</v>
      </c>
      <c r="S263" s="1">
        <v>3</v>
      </c>
      <c r="T263" s="1">
        <v>2</v>
      </c>
      <c r="U263" s="1">
        <v>4</v>
      </c>
      <c r="V263" s="1">
        <v>4</v>
      </c>
      <c r="W263" s="1">
        <v>3</v>
      </c>
      <c r="X263" s="1">
        <v>5</v>
      </c>
      <c r="Y263" s="1" t="s">
        <v>2027</v>
      </c>
      <c r="Z263" s="1" t="s">
        <v>2027</v>
      </c>
      <c r="AA263" s="1" t="s">
        <v>2027</v>
      </c>
      <c r="AB263" s="1" t="s">
        <v>2027</v>
      </c>
      <c r="AC263" s="1" t="s">
        <v>2027</v>
      </c>
      <c r="AD263" s="1" t="s">
        <v>2027</v>
      </c>
      <c r="AE263" s="1" t="s">
        <v>2027</v>
      </c>
      <c r="AF263" s="1" t="s">
        <v>2027</v>
      </c>
      <c r="AG263" s="1">
        <v>2</v>
      </c>
      <c r="AH263" s="1">
        <v>3</v>
      </c>
      <c r="AI263" s="1">
        <v>2</v>
      </c>
      <c r="AJ263" s="52" t="s">
        <v>2029</v>
      </c>
      <c r="AK263" s="9">
        <f>($L$3*(L263-$Q$1)/$Q$2+$M$3*(M263-$R$1)/$R$2+$N$3*(N263-$S$1)/$S$2+$O$3*(O263-$T$1)/$T$2+$P$3*(P263-$U$1)/$U$2)/(SUM($L$3:$P$3))</f>
        <v>-2.0843433498275723</v>
      </c>
      <c r="AL263" s="9">
        <f>($L$3*(Q263-$Q$1)/$Q$2+$M$3*(R263-$R$1)/$R$2+$N$3*(S263-$S$1)/$S$2+$O$3*(T263-$T$1)/$T$2+$P$3*(U263-$U$1)/$U$2)/(SUM($L$3:$P$3))</f>
        <v>-0.53655476523609946</v>
      </c>
      <c r="AM263">
        <f>IF(AVERAGE(AG263:AH263)&gt;9,1,0)+IF(AVERAGE(AG263:AH263)&gt;7,1,0)+IF(AG263&gt;7,1,0)+IF(AH263&gt;7,1,0)+IF(AI263&gt;8,1,0)+IF(AI263&gt;6,1,0)</f>
        <v>0</v>
      </c>
      <c r="AN263" s="6">
        <f>MIN(2,IF(OR(Y263="-",X263&lt;5),0,1+IF(Y263&gt;7,1+IF(X263&gt;7,0.25,0),IF(Y263&gt;4,0.5+IF(X263&gt;7,0.25,0),0+IF(X263&gt;7,0.25))))+IF(Z263="-",0,IF(Z263&gt;9,0.5,IF(Z263&gt;7,0.25,0)))+IF(AA263="-",0,IF(AA263&gt;7,1.1,IF(AA263&gt;4,0.6,0)))+IF(OR(AB263="-",V263&lt;5),0,IF(AB263&gt;7,1+IF(V263&gt;7,0.25,0),IF(AB263&gt;4,0.5+IF(V263&gt;7,0.25,0),0)))+IF(AC263="-",0,IF(AC263&gt;7,1.5,IF(AC263&gt;4,1,0)))+IF(AD263="-",0,IF(AD263&gt;9,0.5,IF(AD263&gt;7,0.25,0)))+IF(AE263="-",0,IF(AE263&gt;7,1.25,IF(AE263&gt;4,0.75,0)))+IF(OR(AF263="-",W263&lt;4),0,IF(AF263&gt;7,1+IF(W263&gt;7,0.15,0),IF(AF263&gt;4,0.5+IF(W263&gt;7,0.15,0),0))))</f>
        <v>0</v>
      </c>
      <c r="AO263" s="9">
        <f>($AK$3*AK263+$AL$3*AL263+$AM$3*AM263+$AN$3*AN263)+$J$3*VLOOKUP(J263,COND!$A$2:$C$7,2,FALSE)+$K$3*VLOOKUP(K263,COND!$A$2:$C$7,3,FALSE)</f>
        <v>3.452908482184049</v>
      </c>
      <c r="AP263" s="37">
        <f>STANDARDIZE(AO263,AVERAGE($AO$5:$AO$1295),STDEVP($AO$5:$AO$1295))</f>
        <v>-1.002139782726682</v>
      </c>
      <c r="AQ263" t="str">
        <f>IF(AND(Y263&lt;&gt;"-",X263&gt;1),"C",IF(AA263=MAX(AA263:AC263),"2B",IF(AC263=MAX(AA263:AC263),"SS",IF(OR(AB263=MAX(Z263:AC263),AND(AB263&lt;&gt;"-",AB263&gt;4,V263&gt;5)),"3B",IF(AE263=MAX(AD263:AF263),"CF",IF(AND(AF263=MAX(AD263,AF263),AND(W263&gt;5,AD263&lt;&gt;"-")),"RF",IF(AD263&lt;&gt;"-","LF",IF(Z263&lt;&gt;"-","1B","DH"))))))))</f>
        <v>DH</v>
      </c>
      <c r="AR263" t="s">
        <v>35</v>
      </c>
      <c r="AU263" t="str">
        <f>IF(AND($Q263&gt;=6,AVERAGE($S263:$T263)&gt;=6),"Likely",IF(OR($Q263&gt;6,AND($Q263=6,AVERAGE($S263:$T263)&gt;=3),AND($Q263&gt;=5,AVERAGE($S263:$T263)&gt;=5),AVERAGE($Q263,$S263:$T263)&gt;5),"Possible","Unlikely"))</f>
        <v>Unlikely</v>
      </c>
      <c r="AW263" t="str">
        <f>IF(VLOOKUP($B263,'Draft List'!$D$4:$AB$2598,AW$3,FALSE)&lt;&gt;0,VLOOKUP($B263,'Draft List'!$D$4:$AB$2598,AW$3,FALSE),"")</f>
        <v/>
      </c>
      <c r="AX263" t="str">
        <f>IF(VLOOKUP($B263,'Draft List'!$D$4:$AB$2598,AX$3,FALSE)&lt;&gt;0,VLOOKUP($B263,'Draft List'!$D$4:$AB$2598,AX$3,FALSE),"")</f>
        <v/>
      </c>
      <c r="AY263" t="str">
        <f>IF(VLOOKUP($B263,'Draft List'!$D$4:$AB$2598,AY$3,FALSE)&lt;&gt;0,VLOOKUP($B263,'Draft List'!$D$4:$AB$2598,AY$3,FALSE),"")</f>
        <v/>
      </c>
    </row>
    <row r="264" spans="1:51">
      <c r="A264" t="str">
        <f>IF(C264="C","C-",C264)&amp;D264&amp;E264</f>
        <v>1BMark Taylor20</v>
      </c>
      <c r="B264">
        <f>VLOOKUP($A264,draft_listing_batters_stats!$A$1:$B$1324,2,FALSE)</f>
        <v>9461</v>
      </c>
      <c r="C264" s="1" t="s">
        <v>2092</v>
      </c>
      <c r="D264" s="1" t="s">
        <v>1227</v>
      </c>
      <c r="E264" s="1">
        <v>20</v>
      </c>
      <c r="F264" s="1" t="s">
        <v>2049</v>
      </c>
      <c r="G264" s="1" t="s">
        <v>2022</v>
      </c>
      <c r="H264" s="1" t="s">
        <v>2033</v>
      </c>
      <c r="I264" s="1" t="s">
        <v>2033</v>
      </c>
      <c r="J264" s="1" t="s">
        <v>2026</v>
      </c>
      <c r="K264" s="1" t="s">
        <v>2030</v>
      </c>
      <c r="L264" s="1">
        <v>3</v>
      </c>
      <c r="M264" s="1">
        <v>3</v>
      </c>
      <c r="N264" s="1">
        <v>1</v>
      </c>
      <c r="O264" s="1">
        <v>2</v>
      </c>
      <c r="P264" s="1">
        <v>3</v>
      </c>
      <c r="Q264" s="1">
        <v>4</v>
      </c>
      <c r="R264" s="1">
        <v>4</v>
      </c>
      <c r="S264" s="1">
        <v>2</v>
      </c>
      <c r="T264" s="1">
        <v>3</v>
      </c>
      <c r="U264" s="1">
        <v>5</v>
      </c>
      <c r="V264" s="1">
        <v>7</v>
      </c>
      <c r="W264" s="1">
        <v>2</v>
      </c>
      <c r="X264" s="1">
        <v>1</v>
      </c>
      <c r="Y264" s="1" t="s">
        <v>2027</v>
      </c>
      <c r="Z264" s="1">
        <v>3</v>
      </c>
      <c r="AA264" s="1">
        <v>2</v>
      </c>
      <c r="AB264" s="1">
        <v>3</v>
      </c>
      <c r="AC264" s="1">
        <v>2</v>
      </c>
      <c r="AD264" s="1" t="s">
        <v>2027</v>
      </c>
      <c r="AE264" s="1" t="s">
        <v>2027</v>
      </c>
      <c r="AF264" s="1" t="s">
        <v>2027</v>
      </c>
      <c r="AG264" s="1">
        <v>3</v>
      </c>
      <c r="AH264" s="1">
        <v>1</v>
      </c>
      <c r="AI264" s="1">
        <v>1</v>
      </c>
      <c r="AJ264" s="52">
        <v>190000</v>
      </c>
      <c r="AK264" s="9">
        <f>($L$3*(L264-$Q$1)/$Q$2+$M$3*(M264-$R$1)/$R$2+$N$3*(N264-$S$1)/$S$2+$O$3*(O264-$T$1)/$T$2+$P$3*(P264-$U$1)/$U$2)/(SUM($L$3:$P$3))</f>
        <v>-1.1673696885410676</v>
      </c>
      <c r="AL264" s="9">
        <f>($L$3*(Q264-$Q$1)/$Q$2+$M$3*(R264-$R$1)/$R$2+$N$3*(S264-$S$1)/$S$2+$O$3*(T264-$T$1)/$T$2+$P$3*(U264-$U$1)/$U$2)/(SUM($L$3:$P$3))</f>
        <v>-0.54095024905204003</v>
      </c>
      <c r="AM264">
        <f>IF(AVERAGE(AG264:AH264)&gt;9,1,0)+IF(AVERAGE(AG264:AH264)&gt;7,1,0)+IF(AG264&gt;7,1,0)+IF(AH264&gt;7,1,0)+IF(AI264&gt;8,1,0)+IF(AI264&gt;6,1,0)</f>
        <v>0</v>
      </c>
      <c r="AN264" s="6">
        <f>MIN(2,IF(OR(Y264="-",X264&lt;5),0,1+IF(Y264&gt;7,1+IF(X264&gt;7,0.25,0),IF(Y264&gt;4,0.5+IF(X264&gt;7,0.25,0),0+IF(X264&gt;7,0.25))))+IF(Z264="-",0,IF(Z264&gt;9,0.5,IF(Z264&gt;7,0.25,0)))+IF(AA264="-",0,IF(AA264&gt;7,1.1,IF(AA264&gt;4,0.6,0)))+IF(OR(AB264="-",V264&lt;5),0,IF(AB264&gt;7,1+IF(V264&gt;7,0.25,0),IF(AB264&gt;4,0.5+IF(V264&gt;7,0.25,0),0)))+IF(AC264="-",0,IF(AC264&gt;7,1.5,IF(AC264&gt;4,1,0)))+IF(AD264="-",0,IF(AD264&gt;9,0.5,IF(AD264&gt;7,0.25,0)))+IF(AE264="-",0,IF(AE264&gt;7,1.25,IF(AE264&gt;4,0.75,0)))+IF(OR(AF264="-",W264&lt;4),0,IF(AF264&gt;7,1+IF(W264&gt;7,0.15,0),IF(AF264&gt;4,0.5+IF(W264&gt;7,0.15,0),0))))</f>
        <v>0</v>
      </c>
      <c r="AO264" s="9">
        <f>($AK$3*AK264+$AL$3*AL264+$AM$3*AM264+$AN$3*AN264)+$J$3*VLOOKUP(J264,COND!$A$2:$C$7,2,FALSE)+$K$3*VLOOKUP(K264,COND!$A$2:$C$7,3,FALSE)</f>
        <v>3.3918600425214125</v>
      </c>
      <c r="AP264" s="37">
        <f>STANDARDIZE(AO264,AVERAGE($AO$5:$AO$1295),STDEVP($AO$5:$AO$1295))</f>
        <v>-1.0106208549677407</v>
      </c>
      <c r="AQ264" t="str">
        <f>IF(AND(Y264&lt;&gt;"-",X264&gt;1),"C",IF(AA264=MAX(AA264:AC264),"2B",IF(AC264=MAX(AA264:AC264),"SS",IF(OR(AB264=MAX(Z264:AC264),AND(AB264&lt;&gt;"-",AB264&gt;4,V264&gt;5)),"3B",IF(AE264=MAX(AD264:AF264),"CF",IF(AND(AF264=MAX(AD264,AF264),AND(W264&gt;5,AD264&lt;&gt;"-")),"RF",IF(AD264&lt;&gt;"-","LF",IF(Z264&lt;&gt;"-","1B","DH"))))))))</f>
        <v>3B</v>
      </c>
      <c r="AR264" t="s">
        <v>35</v>
      </c>
      <c r="AT264" t="s">
        <v>155</v>
      </c>
      <c r="AU264" t="str">
        <f>IF(AND($Q264&gt;=6,AVERAGE($S264:$T264)&gt;=6),"Likely",IF(OR($Q264&gt;6,AND($Q264=6,AVERAGE($S264:$T264)&gt;=3),AND($Q264&gt;=5,AVERAGE($S264:$T264)&gt;=5),AVERAGE($Q264,$S264:$T264)&gt;5),"Possible","Unlikely"))</f>
        <v>Unlikely</v>
      </c>
      <c r="AW264" t="e">
        <f>IF(VLOOKUP($B264,'Draft List'!$D$4:$AB$2598,AW$3,FALSE)&lt;&gt;0,VLOOKUP($B264,'Draft List'!$D$4:$AB$2598,AW$3,FALSE),"")</f>
        <v>#N/A</v>
      </c>
      <c r="AX264" t="e">
        <f>IF(VLOOKUP($B264,'Draft List'!$D$4:$AB$2598,AX$3,FALSE)&lt;&gt;0,VLOOKUP($B264,'Draft List'!$D$4:$AB$2598,AX$3,FALSE),"")</f>
        <v>#N/A</v>
      </c>
      <c r="AY264" t="e">
        <f>IF(VLOOKUP($B264,'Draft List'!$D$4:$AB$2598,AY$3,FALSE)&lt;&gt;0,VLOOKUP($B264,'Draft List'!$D$4:$AB$2598,AY$3,FALSE),"")</f>
        <v>#N/A</v>
      </c>
    </row>
    <row r="265" spans="1:51">
      <c r="A265" t="str">
        <f>IF(C265="C","C-",C265)&amp;D265&amp;E265</f>
        <v>3BManny Cortéz21</v>
      </c>
      <c r="B265" t="e">
        <f>VLOOKUP($A265,draft_listing_batters_stats!$A$1:$B$1324,2,FALSE)</f>
        <v>#N/A</v>
      </c>
      <c r="C265" s="1" t="s">
        <v>2061</v>
      </c>
      <c r="D265" s="1" t="s">
        <v>1478</v>
      </c>
      <c r="E265" s="1">
        <v>21</v>
      </c>
      <c r="F265" s="1" t="s">
        <v>2022</v>
      </c>
      <c r="G265" s="1" t="s">
        <v>2022</v>
      </c>
      <c r="H265" s="1" t="s">
        <v>2033</v>
      </c>
      <c r="I265" s="1" t="s">
        <v>2033</v>
      </c>
      <c r="J265" s="1" t="s">
        <v>2040</v>
      </c>
      <c r="K265" s="1" t="s">
        <v>2025</v>
      </c>
      <c r="L265" s="1">
        <v>3</v>
      </c>
      <c r="M265" s="1">
        <v>3</v>
      </c>
      <c r="N265" s="1">
        <v>1</v>
      </c>
      <c r="O265" s="1">
        <v>2</v>
      </c>
      <c r="P265" s="1">
        <v>2</v>
      </c>
      <c r="Q265" s="1">
        <v>4</v>
      </c>
      <c r="R265" s="1">
        <v>4</v>
      </c>
      <c r="S265" s="1">
        <v>1</v>
      </c>
      <c r="T265" s="1">
        <v>4</v>
      </c>
      <c r="U265" s="1">
        <v>4</v>
      </c>
      <c r="V265" s="1">
        <v>6</v>
      </c>
      <c r="W265" s="1">
        <v>2</v>
      </c>
      <c r="X265" s="1">
        <v>1</v>
      </c>
      <c r="Y265" s="1" t="s">
        <v>2027</v>
      </c>
      <c r="Z265" s="1" t="s">
        <v>2027</v>
      </c>
      <c r="AA265" s="1">
        <v>1</v>
      </c>
      <c r="AB265" s="1">
        <v>4</v>
      </c>
      <c r="AC265" s="1">
        <v>2</v>
      </c>
      <c r="AD265" s="1" t="s">
        <v>2027</v>
      </c>
      <c r="AE265" s="1" t="s">
        <v>2027</v>
      </c>
      <c r="AF265" s="1" t="s">
        <v>2027</v>
      </c>
      <c r="AG265" s="1">
        <v>9</v>
      </c>
      <c r="AH265" s="1">
        <v>8</v>
      </c>
      <c r="AI265" s="1">
        <v>9</v>
      </c>
      <c r="AJ265" s="52">
        <v>2600000</v>
      </c>
      <c r="AK265" s="9">
        <f>($L$3*(L265-$Q$1)/$Q$2+$M$3*(M265-$R$1)/$R$2+$N$3*(N265-$S$1)/$S$2+$O$3*(O265-$T$1)/$T$2+$P$3*(P265-$U$1)/$U$2)/(SUM($L$3:$P$3))</f>
        <v>-1.207386028358151</v>
      </c>
      <c r="AL265" s="9">
        <f>($L$3*(Q265-$Q$1)/$Q$2+$M$3*(R265-$R$1)/$R$2+$N$3*(S265-$S$1)/$S$2+$O$3*(T265-$T$1)/$T$2+$P$3*(U265-$U$1)/$U$2)/(SUM($L$3:$P$3))</f>
        <v>-0.57431853288344392</v>
      </c>
      <c r="AM265">
        <f>IF(AVERAGE(AG265:AH265)&gt;9,1,0)+IF(AVERAGE(AG265:AH265)&gt;7,1,0)+IF(AG265&gt;7,1,0)+IF(AH265&gt;7,1,0)+IF(AI265&gt;8,1,0)+IF(AI265&gt;6,1,0)</f>
        <v>5</v>
      </c>
      <c r="AN265" s="6">
        <f>MIN(2,IF(OR(Y265="-",X265&lt;5),0,1+IF(Y265&gt;7,1+IF(X265&gt;7,0.25,0),IF(Y265&gt;4,0.5+IF(X265&gt;7,0.25,0),0+IF(X265&gt;7,0.25))))+IF(Z265="-",0,IF(Z265&gt;9,0.5,IF(Z265&gt;7,0.25,0)))+IF(AA265="-",0,IF(AA265&gt;7,1.1,IF(AA265&gt;4,0.6,0)))+IF(OR(AB265="-",V265&lt;5),0,IF(AB265&gt;7,1+IF(V265&gt;7,0.25,0),IF(AB265&gt;4,0.5+IF(V265&gt;7,0.25,0),0)))+IF(AC265="-",0,IF(AC265&gt;7,1.5,IF(AC265&gt;4,1,0)))+IF(AD265="-",0,IF(AD265&gt;9,0.5,IF(AD265&gt;7,0.25,0)))+IF(AE265="-",0,IF(AE265&gt;7,1.25,IF(AE265&gt;4,0.75,0)))+IF(OR(AF265="-",W265&lt;4),0,IF(AF265&gt;7,1+IF(W265&gt;7,0.15,0),IF(AF265&gt;4,0.5+IF(W265&gt;7,0.15,0),0))))</f>
        <v>0</v>
      </c>
      <c r="AO265" s="9">
        <f>($AK$3*AK265+$AL$3*AL265+$AM$3*AM265+$AN$3*AN265)+$J$3*VLOOKUP(J265,COND!$A$2:$C$7,2,FALSE)+$K$3*VLOOKUP(K265,COND!$A$2:$C$7,3,FALSE)</f>
        <v>3.3207723358961907</v>
      </c>
      <c r="AP265" s="37">
        <f>STANDARDIZE(AO265,AVERAGE($AO$5:$AO$1295),STDEVP($AO$5:$AO$1295))</f>
        <v>-1.0204966188475617</v>
      </c>
      <c r="AQ265" t="str">
        <f>IF(AND(Y265&lt;&gt;"-",X265&gt;1),"C",IF(AA265=MAX(AA265:AC265),"2B",IF(AC265=MAX(AA265:AC265),"SS",IF(OR(AB265=MAX(Z265:AC265),AND(AB265&lt;&gt;"-",AB265&gt;4,V265&gt;5)),"3B",IF(AE265=MAX(AD265:AF265),"CF",IF(AND(AF265=MAX(AD265,AF265),AND(W265&gt;5,AD265&lt;&gt;"-")),"RF",IF(AD265&lt;&gt;"-","LF",IF(Z265&lt;&gt;"-","1B","DH"))))))))</f>
        <v>3B</v>
      </c>
      <c r="AR265" t="s">
        <v>35</v>
      </c>
      <c r="AT265" t="s">
        <v>155</v>
      </c>
      <c r="AU265" t="str">
        <f>IF(AND($Q265&gt;=6,AVERAGE($S265:$T265)&gt;=6),"Likely",IF(OR($Q265&gt;6,AND($Q265=6,AVERAGE($S265:$T265)&gt;=3),AND($Q265&gt;=5,AVERAGE($S265:$T265)&gt;=5),AVERAGE($Q265,$S265:$T265)&gt;5),"Possible","Unlikely"))</f>
        <v>Unlikely</v>
      </c>
      <c r="AW265" t="e">
        <f>IF(VLOOKUP($B265,'Draft List'!$D$4:$AB$2598,AW$3,FALSE)&lt;&gt;0,VLOOKUP($B265,'Draft List'!$D$4:$AB$2598,AW$3,FALSE),"")</f>
        <v>#N/A</v>
      </c>
      <c r="AX265" t="e">
        <f>IF(VLOOKUP($B265,'Draft List'!$D$4:$AB$2598,AX$3,FALSE)&lt;&gt;0,VLOOKUP($B265,'Draft List'!$D$4:$AB$2598,AX$3,FALSE),"")</f>
        <v>#N/A</v>
      </c>
      <c r="AY265" t="e">
        <f>IF(VLOOKUP($B265,'Draft List'!$D$4:$AB$2598,AY$3,FALSE)&lt;&gt;0,VLOOKUP($B265,'Draft List'!$D$4:$AB$2598,AY$3,FALSE),"")</f>
        <v>#N/A</v>
      </c>
    </row>
    <row r="266" spans="1:51">
      <c r="A266" t="str">
        <f>IF(C266="C","C-",C266)&amp;D266&amp;E266</f>
        <v>2BEduardo Murillo18</v>
      </c>
      <c r="B266">
        <f>VLOOKUP($A266,draft_listing_batters_stats!$A$1:$B$1324,2,FALSE)</f>
        <v>13846</v>
      </c>
      <c r="C266" s="1" t="s">
        <v>2069</v>
      </c>
      <c r="D266" s="1" t="s">
        <v>1380</v>
      </c>
      <c r="E266" s="1">
        <v>18</v>
      </c>
      <c r="F266" s="1" t="s">
        <v>2022</v>
      </c>
      <c r="G266" s="1" t="s">
        <v>2022</v>
      </c>
      <c r="H266" s="1" t="s">
        <v>2033</v>
      </c>
      <c r="I266" s="1" t="s">
        <v>2033</v>
      </c>
      <c r="J266" s="1" t="s">
        <v>2025</v>
      </c>
      <c r="K266" s="1" t="s">
        <v>2030</v>
      </c>
      <c r="L266" s="1">
        <v>1</v>
      </c>
      <c r="M266" s="1">
        <v>2</v>
      </c>
      <c r="N266" s="1">
        <v>1</v>
      </c>
      <c r="O266" s="1">
        <v>1</v>
      </c>
      <c r="P266" s="1">
        <v>1</v>
      </c>
      <c r="Q266" s="1">
        <v>4</v>
      </c>
      <c r="R266" s="1">
        <v>5</v>
      </c>
      <c r="S266" s="1">
        <v>2</v>
      </c>
      <c r="T266" s="1">
        <v>2</v>
      </c>
      <c r="U266" s="1">
        <v>4</v>
      </c>
      <c r="V266" s="1">
        <v>4</v>
      </c>
      <c r="W266" s="1">
        <v>3</v>
      </c>
      <c r="X266" s="1">
        <v>1</v>
      </c>
      <c r="Y266" s="1" t="s">
        <v>2027</v>
      </c>
      <c r="Z266" s="1" t="s">
        <v>2027</v>
      </c>
      <c r="AA266" s="1">
        <v>2</v>
      </c>
      <c r="AB266" s="1">
        <v>1</v>
      </c>
      <c r="AC266" s="1">
        <v>1</v>
      </c>
      <c r="AD266" s="1" t="s">
        <v>2027</v>
      </c>
      <c r="AE266" s="1" t="s">
        <v>2027</v>
      </c>
      <c r="AF266" s="1" t="s">
        <v>2027</v>
      </c>
      <c r="AG266" s="1">
        <v>8</v>
      </c>
      <c r="AH266" s="1">
        <v>9</v>
      </c>
      <c r="AI266" s="1">
        <v>8</v>
      </c>
      <c r="AJ266" s="52" t="s">
        <v>2029</v>
      </c>
      <c r="AK266" s="9">
        <f>($L$3*(L266-$Q$1)/$Q$2+$M$3*(M266-$R$1)/$R$2+$N$3*(N266-$S$1)/$S$2+$O$3*(O266-$T$1)/$T$2+$P$3*(P266-$U$1)/$U$2)/(SUM($L$3:$P$3))</f>
        <v>-2.0332834702088682</v>
      </c>
      <c r="AL266" s="9">
        <f>($L$3*(Q266-$Q$1)/$Q$2+$M$3*(R266-$R$1)/$R$2+$N$3*(S266-$S$1)/$S$2+$O$3*(T266-$T$1)/$T$2+$P$3*(U266-$U$1)/$U$2)/(SUM($L$3:$P$3))</f>
        <v>-0.61961625926000097</v>
      </c>
      <c r="AM266">
        <f>IF(AVERAGE(AG266:AH266)&gt;9,1,0)+IF(AVERAGE(AG266:AH266)&gt;7,1,0)+IF(AG266&gt;7,1,0)+IF(AH266&gt;7,1,0)+IF(AI266&gt;8,1,0)+IF(AI266&gt;6,1,0)</f>
        <v>4</v>
      </c>
      <c r="AN266" s="6">
        <f>MIN(2,IF(OR(Y266="-",X266&lt;5),0,1+IF(Y266&gt;7,1+IF(X266&gt;7,0.25,0),IF(Y266&gt;4,0.5+IF(X266&gt;7,0.25,0),0+IF(X266&gt;7,0.25))))+IF(Z266="-",0,IF(Z266&gt;9,0.5,IF(Z266&gt;7,0.25,0)))+IF(AA266="-",0,IF(AA266&gt;7,1.1,IF(AA266&gt;4,0.6,0)))+IF(OR(AB266="-",V266&lt;5),0,IF(AB266&gt;7,1+IF(V266&gt;7,0.25,0),IF(AB266&gt;4,0.5+IF(V266&gt;7,0.25,0),0)))+IF(AC266="-",0,IF(AC266&gt;7,1.5,IF(AC266&gt;4,1,0)))+IF(AD266="-",0,IF(AD266&gt;9,0.5,IF(AD266&gt;7,0.25,0)))+IF(AE266="-",0,IF(AE266&gt;7,1.25,IF(AE266&gt;4,0.75,0)))+IF(OR(AF266="-",W266&lt;4),0,IF(AF266&gt;7,1+IF(W266&gt;7,0.15,0),IF(AF266&gt;4,0.5+IF(W266&gt;7,0.15,0),0))))</f>
        <v>0</v>
      </c>
      <c r="AO266" s="9">
        <f>($AK$3*AK266+$AL$3*AL266+$AM$3*AM266+$AN$3*AN266)+$J$3*VLOOKUP(J266,COND!$A$2:$C$7,2,FALSE)+$K$3*VLOOKUP(K266,COND!$A$2:$C$7,3,FALSE)</f>
        <v>3.1279432085257683</v>
      </c>
      <c r="AP266" s="37">
        <f>STANDARDIZE(AO266,AVERAGE($AO$5:$AO$1295),STDEVP($AO$5:$AO$1295))</f>
        <v>-1.047285145605106</v>
      </c>
      <c r="AQ266" t="str">
        <f>IF(AND(Y266&lt;&gt;"-",X266&gt;1),"C",IF(AA266=MAX(AA266:AC266),"2B",IF(AC266=MAX(AA266:AC266),"SS",IF(OR(AB266=MAX(Z266:AC266),AND(AB266&lt;&gt;"-",AB266&gt;4,V266&gt;5)),"3B",IF(AE266=MAX(AD266:AF266),"CF",IF(AND(AF266=MAX(AD266,AF266),AND(W266&gt;5,AD266&lt;&gt;"-")),"RF",IF(AD266&lt;&gt;"-","LF",IF(Z266&lt;&gt;"-","1B","DH"))))))))</f>
        <v>2B</v>
      </c>
      <c r="AR266" t="s">
        <v>35</v>
      </c>
      <c r="AU266" t="str">
        <f>IF(AND($Q266&gt;=6,AVERAGE($S266:$T266)&gt;=6),"Likely",IF(OR($Q266&gt;6,AND($Q266=6,AVERAGE($S266:$T266)&gt;=3),AND($Q266&gt;=5,AVERAGE($S266:$T266)&gt;=5),AVERAGE($Q266,$S266:$T266)&gt;5),"Possible","Unlikely"))</f>
        <v>Unlikely</v>
      </c>
      <c r="AW266" t="str">
        <f>IF(VLOOKUP($B266,'Draft List'!$D$4:$AB$2598,AW$3,FALSE)&lt;&gt;0,VLOOKUP($B266,'Draft List'!$D$4:$AB$2598,AW$3,FALSE),"")</f>
        <v/>
      </c>
      <c r="AX266" t="str">
        <f>IF(VLOOKUP($B266,'Draft List'!$D$4:$AB$2598,AX$3,FALSE)&lt;&gt;0,VLOOKUP($B266,'Draft List'!$D$4:$AB$2598,AX$3,FALSE),"")</f>
        <v/>
      </c>
      <c r="AY266" t="str">
        <f>IF(VLOOKUP($B266,'Draft List'!$D$4:$AB$2598,AY$3,FALSE)&lt;&gt;0,VLOOKUP($B266,'Draft List'!$D$4:$AB$2598,AY$3,FALSE),"")</f>
        <v/>
      </c>
    </row>
    <row r="267" spans="1:51">
      <c r="A267" t="str">
        <f>IF(C267="C","C-",C267)&amp;D267&amp;E267</f>
        <v>LFLou von Buhl21</v>
      </c>
      <c r="B267">
        <f>VLOOKUP($A267,draft_listing_batters_stats!$A$1:$B$1324,2,FALSE)</f>
        <v>3269</v>
      </c>
      <c r="C267" s="1" t="s">
        <v>2035</v>
      </c>
      <c r="D267" s="1" t="s">
        <v>1244</v>
      </c>
      <c r="E267" s="1">
        <v>21</v>
      </c>
      <c r="F267" s="1" t="s">
        <v>2049</v>
      </c>
      <c r="G267" s="1" t="s">
        <v>2022</v>
      </c>
      <c r="H267" s="1" t="s">
        <v>2033</v>
      </c>
      <c r="I267" s="1" t="s">
        <v>2033</v>
      </c>
      <c r="J267" s="1" t="s">
        <v>2026</v>
      </c>
      <c r="K267" s="1" t="s">
        <v>2025</v>
      </c>
      <c r="L267" s="1">
        <v>3</v>
      </c>
      <c r="M267" s="1">
        <v>3</v>
      </c>
      <c r="N267" s="1">
        <v>1</v>
      </c>
      <c r="O267" s="1">
        <v>2</v>
      </c>
      <c r="P267" s="1">
        <v>2</v>
      </c>
      <c r="Q267" s="1">
        <v>4</v>
      </c>
      <c r="R267" s="1">
        <v>5</v>
      </c>
      <c r="S267" s="1">
        <v>1</v>
      </c>
      <c r="T267" s="1">
        <v>3</v>
      </c>
      <c r="U267" s="1">
        <v>4</v>
      </c>
      <c r="V267" s="1">
        <v>1</v>
      </c>
      <c r="W267" s="1">
        <v>6</v>
      </c>
      <c r="X267" s="1">
        <v>1</v>
      </c>
      <c r="Y267" s="1" t="s">
        <v>2027</v>
      </c>
      <c r="Z267" s="1" t="s">
        <v>2027</v>
      </c>
      <c r="AA267" s="1" t="s">
        <v>2027</v>
      </c>
      <c r="AB267" s="1" t="s">
        <v>2027</v>
      </c>
      <c r="AC267" s="1" t="s">
        <v>2027</v>
      </c>
      <c r="AD267" s="1">
        <v>7</v>
      </c>
      <c r="AE267" s="1">
        <v>4</v>
      </c>
      <c r="AF267" s="1">
        <v>4</v>
      </c>
      <c r="AG267" s="1">
        <v>8</v>
      </c>
      <c r="AH267" s="1">
        <v>9</v>
      </c>
      <c r="AI267" s="1">
        <v>8</v>
      </c>
      <c r="AJ267" s="52" t="s">
        <v>2029</v>
      </c>
      <c r="AK267" s="9">
        <f>($L$3*(L267-$Q$1)/$Q$2+$M$3*(M267-$R$1)/$R$2+$N$3*(N267-$S$1)/$S$2+$O$3*(O267-$T$1)/$T$2+$P$3*(P267-$U$1)/$U$2)/(SUM($L$3:$P$3))</f>
        <v>-1.207386028358151</v>
      </c>
      <c r="AL267" s="9">
        <f>($L$3*(Q267-$Q$1)/$Q$2+$M$3*(R267-$R$1)/$R$2+$N$3*(S267-$S$1)/$S$2+$O$3*(T267-$T$1)/$T$2+$P$3*(U267-$U$1)/$U$2)/(SUM($L$3:$P$3))</f>
        <v>-0.61296820327432144</v>
      </c>
      <c r="AM267">
        <f>IF(AVERAGE(AG267:AH267)&gt;9,1,0)+IF(AVERAGE(AG267:AH267)&gt;7,1,0)+IF(AG267&gt;7,1,0)+IF(AH267&gt;7,1,0)+IF(AI267&gt;8,1,0)+IF(AI267&gt;6,1,0)</f>
        <v>4</v>
      </c>
      <c r="AN267" s="6">
        <f>MIN(2,IF(OR(Y267="-",X267&lt;5),0,1+IF(Y267&gt;7,1+IF(X267&gt;7,0.25,0),IF(Y267&gt;4,0.5+IF(X267&gt;7,0.25,0),0+IF(X267&gt;7,0.25))))+IF(Z267="-",0,IF(Z267&gt;9,0.5,IF(Z267&gt;7,0.25,0)))+IF(AA267="-",0,IF(AA267&gt;7,1.1,IF(AA267&gt;4,0.6,0)))+IF(OR(AB267="-",V267&lt;5),0,IF(AB267&gt;7,1+IF(V267&gt;7,0.25,0),IF(AB267&gt;4,0.5+IF(V267&gt;7,0.25,0),0)))+IF(AC267="-",0,IF(AC267&gt;7,1.5,IF(AC267&gt;4,1,0)))+IF(AD267="-",0,IF(AD267&gt;9,0.5,IF(AD267&gt;7,0.25,0)))+IF(AE267="-",0,IF(AE267&gt;7,1.25,IF(AE267&gt;4,0.75,0)))+IF(OR(AF267="-",W267&lt;4),0,IF(AF267&gt;7,1+IF(W267&gt;7,0.15,0),IF(AF267&gt;4,0.5+IF(W267&gt;7,0.15,0),0))))</f>
        <v>0</v>
      </c>
      <c r="AO267" s="9">
        <f>($AK$3*AK267+$AL$3*AL267+$AM$3*AM267+$AN$3*AN267)+$J$3*VLOOKUP(J267,COND!$A$2:$C$7,2,FALSE)+$K$3*VLOOKUP(K267,COND!$A$2:$C$7,3,FALSE)</f>
        <v>3.0903096245389943</v>
      </c>
      <c r="AP267" s="37">
        <f>STANDARDIZE(AO267,AVERAGE($AO$5:$AO$1295),STDEVP($AO$5:$AO$1295))</f>
        <v>-1.0525133405638236</v>
      </c>
      <c r="AQ267" t="str">
        <f>IF(AND(Y267&lt;&gt;"-",X267&gt;1),"C",IF(AA267=MAX(AA267:AC267),"2B",IF(AC267=MAX(AA267:AC267),"SS",IF(OR(AB267=MAX(Z267:AC267),AND(AB267&lt;&gt;"-",AB267&gt;4,V267&gt;5)),"3B",IF(AE267=MAX(AD267:AF267),"CF",IF(AND(AF267=MAX(AD267,AF267),AND(W267&gt;5,AD267&lt;&gt;"-")),"RF",IF(AD267&lt;&gt;"-","LF",IF(Z267&lt;&gt;"-","1B","DH"))))))))</f>
        <v>LF</v>
      </c>
      <c r="AR267" t="s">
        <v>35</v>
      </c>
      <c r="AU267" t="str">
        <f>IF(AND($Q267&gt;=6,AVERAGE($S267:$T267)&gt;=6),"Likely",IF(OR($Q267&gt;6,AND($Q267=6,AVERAGE($S267:$T267)&gt;=3),AND($Q267&gt;=5,AVERAGE($S267:$T267)&gt;=5),AVERAGE($Q267,$S267:$T267)&gt;5),"Possible","Unlikely"))</f>
        <v>Unlikely</v>
      </c>
      <c r="AW267" t="e">
        <f>IF(VLOOKUP($B267,'Draft List'!$D$4:$AB$2598,AW$3,FALSE)&lt;&gt;0,VLOOKUP($B267,'Draft List'!$D$4:$AB$2598,AW$3,FALSE),"")</f>
        <v>#N/A</v>
      </c>
      <c r="AX267" t="e">
        <f>IF(VLOOKUP($B267,'Draft List'!$D$4:$AB$2598,AX$3,FALSE)&lt;&gt;0,VLOOKUP($B267,'Draft List'!$D$4:$AB$2598,AX$3,FALSE),"")</f>
        <v>#N/A</v>
      </c>
      <c r="AY267" t="e">
        <f>IF(VLOOKUP($B267,'Draft List'!$D$4:$AB$2598,AY$3,FALSE)&lt;&gt;0,VLOOKUP($B267,'Draft List'!$D$4:$AB$2598,AY$3,FALSE),"")</f>
        <v>#N/A</v>
      </c>
    </row>
    <row r="268" spans="1:51">
      <c r="A268" t="str">
        <f>IF(C268="C","C-",C268)&amp;D268&amp;E268</f>
        <v>RFStephen Jordan21</v>
      </c>
      <c r="B268">
        <f>VLOOKUP($A268,draft_listing_batters_stats!$A$1:$B$1324,2,FALSE)</f>
        <v>4265</v>
      </c>
      <c r="C268" s="1" t="s">
        <v>2057</v>
      </c>
      <c r="D268" s="1" t="s">
        <v>1327</v>
      </c>
      <c r="E268" s="1">
        <v>21</v>
      </c>
      <c r="F268" s="1" t="s">
        <v>2049</v>
      </c>
      <c r="G268" s="1" t="s">
        <v>2038</v>
      </c>
      <c r="H268" s="1" t="s">
        <v>2033</v>
      </c>
      <c r="I268" s="1" t="s">
        <v>2033</v>
      </c>
      <c r="J268" s="1" t="s">
        <v>2040</v>
      </c>
      <c r="K268" s="1" t="s">
        <v>2040</v>
      </c>
      <c r="L268" s="1">
        <v>3</v>
      </c>
      <c r="M268" s="1">
        <v>3</v>
      </c>
      <c r="N268" s="1">
        <v>2</v>
      </c>
      <c r="O268" s="1">
        <v>2</v>
      </c>
      <c r="P268" s="1">
        <v>2</v>
      </c>
      <c r="Q268" s="1">
        <v>4</v>
      </c>
      <c r="R268" s="1">
        <v>5</v>
      </c>
      <c r="S268" s="1">
        <v>2</v>
      </c>
      <c r="T268" s="1">
        <v>3</v>
      </c>
      <c r="U268" s="1">
        <v>4</v>
      </c>
      <c r="V268" s="1">
        <v>5</v>
      </c>
      <c r="W268" s="1">
        <v>6</v>
      </c>
      <c r="X268" s="1">
        <v>1</v>
      </c>
      <c r="Y268" s="1" t="s">
        <v>2027</v>
      </c>
      <c r="Z268" s="1">
        <v>2</v>
      </c>
      <c r="AA268" s="1" t="s">
        <v>2027</v>
      </c>
      <c r="AB268" s="1" t="s">
        <v>2027</v>
      </c>
      <c r="AC268" s="1" t="s">
        <v>2027</v>
      </c>
      <c r="AD268" s="1">
        <v>5</v>
      </c>
      <c r="AE268" s="1">
        <v>2</v>
      </c>
      <c r="AF268" s="1">
        <v>5</v>
      </c>
      <c r="AG268" s="1">
        <v>4</v>
      </c>
      <c r="AH268" s="1">
        <v>4</v>
      </c>
      <c r="AI268" s="1">
        <v>2</v>
      </c>
      <c r="AJ268" s="52" t="s">
        <v>2029</v>
      </c>
      <c r="AK268" s="9">
        <f>($L$3*(L268-$Q$1)/$Q$2+$M$3*(M268-$R$1)/$R$2+$N$3*(N268-$S$1)/$S$2+$O$3*(O268-$T$1)/$T$2+$P$3*(P268-$U$1)/$U$2)/(SUM($L$3:$P$3))</f>
        <v>-1.1243245343342496</v>
      </c>
      <c r="AL268" s="9">
        <f>($L$3*(Q268-$Q$1)/$Q$2+$M$3*(R268-$R$1)/$R$2+$N$3*(S268-$S$1)/$S$2+$O$3*(T268-$T$1)/$T$2+$P$3*(U268-$U$1)/$U$2)/(SUM($L$3:$P$3))</f>
        <v>-0.52990670925041994</v>
      </c>
      <c r="AM268">
        <f>IF(AVERAGE(AG268:AH268)&gt;9,1,0)+IF(AVERAGE(AG268:AH268)&gt;7,1,0)+IF(AG268&gt;7,1,0)+IF(AH268&gt;7,1,0)+IF(AI268&gt;8,1,0)+IF(AI268&gt;6,1,0)</f>
        <v>0</v>
      </c>
      <c r="AN268" s="6">
        <f>MIN(2,IF(OR(Y268="-",X268&lt;5),0,1+IF(Y268&gt;7,1+IF(X268&gt;7,0.25,0),IF(Y268&gt;4,0.5+IF(X268&gt;7,0.25,0),0+IF(X268&gt;7,0.25))))+IF(Z268="-",0,IF(Z268&gt;9,0.5,IF(Z268&gt;7,0.25,0)))+IF(AA268="-",0,IF(AA268&gt;7,1.1,IF(AA268&gt;4,0.6,0)))+IF(OR(AB268="-",V268&lt;5),0,IF(AB268&gt;7,1+IF(V268&gt;7,0.25,0),IF(AB268&gt;4,0.5+IF(V268&gt;7,0.25,0),0)))+IF(AC268="-",0,IF(AC268&gt;7,1.5,IF(AC268&gt;4,1,0)))+IF(AD268="-",0,IF(AD268&gt;9,0.5,IF(AD268&gt;7,0.25,0)))+IF(AE268="-",0,IF(AE268&gt;7,1.25,IF(AE268&gt;4,0.75,0)))+IF(OR(AF268="-",W268&lt;4),0,IF(AF268&gt;7,1+IF(W268&gt;7,0.15,0),IF(AF268&gt;4,0.5+IF(W268&gt;7,0.15,0),0))))</f>
        <v>0.5</v>
      </c>
      <c r="AO268" s="9">
        <f>($AK$3*AK268+$AL$3*AL268+$AM$3*AM268+$AN$3*AN268)+$J$3*VLOOKUP(J268,COND!$A$2:$C$7,2,FALSE)+$K$3*VLOOKUP(K268,COND!$A$2:$C$7,3,FALSE)</f>
        <v>3.0286870355615356</v>
      </c>
      <c r="AP268" s="37">
        <f>STANDARDIZE(AO268,AVERAGE($AO$5:$AO$1295),STDEVP($AO$5:$AO$1295))</f>
        <v>-1.0610741757250008</v>
      </c>
      <c r="AQ268" t="str">
        <f>IF(AND(Y268&lt;&gt;"-",X268&gt;1),"C",IF(AA268=MAX(AA268:AC268),"2B",IF(AC268=MAX(AA268:AC268),"SS",IF(OR(AB268=MAX(Z268:AC268),AND(AB268&lt;&gt;"-",AB268&gt;4,V268&gt;5)),"3B",IF(AE268=MAX(AD268:AF268),"CF",IF(AND(AF268=MAX(AD268,AF268),AND(W268&gt;5,AD268&lt;&gt;"-")),"RF",IF(AD268&lt;&gt;"-","LF",IF(Z268&lt;&gt;"-","1B","DH"))))))))</f>
        <v>RF</v>
      </c>
      <c r="AR268" t="s">
        <v>35</v>
      </c>
      <c r="AU268" t="str">
        <f>IF(AND($Q268&gt;=6,AVERAGE($S268:$T268)&gt;=6),"Likely",IF(OR($Q268&gt;6,AND($Q268=6,AVERAGE($S268:$T268)&gt;=3),AND($Q268&gt;=5,AVERAGE($S268:$T268)&gt;=5),AVERAGE($Q268,$S268:$T268)&gt;5),"Possible","Unlikely"))</f>
        <v>Unlikely</v>
      </c>
      <c r="AW268" t="e">
        <f>IF(VLOOKUP($B268,'Draft List'!$D$4:$AB$2598,AW$3,FALSE)&lt;&gt;0,VLOOKUP($B268,'Draft List'!$D$4:$AB$2598,AW$3,FALSE),"")</f>
        <v>#N/A</v>
      </c>
      <c r="AX268" t="e">
        <f>IF(VLOOKUP($B268,'Draft List'!$D$4:$AB$2598,AX$3,FALSE)&lt;&gt;0,VLOOKUP($B268,'Draft List'!$D$4:$AB$2598,AX$3,FALSE),"")</f>
        <v>#N/A</v>
      </c>
      <c r="AY268" t="e">
        <f>IF(VLOOKUP($B268,'Draft List'!$D$4:$AB$2598,AY$3,FALSE)&lt;&gt;0,VLOOKUP($B268,'Draft List'!$D$4:$AB$2598,AY$3,FALSE),"")</f>
        <v>#N/A</v>
      </c>
    </row>
    <row r="269" spans="1:51">
      <c r="A269" t="str">
        <f>IF(C269="C","C-",C269)&amp;D269&amp;E269</f>
        <v>3BRamón Díaz18</v>
      </c>
      <c r="B269" t="e">
        <f>VLOOKUP($A269,draft_listing_batters_stats!$A$1:$B$1324,2,FALSE)</f>
        <v>#N/A</v>
      </c>
      <c r="C269" s="1" t="s">
        <v>2061</v>
      </c>
      <c r="D269" s="1" t="s">
        <v>1485</v>
      </c>
      <c r="E269" s="1">
        <v>18</v>
      </c>
      <c r="F269" s="1" t="s">
        <v>2022</v>
      </c>
      <c r="G269" s="1" t="s">
        <v>2022</v>
      </c>
      <c r="H269" s="1" t="s">
        <v>2033</v>
      </c>
      <c r="I269" s="1" t="s">
        <v>2033</v>
      </c>
      <c r="J269" s="1" t="s">
        <v>2036</v>
      </c>
      <c r="K269" s="1" t="s">
        <v>2025</v>
      </c>
      <c r="L269" s="1">
        <v>1</v>
      </c>
      <c r="M269" s="1">
        <v>2</v>
      </c>
      <c r="N269" s="1">
        <v>1</v>
      </c>
      <c r="O269" s="1">
        <v>1</v>
      </c>
      <c r="P269" s="1">
        <v>1</v>
      </c>
      <c r="Q269" s="1">
        <v>4</v>
      </c>
      <c r="R269" s="1">
        <v>4</v>
      </c>
      <c r="S269" s="1">
        <v>3</v>
      </c>
      <c r="T269" s="1">
        <v>2</v>
      </c>
      <c r="U269" s="1">
        <v>4</v>
      </c>
      <c r="V269" s="1">
        <v>9</v>
      </c>
      <c r="W269" s="1">
        <v>3</v>
      </c>
      <c r="X269" s="1">
        <v>1</v>
      </c>
      <c r="Y269" s="1" t="s">
        <v>2027</v>
      </c>
      <c r="Z269" s="1" t="s">
        <v>2027</v>
      </c>
      <c r="AA269" s="1">
        <v>1</v>
      </c>
      <c r="AB269" s="1">
        <v>1</v>
      </c>
      <c r="AC269" s="1">
        <v>1</v>
      </c>
      <c r="AD269" s="1" t="s">
        <v>2027</v>
      </c>
      <c r="AE269" s="1" t="s">
        <v>2027</v>
      </c>
      <c r="AF269" s="1" t="s">
        <v>2027</v>
      </c>
      <c r="AG269" s="1">
        <v>5</v>
      </c>
      <c r="AH269" s="1">
        <v>5</v>
      </c>
      <c r="AI269" s="1">
        <v>4</v>
      </c>
      <c r="AJ269" s="52" t="s">
        <v>2029</v>
      </c>
      <c r="AK269" s="9">
        <f>($L$3*(L269-$Q$1)/$Q$2+$M$3*(M269-$R$1)/$R$2+$N$3*(N269-$S$1)/$S$2+$O$3*(O269-$T$1)/$T$2+$P$3*(P269-$U$1)/$U$2)/(SUM($L$3:$P$3))</f>
        <v>-2.0332834702088682</v>
      </c>
      <c r="AL269" s="9">
        <f>($L$3*(Q269-$Q$1)/$Q$2+$M$3*(R269-$R$1)/$R$2+$N$3*(S269-$S$1)/$S$2+$O$3*(T269-$T$1)/$T$2+$P$3*(U269-$U$1)/$U$2)/(SUM($L$3:$P$3))</f>
        <v>-0.58761464485480297</v>
      </c>
      <c r="AM269">
        <f>IF(AVERAGE(AG269:AH269)&gt;9,1,0)+IF(AVERAGE(AG269:AH269)&gt;7,1,0)+IF(AG269&gt;7,1,0)+IF(AH269&gt;7,1,0)+IF(AI269&gt;8,1,0)+IF(AI269&gt;6,1,0)</f>
        <v>0</v>
      </c>
      <c r="AN269" s="6">
        <f>MIN(2,IF(OR(Y269="-",X269&lt;5),0,1+IF(Y269&gt;7,1+IF(X269&gt;7,0.25,0),IF(Y269&gt;4,0.5+IF(X269&gt;7,0.25,0),0+IF(X269&gt;7,0.25))))+IF(Z269="-",0,IF(Z269&gt;9,0.5,IF(Z269&gt;7,0.25,0)))+IF(AA269="-",0,IF(AA269&gt;7,1.1,IF(AA269&gt;4,0.6,0)))+IF(OR(AB269="-",V269&lt;5),0,IF(AB269&gt;7,1+IF(V269&gt;7,0.25,0),IF(AB269&gt;4,0.5+IF(V269&gt;7,0.25,0),0)))+IF(AC269="-",0,IF(AC269&gt;7,1.5,IF(AC269&gt;4,1,0)))+IF(AD269="-",0,IF(AD269&gt;9,0.5,IF(AD269&gt;7,0.25,0)))+IF(AE269="-",0,IF(AE269&gt;7,1.25,IF(AE269&gt;4,0.75,0)))+IF(OR(AF269="-",W269&lt;4),0,IF(AF269&gt;7,1+IF(W269&gt;7,0.15,0),IF(AF269&gt;4,0.5+IF(W269&gt;7,0.15,0),0))))</f>
        <v>0</v>
      </c>
      <c r="AO269" s="9">
        <f>($AK$3*AK269+$AL$3*AL269+$AM$3*AM269+$AN$3*AN269)+$J$3*VLOOKUP(J269,COND!$A$2:$C$7,2,FALSE)+$K$3*VLOOKUP(K269,COND!$A$2:$C$7,3,FALSE)</f>
        <v>2.9952959147214777</v>
      </c>
      <c r="AP269" s="37">
        <f>STANDARDIZE(AO269,AVERAGE($AO$5:$AO$1295),STDEVP($AO$5:$AO$1295))</f>
        <v>-1.0657129922061332</v>
      </c>
      <c r="AQ269" t="str">
        <f>IF(AND(Y269&lt;&gt;"-",X269&gt;1),"C",IF(AA269=MAX(AA269:AC269),"2B",IF(AC269=MAX(AA269:AC269),"SS",IF(OR(AB269=MAX(Z269:AC269),AND(AB269&lt;&gt;"-",AB269&gt;4,V269&gt;5)),"3B",IF(AE269=MAX(AD269:AF269),"CF",IF(AND(AF269=MAX(AD269,AF269),AND(W269&gt;5,AD269&lt;&gt;"-")),"RF",IF(AD269&lt;&gt;"-","LF",IF(Z269&lt;&gt;"-","1B","DH"))))))))</f>
        <v>2B</v>
      </c>
      <c r="AR269" t="s">
        <v>35</v>
      </c>
      <c r="AU269" t="str">
        <f>IF(AND($Q269&gt;=6,AVERAGE($S269:$T269)&gt;=6),"Likely",IF(OR($Q269&gt;6,AND($Q269=6,AVERAGE($S269:$T269)&gt;=3),AND($Q269&gt;=5,AVERAGE($S269:$T269)&gt;=5),AVERAGE($Q269,$S269:$T269)&gt;5),"Possible","Unlikely"))</f>
        <v>Unlikely</v>
      </c>
      <c r="AW269" t="e">
        <f>IF(VLOOKUP($B269,'Draft List'!$D$4:$AB$2598,AW$3,FALSE)&lt;&gt;0,VLOOKUP($B269,'Draft List'!$D$4:$AB$2598,AW$3,FALSE),"")</f>
        <v>#N/A</v>
      </c>
      <c r="AX269" t="e">
        <f>IF(VLOOKUP($B269,'Draft List'!$D$4:$AB$2598,AX$3,FALSE)&lt;&gt;0,VLOOKUP($B269,'Draft List'!$D$4:$AB$2598,AX$3,FALSE),"")</f>
        <v>#N/A</v>
      </c>
      <c r="AY269" t="e">
        <f>IF(VLOOKUP($B269,'Draft List'!$D$4:$AB$2598,AY$3,FALSE)&lt;&gt;0,VLOOKUP($B269,'Draft List'!$D$4:$AB$2598,AY$3,FALSE),"")</f>
        <v>#N/A</v>
      </c>
    </row>
    <row r="270" spans="1:51">
      <c r="A270" t="str">
        <f>IF(C270="C","C-",C270)&amp;D270&amp;E270</f>
        <v>RFWill Smith18</v>
      </c>
      <c r="B270">
        <f>VLOOKUP($A270,draft_listing_batters_stats!$A$1:$B$1324,2,FALSE)</f>
        <v>270</v>
      </c>
      <c r="C270" s="1" t="s">
        <v>2057</v>
      </c>
      <c r="D270" s="1" t="s">
        <v>1217</v>
      </c>
      <c r="E270" s="1">
        <v>18</v>
      </c>
      <c r="F270" s="1" t="s">
        <v>2038</v>
      </c>
      <c r="G270" s="1" t="s">
        <v>2038</v>
      </c>
      <c r="H270" s="1" t="s">
        <v>2033</v>
      </c>
      <c r="I270" s="1" t="s">
        <v>2033</v>
      </c>
      <c r="J270" s="1" t="s">
        <v>2036</v>
      </c>
      <c r="K270" s="1" t="s">
        <v>2026</v>
      </c>
      <c r="L270" s="1">
        <v>1</v>
      </c>
      <c r="M270" s="1">
        <v>2</v>
      </c>
      <c r="N270" s="1">
        <v>1</v>
      </c>
      <c r="O270" s="1">
        <v>1</v>
      </c>
      <c r="P270" s="1">
        <v>1</v>
      </c>
      <c r="Q270" s="1">
        <v>4</v>
      </c>
      <c r="R270" s="1">
        <v>4</v>
      </c>
      <c r="S270" s="1">
        <v>1</v>
      </c>
      <c r="T270" s="1">
        <v>3</v>
      </c>
      <c r="U270" s="1">
        <v>4</v>
      </c>
      <c r="V270" s="1">
        <v>1</v>
      </c>
      <c r="W270" s="1">
        <v>5</v>
      </c>
      <c r="X270" s="1">
        <v>1</v>
      </c>
      <c r="Y270" s="1" t="s">
        <v>2027</v>
      </c>
      <c r="Z270" s="1" t="s">
        <v>2027</v>
      </c>
      <c r="AA270" s="1" t="s">
        <v>2027</v>
      </c>
      <c r="AB270" s="1" t="s">
        <v>2027</v>
      </c>
      <c r="AC270" s="1" t="s">
        <v>2027</v>
      </c>
      <c r="AD270" s="1">
        <v>1</v>
      </c>
      <c r="AE270" s="1">
        <v>1</v>
      </c>
      <c r="AF270" s="1">
        <v>2</v>
      </c>
      <c r="AG270" s="1">
        <v>10</v>
      </c>
      <c r="AH270" s="1">
        <v>10</v>
      </c>
      <c r="AI270" s="1">
        <v>10</v>
      </c>
      <c r="AJ270" s="52" t="s">
        <v>2029</v>
      </c>
      <c r="AK270" s="9">
        <f>($L$3*(L270-$Q$1)/$Q$2+$M$3*(M270-$R$1)/$R$2+$N$3*(N270-$S$1)/$S$2+$O$3*(O270-$T$1)/$T$2+$P$3*(P270-$U$1)/$U$2)/(SUM($L$3:$P$3))</f>
        <v>-2.0332834702088682</v>
      </c>
      <c r="AL270" s="9">
        <f>($L$3*(Q270-$Q$1)/$Q$2+$M$3*(R270-$R$1)/$R$2+$N$3*(S270-$S$1)/$S$2+$O$3*(T270-$T$1)/$T$2+$P$3*(U270-$U$1)/$U$2)/(SUM($L$3:$P$3))</f>
        <v>-0.66402808289302484</v>
      </c>
      <c r="AM270">
        <f>IF(AVERAGE(AG270:AH270)&gt;9,1,0)+IF(AVERAGE(AG270:AH270)&gt;7,1,0)+IF(AG270&gt;7,1,0)+IF(AH270&gt;7,1,0)+IF(AI270&gt;8,1,0)+IF(AI270&gt;6,1,0)</f>
        <v>6</v>
      </c>
      <c r="AN270" s="6">
        <f>MIN(2,IF(OR(Y270="-",X270&lt;5),0,1+IF(Y270&gt;7,1+IF(X270&gt;7,0.25,0),IF(Y270&gt;4,0.5+IF(X270&gt;7,0.25,0),0+IF(X270&gt;7,0.25))))+IF(Z270="-",0,IF(Z270&gt;9,0.5,IF(Z270&gt;7,0.25,0)))+IF(AA270="-",0,IF(AA270&gt;7,1.1,IF(AA270&gt;4,0.6,0)))+IF(OR(AB270="-",V270&lt;5),0,IF(AB270&gt;7,1+IF(V270&gt;7,0.25,0),IF(AB270&gt;4,0.5+IF(V270&gt;7,0.25,0),0)))+IF(AC270="-",0,IF(AC270&gt;7,1.5,IF(AC270&gt;4,1,0)))+IF(AD270="-",0,IF(AD270&gt;9,0.5,IF(AD270&gt;7,0.25,0)))+IF(AE270="-",0,IF(AE270&gt;7,1.25,IF(AE270&gt;4,0.75,0)))+IF(OR(AF270="-",W270&lt;4),0,IF(AF270&gt;7,1+IF(W270&gt;7,0.15,0),IF(AF270&gt;4,0.5+IF(W270&gt;7,0.15,0),0))))</f>
        <v>0</v>
      </c>
      <c r="AO270" s="9">
        <f>($AK$3*AK270+$AL$3*AL270+$AM$3*AM270+$AN$3*AN270)+$J$3*VLOOKUP(J270,COND!$A$2:$C$7,2,FALSE)+$K$3*VLOOKUP(K270,COND!$A$2:$C$7,3,FALSE)</f>
        <v>2.9783346582628152</v>
      </c>
      <c r="AP270" s="37">
        <f>STANDARDIZE(AO270,AVERAGE($AO$5:$AO$1295),STDEVP($AO$5:$AO$1295))</f>
        <v>-1.0680693119109443</v>
      </c>
      <c r="AQ270" t="str">
        <f>IF(AND(Y270&lt;&gt;"-",X270&gt;1),"C",IF(AA270=MAX(AA270:AC270),"2B",IF(AC270=MAX(AA270:AC270),"SS",IF(OR(AB270=MAX(Z270:AC270),AND(AB270&lt;&gt;"-",AB270&gt;4,V270&gt;5)),"3B",IF(AE270=MAX(AD270:AF270),"CF",IF(AND(AF270=MAX(AD270,AF270),AND(W270&gt;5,AD270&lt;&gt;"-")),"RF",IF(AD270&lt;&gt;"-","LF",IF(Z270&lt;&gt;"-","1B","DH"))))))))</f>
        <v>LF</v>
      </c>
      <c r="AR270" t="s">
        <v>35</v>
      </c>
      <c r="AU270" t="str">
        <f>IF(AND($Q270&gt;=6,AVERAGE($S270:$T270)&gt;=6),"Likely",IF(OR($Q270&gt;6,AND($Q270=6,AVERAGE($S270:$T270)&gt;=3),AND($Q270&gt;=5,AVERAGE($S270:$T270)&gt;=5),AVERAGE($Q270,$S270:$T270)&gt;5),"Possible","Unlikely"))</f>
        <v>Unlikely</v>
      </c>
      <c r="AW270" t="str">
        <f>IF(VLOOKUP($B270,'Draft List'!$D$4:$AB$2598,AW$3,FALSE)&lt;&gt;0,VLOOKUP($B270,'Draft List'!$D$4:$AB$2598,AW$3,FALSE),"")</f>
        <v/>
      </c>
      <c r="AX270" t="str">
        <f>IF(VLOOKUP($B270,'Draft List'!$D$4:$AB$2598,AX$3,FALSE)&lt;&gt;0,VLOOKUP($B270,'Draft List'!$D$4:$AB$2598,AX$3,FALSE),"")</f>
        <v/>
      </c>
      <c r="AY270" t="str">
        <f>IF(VLOOKUP($B270,'Draft List'!$D$4:$AB$2598,AY$3,FALSE)&lt;&gt;0,VLOOKUP($B270,'Draft List'!$D$4:$AB$2598,AY$3,FALSE),"")</f>
        <v/>
      </c>
    </row>
    <row r="271" spans="1:51">
      <c r="A271" t="str">
        <f>IF(C271="C","C-",C271)&amp;D271&amp;E271</f>
        <v>2BPhil Myers21</v>
      </c>
      <c r="B271">
        <f>VLOOKUP($A271,draft_listing_batters_stats!$A$1:$B$1324,2,FALSE)</f>
        <v>7835</v>
      </c>
      <c r="C271" s="1" t="s">
        <v>2069</v>
      </c>
      <c r="D271" s="1" t="s">
        <v>1383</v>
      </c>
      <c r="E271" s="1">
        <v>21</v>
      </c>
      <c r="F271" s="1" t="s">
        <v>2022</v>
      </c>
      <c r="G271" s="1" t="s">
        <v>2022</v>
      </c>
      <c r="H271" s="1" t="s">
        <v>2033</v>
      </c>
      <c r="I271" s="1" t="s">
        <v>2033</v>
      </c>
      <c r="J271" s="1" t="s">
        <v>2025</v>
      </c>
      <c r="K271" s="1" t="s">
        <v>2026</v>
      </c>
      <c r="L271" s="1">
        <v>3</v>
      </c>
      <c r="M271" s="1">
        <v>4</v>
      </c>
      <c r="N271" s="1">
        <v>1</v>
      </c>
      <c r="O271" s="1">
        <v>1</v>
      </c>
      <c r="P271" s="1">
        <v>2</v>
      </c>
      <c r="Q271" s="1">
        <v>4</v>
      </c>
      <c r="R271" s="1">
        <v>6</v>
      </c>
      <c r="S271" s="1">
        <v>2</v>
      </c>
      <c r="T271" s="1">
        <v>2</v>
      </c>
      <c r="U271" s="1">
        <v>4</v>
      </c>
      <c r="V271" s="1">
        <v>4</v>
      </c>
      <c r="W271" s="1">
        <v>4</v>
      </c>
      <c r="X271" s="1">
        <v>1</v>
      </c>
      <c r="Y271" s="1" t="s">
        <v>2027</v>
      </c>
      <c r="Z271" s="1">
        <v>6</v>
      </c>
      <c r="AA271" s="1">
        <v>4</v>
      </c>
      <c r="AB271" s="1" t="s">
        <v>2027</v>
      </c>
      <c r="AC271" s="1">
        <v>1</v>
      </c>
      <c r="AD271" s="1" t="s">
        <v>2027</v>
      </c>
      <c r="AE271" s="1" t="s">
        <v>2027</v>
      </c>
      <c r="AF271" s="1" t="s">
        <v>2027</v>
      </c>
      <c r="AG271" s="1">
        <v>6</v>
      </c>
      <c r="AH271" s="1">
        <v>4</v>
      </c>
      <c r="AI271" s="1">
        <v>5</v>
      </c>
      <c r="AJ271" s="52" t="s">
        <v>2029</v>
      </c>
      <c r="AK271" s="9">
        <f>($L$3*(L271-$Q$1)/$Q$2+$M$3*(M271-$R$1)/$R$2+$N$3*(N271-$S$1)/$S$2+$O$3*(O271-$T$1)/$T$2+$P$3*(P271-$U$1)/$U$2)/(SUM($L$3:$P$3))</f>
        <v>-1.2460356987490286</v>
      </c>
      <c r="AL271" s="9">
        <f>($L$3*(Q271-$Q$1)/$Q$2+$M$3*(R271-$R$1)/$R$2+$N$3*(S271-$S$1)/$S$2+$O$3*(T271-$T$1)/$T$2+$P$3*(U271-$U$1)/$U$2)/(SUM($L$3:$P$3))</f>
        <v>-0.56855637964129746</v>
      </c>
      <c r="AM271">
        <f>IF(AVERAGE(AG271:AH271)&gt;9,1,0)+IF(AVERAGE(AG271:AH271)&gt;7,1,0)+IF(AG271&gt;7,1,0)+IF(AH271&gt;7,1,0)+IF(AI271&gt;8,1,0)+IF(AI271&gt;6,1,0)</f>
        <v>0</v>
      </c>
      <c r="AN271" s="6">
        <f>MIN(2,IF(OR(Y271="-",X271&lt;5),0,1+IF(Y271&gt;7,1+IF(X271&gt;7,0.25,0),IF(Y271&gt;4,0.5+IF(X271&gt;7,0.25,0),0+IF(X271&gt;7,0.25))))+IF(Z271="-",0,IF(Z271&gt;9,0.5,IF(Z271&gt;7,0.25,0)))+IF(AA271="-",0,IF(AA271&gt;7,1.1,IF(AA271&gt;4,0.6,0)))+IF(OR(AB271="-",V271&lt;5),0,IF(AB271&gt;7,1+IF(V271&gt;7,0.25,0),IF(AB271&gt;4,0.5+IF(V271&gt;7,0.25,0),0)))+IF(AC271="-",0,IF(AC271&gt;7,1.5,IF(AC271&gt;4,1,0)))+IF(AD271="-",0,IF(AD271&gt;9,0.5,IF(AD271&gt;7,0.25,0)))+IF(AE271="-",0,IF(AE271&gt;7,1.25,IF(AE271&gt;4,0.75,0)))+IF(OR(AF271="-",W271&lt;4),0,IF(AF271&gt;7,1+IF(W271&gt;7,0.15,0),IF(AF271&gt;4,0.5+IF(W271&gt;7,0.15,0),0))))</f>
        <v>0</v>
      </c>
      <c r="AO271" s="9">
        <f>($AK$3*AK271+$AL$3*AL271+$AM$3*AM271+$AN$3*AN271)+$J$3*VLOOKUP(J271,COND!$A$2:$C$7,2,FALSE)+$K$3*VLOOKUP(K271,COND!$A$2:$C$7,3,FALSE)</f>
        <v>2.952719874429528</v>
      </c>
      <c r="AP271" s="37">
        <f>STANDARDIZE(AO271,AVERAGE($AO$5:$AO$1295),STDEVP($AO$5:$AO$1295))</f>
        <v>-1.0716278112490063</v>
      </c>
      <c r="AQ271" t="str">
        <f>IF(AND(Y271&lt;&gt;"-",X271&gt;1),"C",IF(AA271=MAX(AA271:AC271),"2B",IF(AC271=MAX(AA271:AC271),"SS",IF(OR(AB271=MAX(Z271:AC271),AND(AB271&lt;&gt;"-",AB271&gt;4,V271&gt;5)),"3B",IF(AE271=MAX(AD271:AF271),"CF",IF(AND(AF271=MAX(AD271,AF271),AND(W271&gt;5,AD271&lt;&gt;"-")),"RF",IF(AD271&lt;&gt;"-","LF",IF(Z271&lt;&gt;"-","1B","DH"))))))))</f>
        <v>2B</v>
      </c>
      <c r="AR271" t="s">
        <v>35</v>
      </c>
      <c r="AU271" t="str">
        <f>IF(AND($Q271&gt;=6,AVERAGE($S271:$T271)&gt;=6),"Likely",IF(OR($Q271&gt;6,AND($Q271=6,AVERAGE($S271:$T271)&gt;=3),AND($Q271&gt;=5,AVERAGE($S271:$T271)&gt;=5),AVERAGE($Q271,$S271:$T271)&gt;5),"Possible","Unlikely"))</f>
        <v>Unlikely</v>
      </c>
      <c r="AW271" t="str">
        <f>IF(VLOOKUP($B271,'Draft List'!$D$4:$AB$2598,AW$3,FALSE)&lt;&gt;0,VLOOKUP($B271,'Draft List'!$D$4:$AB$2598,AW$3,FALSE),"")</f>
        <v/>
      </c>
      <c r="AX271" t="str">
        <f>IF(VLOOKUP($B271,'Draft List'!$D$4:$AB$2598,AX$3,FALSE)&lt;&gt;0,VLOOKUP($B271,'Draft List'!$D$4:$AB$2598,AX$3,FALSE),"")</f>
        <v/>
      </c>
      <c r="AY271" t="str">
        <f>IF(VLOOKUP($B271,'Draft List'!$D$4:$AB$2598,AY$3,FALSE)&lt;&gt;0,VLOOKUP($B271,'Draft List'!$D$4:$AB$2598,AY$3,FALSE),"")</f>
        <v/>
      </c>
    </row>
    <row r="272" spans="1:51">
      <c r="A272" t="str">
        <f>IF(C272="C","C-",C272)&amp;D272&amp;E272</f>
        <v>2BEdgar Ortíz21</v>
      </c>
      <c r="B272" t="e">
        <f>VLOOKUP($A272,draft_listing_batters_stats!$A$1:$B$1324,2,FALSE)</f>
        <v>#N/A</v>
      </c>
      <c r="C272" s="1" t="s">
        <v>2069</v>
      </c>
      <c r="D272" s="1" t="s">
        <v>1391</v>
      </c>
      <c r="E272" s="1">
        <v>21</v>
      </c>
      <c r="F272" s="1" t="s">
        <v>2022</v>
      </c>
      <c r="G272" s="1" t="s">
        <v>2022</v>
      </c>
      <c r="H272" s="1" t="s">
        <v>2033</v>
      </c>
      <c r="I272" s="1" t="s">
        <v>2033</v>
      </c>
      <c r="J272" s="1" t="s">
        <v>2040</v>
      </c>
      <c r="K272" s="1" t="s">
        <v>2036</v>
      </c>
      <c r="L272" s="1">
        <v>3</v>
      </c>
      <c r="M272" s="1">
        <v>2</v>
      </c>
      <c r="N272" s="1">
        <v>1</v>
      </c>
      <c r="O272" s="1">
        <v>4</v>
      </c>
      <c r="P272" s="1">
        <v>2</v>
      </c>
      <c r="Q272" s="1">
        <v>4</v>
      </c>
      <c r="R272" s="1">
        <v>2</v>
      </c>
      <c r="S272" s="1">
        <v>1</v>
      </c>
      <c r="T272" s="1">
        <v>4</v>
      </c>
      <c r="U272" s="1">
        <v>4</v>
      </c>
      <c r="V272" s="1">
        <v>5</v>
      </c>
      <c r="W272" s="1">
        <v>3</v>
      </c>
      <c r="X272" s="1">
        <v>1</v>
      </c>
      <c r="Y272" s="1" t="s">
        <v>2027</v>
      </c>
      <c r="Z272" s="1" t="s">
        <v>2027</v>
      </c>
      <c r="AA272" s="1">
        <v>5</v>
      </c>
      <c r="AB272" s="1">
        <v>2</v>
      </c>
      <c r="AC272" s="1" t="s">
        <v>2027</v>
      </c>
      <c r="AD272" s="1" t="s">
        <v>2027</v>
      </c>
      <c r="AE272" s="1" t="s">
        <v>2027</v>
      </c>
      <c r="AF272" s="1" t="s">
        <v>2027</v>
      </c>
      <c r="AG272" s="1">
        <v>8</v>
      </c>
      <c r="AH272" s="1">
        <v>8</v>
      </c>
      <c r="AI272" s="1">
        <v>6</v>
      </c>
      <c r="AJ272" s="52" t="s">
        <v>2029</v>
      </c>
      <c r="AK272" s="9">
        <f>($L$3*(L272-$Q$1)/$Q$2+$M$3*(M272-$R$1)/$R$2+$N$3*(N272-$S$1)/$S$2+$O$3*(O272-$T$1)/$T$2+$P$3*(P272-$U$1)/$U$2)/(SUM($L$3:$P$3))</f>
        <v>-1.0790268079576926</v>
      </c>
      <c r="AL272" s="9">
        <f>($L$3*(Q272-$Q$1)/$Q$2+$M$3*(R272-$R$1)/$R$2+$N$3*(S272-$S$1)/$S$2+$O$3*(T272-$T$1)/$T$2+$P$3*(U272-$U$1)/$U$2)/(SUM($L$3:$P$3))</f>
        <v>-0.67643829212085083</v>
      </c>
      <c r="AM272">
        <f>IF(AVERAGE(AG272:AH272)&gt;9,1,0)+IF(AVERAGE(AG272:AH272)&gt;7,1,0)+IF(AG272&gt;7,1,0)+IF(AH272&gt;7,1,0)+IF(AI272&gt;8,1,0)+IF(AI272&gt;6,1,0)</f>
        <v>3</v>
      </c>
      <c r="AN272" s="6">
        <f>MIN(2,IF(OR(Y272="-",X272&lt;5),0,1+IF(Y272&gt;7,1+IF(X272&gt;7,0.25,0),IF(Y272&gt;4,0.5+IF(X272&gt;7,0.25,0),0+IF(X272&gt;7,0.25))))+IF(Z272="-",0,IF(Z272&gt;9,0.5,IF(Z272&gt;7,0.25,0)))+IF(AA272="-",0,IF(AA272&gt;7,1.1,IF(AA272&gt;4,0.6,0)))+IF(OR(AB272="-",V272&lt;5),0,IF(AB272&gt;7,1+IF(V272&gt;7,0.25,0),IF(AB272&gt;4,0.5+IF(V272&gt;7,0.25,0),0)))+IF(AC272="-",0,IF(AC272&gt;7,1.5,IF(AC272&gt;4,1,0)))+IF(AD272="-",0,IF(AD272&gt;9,0.5,IF(AD272&gt;7,0.25,0)))+IF(AE272="-",0,IF(AE272&gt;7,1.25,IF(AE272&gt;4,0.75,0)))+IF(OR(AF272="-",W272&lt;4),0,IF(AF272&gt;7,1+IF(W272&gt;7,0.15,0),IF(AF272&gt;4,0.5+IF(W272&gt;7,0.15,0),0))))</f>
        <v>0.6</v>
      </c>
      <c r="AO272" s="9">
        <f>($AK$3*AK272+$AL$3*AL272+$AM$3*AM272+$AN$3*AN272)+$J$3*VLOOKUP(J272,COND!$A$2:$C$7,2,FALSE)+$K$3*VLOOKUP(K272,COND!$A$2:$C$7,3,FALSE)</f>
        <v>2.62483781375402</v>
      </c>
      <c r="AP272" s="37">
        <f>STANDARDIZE(AO272,AVERAGE($AO$5:$AO$1295),STDEVP($AO$5:$AO$1295))</f>
        <v>-1.1171783848345604</v>
      </c>
      <c r="AQ272" t="str">
        <f>IF(AND(Y272&lt;&gt;"-",X272&gt;1),"C",IF(AA272=MAX(AA272:AC272),"2B",IF(AC272=MAX(AA272:AC272),"SS",IF(OR(AB272=MAX(Z272:AC272),AND(AB272&lt;&gt;"-",AB272&gt;4,V272&gt;5)),"3B",IF(AE272=MAX(AD272:AF272),"CF",IF(AND(AF272=MAX(AD272,AF272),AND(W272&gt;5,AD272&lt;&gt;"-")),"RF",IF(AD272&lt;&gt;"-","LF",IF(Z272&lt;&gt;"-","1B","DH"))))))))</f>
        <v>2B</v>
      </c>
      <c r="AR272" t="s">
        <v>35</v>
      </c>
      <c r="AU272" t="str">
        <f>IF(AND($Q272&gt;=6,AVERAGE($S272:$T272)&gt;=6),"Likely",IF(OR($Q272&gt;6,AND($Q272=6,AVERAGE($S272:$T272)&gt;=3),AND($Q272&gt;=5,AVERAGE($S272:$T272)&gt;=5),AVERAGE($Q272,$S272:$T272)&gt;5),"Possible","Unlikely"))</f>
        <v>Unlikely</v>
      </c>
      <c r="AW272" t="e">
        <f>IF(VLOOKUP($B272,'Draft List'!$D$4:$AB$2598,AW$3,FALSE)&lt;&gt;0,VLOOKUP($B272,'Draft List'!$D$4:$AB$2598,AW$3,FALSE),"")</f>
        <v>#N/A</v>
      </c>
      <c r="AX272" t="e">
        <f>IF(VLOOKUP($B272,'Draft List'!$D$4:$AB$2598,AX$3,FALSE)&lt;&gt;0,VLOOKUP($B272,'Draft List'!$D$4:$AB$2598,AX$3,FALSE),"")</f>
        <v>#N/A</v>
      </c>
      <c r="AY272" t="e">
        <f>IF(VLOOKUP($B272,'Draft List'!$D$4:$AB$2598,AY$3,FALSE)&lt;&gt;0,VLOOKUP($B272,'Draft List'!$D$4:$AB$2598,AY$3,FALSE),"")</f>
        <v>#N/A</v>
      </c>
    </row>
    <row r="273" spans="1:51">
      <c r="A273" t="str">
        <f>IF(C273="C","C-",C273)&amp;D273&amp;E273</f>
        <v>C-Cristo Hernández21</v>
      </c>
      <c r="B273" t="e">
        <f>VLOOKUP($A273,draft_listing_batters_stats!$A$1:$B$1324,2,FALSE)</f>
        <v>#N/A</v>
      </c>
      <c r="C273" s="1" t="s">
        <v>2091</v>
      </c>
      <c r="D273" s="1" t="s">
        <v>1311</v>
      </c>
      <c r="E273" s="1">
        <v>21</v>
      </c>
      <c r="F273" s="1" t="s">
        <v>2022</v>
      </c>
      <c r="G273" s="1" t="s">
        <v>2022</v>
      </c>
      <c r="H273" s="1" t="s">
        <v>2033</v>
      </c>
      <c r="I273" s="1" t="s">
        <v>2033</v>
      </c>
      <c r="J273" s="1" t="s">
        <v>2026</v>
      </c>
      <c r="K273" s="1" t="s">
        <v>2040</v>
      </c>
      <c r="L273" s="1">
        <v>3</v>
      </c>
      <c r="M273" s="1">
        <v>3</v>
      </c>
      <c r="N273" s="1">
        <v>2</v>
      </c>
      <c r="O273" s="1">
        <v>2</v>
      </c>
      <c r="P273" s="1">
        <v>2</v>
      </c>
      <c r="Q273" s="1">
        <v>4</v>
      </c>
      <c r="R273" s="1">
        <v>3</v>
      </c>
      <c r="S273" s="1">
        <v>3</v>
      </c>
      <c r="T273" s="1">
        <v>2</v>
      </c>
      <c r="U273" s="1">
        <v>4</v>
      </c>
      <c r="V273" s="1">
        <v>3</v>
      </c>
      <c r="W273" s="1">
        <v>4</v>
      </c>
      <c r="X273" s="1">
        <v>5</v>
      </c>
      <c r="Y273" s="1">
        <v>4</v>
      </c>
      <c r="Z273" s="1">
        <v>3</v>
      </c>
      <c r="AA273" s="1" t="s">
        <v>2027</v>
      </c>
      <c r="AB273" s="1" t="s">
        <v>2027</v>
      </c>
      <c r="AC273" s="1" t="s">
        <v>2027</v>
      </c>
      <c r="AD273" s="1" t="s">
        <v>2027</v>
      </c>
      <c r="AE273" s="1" t="s">
        <v>2027</v>
      </c>
      <c r="AF273" s="1" t="s">
        <v>2027</v>
      </c>
      <c r="AG273" s="1">
        <v>2</v>
      </c>
      <c r="AH273" s="1">
        <v>1</v>
      </c>
      <c r="AI273" s="1">
        <v>1</v>
      </c>
      <c r="AJ273" s="52" t="s">
        <v>2029</v>
      </c>
      <c r="AK273" s="9">
        <f>($L$3*(L273-$Q$1)/$Q$2+$M$3*(M273-$R$1)/$R$2+$N$3*(N273-$S$1)/$S$2+$O$3*(O273-$T$1)/$T$2+$P$3*(P273-$U$1)/$U$2)/(SUM($L$3:$P$3))</f>
        <v>-1.1243245343342496</v>
      </c>
      <c r="AL273" s="9">
        <f>($L$3*(Q273-$Q$1)/$Q$2+$M$3*(R273-$R$1)/$R$2+$N$3*(S273-$S$1)/$S$2+$O$3*(T273-$T$1)/$T$2+$P$3*(U273-$U$1)/$U$2)/(SUM($L$3:$P$3))</f>
        <v>-0.63867452447350637</v>
      </c>
      <c r="AM273">
        <f>IF(AVERAGE(AG273:AH273)&gt;9,1,0)+IF(AVERAGE(AG273:AH273)&gt;7,1,0)+IF(AG273&gt;7,1,0)+IF(AH273&gt;7,1,0)+IF(AI273&gt;8,1,0)+IF(AI273&gt;6,1,0)</f>
        <v>0</v>
      </c>
      <c r="AN273" s="6">
        <f>MIN(2,IF(OR(Y273="-",X273&lt;5),0,1+IF(Y273&gt;7,1+IF(X273&gt;7,0.25,0),IF(Y273&gt;4,0.5+IF(X273&gt;7,0.25,0),0+IF(X273&gt;7,0.25))))+IF(Z273="-",0,IF(Z273&gt;9,0.5,IF(Z273&gt;7,0.25,0)))+IF(AA273="-",0,IF(AA273&gt;7,1.1,IF(AA273&gt;4,0.6,0)))+IF(OR(AB273="-",V273&lt;5),0,IF(AB273&gt;7,1+IF(V273&gt;7,0.25,0),IF(AB273&gt;4,0.5+IF(V273&gt;7,0.25,0),0)))+IF(AC273="-",0,IF(AC273&gt;7,1.5,IF(AC273&gt;4,1,0)))+IF(AD273="-",0,IF(AD273&gt;9,0.5,IF(AD273&gt;7,0.25,0)))+IF(AE273="-",0,IF(AE273&gt;7,1.25,IF(AE273&gt;4,0.75,0)))+IF(OR(AF273="-",W273&lt;4),0,IF(AF273&gt;7,1+IF(W273&gt;7,0.15,0),IF(AF273&gt;4,0.5+IF(W273&gt;7,0.15,0),0))))</f>
        <v>1</v>
      </c>
      <c r="AO273" s="9">
        <f>($AK$3*AK273+$AL$3*AL273+$AM$3*AM273+$AN$3*AN273)+$J$3*VLOOKUP(J273,COND!$A$2:$C$7,2,FALSE)+$K$3*VLOOKUP(K273,COND!$A$2:$C$7,3,FALSE)</f>
        <v>2.6234732528844988</v>
      </c>
      <c r="AP273" s="37">
        <f>STANDARDIZE(AO273,AVERAGE($AO$5:$AO$1295),STDEVP($AO$5:$AO$1295))</f>
        <v>-1.1173679546151425</v>
      </c>
      <c r="AQ273" t="str">
        <f>IF(AND(Y273&lt;&gt;"-",X273&gt;1),"C",IF(AA273=MAX(AA273:AC273),"2B",IF(AC273=MAX(AA273:AC273),"SS",IF(OR(AB273=MAX(Z273:AC273),AND(AB273&lt;&gt;"-",AB273&gt;4,V273&gt;5)),"3B",IF(AE273=MAX(AD273:AF273),"CF",IF(AND(AF273=MAX(AD273,AF273),AND(W273&gt;5,AD273&lt;&gt;"-")),"RF",IF(AD273&lt;&gt;"-","LF",IF(Z273&lt;&gt;"-","1B","DH"))))))))</f>
        <v>C</v>
      </c>
      <c r="AR273" t="s">
        <v>35</v>
      </c>
      <c r="AU273" t="str">
        <f>IF(AND($Q273&gt;=6,AVERAGE($S273:$T273)&gt;=6),"Likely",IF(OR($Q273&gt;6,AND($Q273=6,AVERAGE($S273:$T273)&gt;=3),AND($Q273&gt;=5,AVERAGE($S273:$T273)&gt;=5),AVERAGE($Q273,$S273:$T273)&gt;5),"Possible","Unlikely"))</f>
        <v>Unlikely</v>
      </c>
      <c r="AW273" t="e">
        <f>IF(VLOOKUP($B273,'Draft List'!$D$4:$AB$2598,AW$3,FALSE)&lt;&gt;0,VLOOKUP($B273,'Draft List'!$D$4:$AB$2598,AW$3,FALSE),"")</f>
        <v>#N/A</v>
      </c>
      <c r="AX273" t="e">
        <f>IF(VLOOKUP($B273,'Draft List'!$D$4:$AB$2598,AX$3,FALSE)&lt;&gt;0,VLOOKUP($B273,'Draft List'!$D$4:$AB$2598,AX$3,FALSE),"")</f>
        <v>#N/A</v>
      </c>
      <c r="AY273" t="e">
        <f>IF(VLOOKUP($B273,'Draft List'!$D$4:$AB$2598,AY$3,FALSE)&lt;&gt;0,VLOOKUP($B273,'Draft List'!$D$4:$AB$2598,AY$3,FALSE),"")</f>
        <v>#N/A</v>
      </c>
    </row>
    <row r="274" spans="1:51">
      <c r="A274" t="str">
        <f>IF(C274="C","C-",C274)&amp;D274&amp;E274</f>
        <v>2BNick Preston18</v>
      </c>
      <c r="B274">
        <f>VLOOKUP($A274,draft_listing_batters_stats!$A$1:$B$1324,2,FALSE)</f>
        <v>13819</v>
      </c>
      <c r="C274" s="1" t="s">
        <v>2069</v>
      </c>
      <c r="D274" s="1" t="s">
        <v>1196</v>
      </c>
      <c r="E274" s="1">
        <v>18</v>
      </c>
      <c r="F274" s="1" t="s">
        <v>2049</v>
      </c>
      <c r="G274" s="1" t="s">
        <v>2022</v>
      </c>
      <c r="H274" s="1" t="s">
        <v>2033</v>
      </c>
      <c r="I274" s="1" t="s">
        <v>2033</v>
      </c>
      <c r="J274" s="1" t="s">
        <v>2036</v>
      </c>
      <c r="K274" s="1" t="s">
        <v>2025</v>
      </c>
      <c r="L274" s="1">
        <v>1</v>
      </c>
      <c r="M274" s="1">
        <v>1</v>
      </c>
      <c r="N274" s="1">
        <v>1</v>
      </c>
      <c r="O274" s="1">
        <v>1</v>
      </c>
      <c r="P274" s="1">
        <v>1</v>
      </c>
      <c r="Q274" s="1">
        <v>4</v>
      </c>
      <c r="R274" s="1">
        <v>5</v>
      </c>
      <c r="S274" s="1">
        <v>2</v>
      </c>
      <c r="T274" s="1">
        <v>2</v>
      </c>
      <c r="U274" s="1">
        <v>4</v>
      </c>
      <c r="V274" s="1">
        <v>3</v>
      </c>
      <c r="W274" s="1">
        <v>3</v>
      </c>
      <c r="X274" s="1">
        <v>1</v>
      </c>
      <c r="Y274" s="1" t="s">
        <v>2027</v>
      </c>
      <c r="Z274" s="1" t="s">
        <v>2027</v>
      </c>
      <c r="AA274" s="1">
        <v>2</v>
      </c>
      <c r="AB274" s="1" t="s">
        <v>2027</v>
      </c>
      <c r="AC274" s="1" t="s">
        <v>2027</v>
      </c>
      <c r="AD274" s="1" t="s">
        <v>2027</v>
      </c>
      <c r="AE274" s="1" t="s">
        <v>2027</v>
      </c>
      <c r="AF274" s="1" t="s">
        <v>2027</v>
      </c>
      <c r="AG274" s="1">
        <v>7</v>
      </c>
      <c r="AH274" s="1">
        <v>6</v>
      </c>
      <c r="AI274" s="1">
        <v>3</v>
      </c>
      <c r="AJ274" s="52" t="s">
        <v>2029</v>
      </c>
      <c r="AK274" s="9">
        <f>($L$3*(L274-$Q$1)/$Q$2+$M$3*(M274-$R$1)/$R$2+$N$3*(N274-$S$1)/$S$2+$O$3*(O274-$T$1)/$T$2+$P$3*(P274-$U$1)/$U$2)/(SUM($L$3:$P$3))</f>
        <v>-2.0843433498275723</v>
      </c>
      <c r="AL274" s="9">
        <f>($L$3*(Q274-$Q$1)/$Q$2+$M$3*(R274-$R$1)/$R$2+$N$3*(S274-$S$1)/$S$2+$O$3*(T274-$T$1)/$T$2+$P$3*(U274-$U$1)/$U$2)/(SUM($L$3:$P$3))</f>
        <v>-0.61961625926000097</v>
      </c>
      <c r="AM274">
        <f>IF(AVERAGE(AG274:AH274)&gt;9,1,0)+IF(AVERAGE(AG274:AH274)&gt;7,1,0)+IF(AG274&gt;7,1,0)+IF(AH274&gt;7,1,0)+IF(AI274&gt;8,1,0)+IF(AI274&gt;6,1,0)</f>
        <v>0</v>
      </c>
      <c r="AN274" s="6">
        <f>MIN(2,IF(OR(Y274="-",X274&lt;5),0,1+IF(Y274&gt;7,1+IF(X274&gt;7,0.25,0),IF(Y274&gt;4,0.5+IF(X274&gt;7,0.25,0),0+IF(X274&gt;7,0.25))))+IF(Z274="-",0,IF(Z274&gt;9,0.5,IF(Z274&gt;7,0.25,0)))+IF(AA274="-",0,IF(AA274&gt;7,1.1,IF(AA274&gt;4,0.6,0)))+IF(OR(AB274="-",V274&lt;5),0,IF(AB274&gt;7,1+IF(V274&gt;7,0.25,0),IF(AB274&gt;4,0.5+IF(V274&gt;7,0.25,0),0)))+IF(AC274="-",0,IF(AC274&gt;7,1.5,IF(AC274&gt;4,1,0)))+IF(AD274="-",0,IF(AD274&gt;9,0.5,IF(AD274&gt;7,0.25,0)))+IF(AE274="-",0,IF(AE274&gt;7,1.25,IF(AE274&gt;4,0.75,0)))+IF(OR(AF274="-",W274&lt;4),0,IF(AF274&gt;7,1+IF(W274&gt;7,0.15,0),IF(AF274&gt;4,0.5+IF(W274&gt;7,0.15,0),0))))</f>
        <v>0</v>
      </c>
      <c r="AO274" s="9">
        <f>($AK$3*AK274+$AL$3*AL274+$AM$3*AM274+$AN$3*AN274)+$J$3*VLOOKUP(J274,COND!$A$2:$C$7,2,FALSE)+$K$3*VLOOKUP(K274,COND!$A$2:$C$7,3,FALSE)</f>
        <v>2.6061705538972308</v>
      </c>
      <c r="AP274" s="37">
        <f>STANDARDIZE(AO274,AVERAGE($AO$5:$AO$1295),STDEVP($AO$5:$AO$1295))</f>
        <v>-1.1197717087632788</v>
      </c>
      <c r="AQ274" t="str">
        <f>IF(AND(Y274&lt;&gt;"-",X274&gt;1),"C",IF(AA274=MAX(AA274:AC274),"2B",IF(AC274=MAX(AA274:AC274),"SS",IF(OR(AB274=MAX(Z274:AC274),AND(AB274&lt;&gt;"-",AB274&gt;4,V274&gt;5)),"3B",IF(AE274=MAX(AD274:AF274),"CF",IF(AND(AF274=MAX(AD274,AF274),AND(W274&gt;5,AD274&lt;&gt;"-")),"RF",IF(AD274&lt;&gt;"-","LF",IF(Z274&lt;&gt;"-","1B","DH"))))))))</f>
        <v>2B</v>
      </c>
      <c r="AR274" t="s">
        <v>35</v>
      </c>
      <c r="AU274" t="str">
        <f>IF(AND($Q274&gt;=6,AVERAGE($S274:$T274)&gt;=6),"Likely",IF(OR($Q274&gt;6,AND($Q274=6,AVERAGE($S274:$T274)&gt;=3),AND($Q274&gt;=5,AVERAGE($S274:$T274)&gt;=5),AVERAGE($Q274,$S274:$T274)&gt;5),"Possible","Unlikely"))</f>
        <v>Unlikely</v>
      </c>
      <c r="AW274" t="str">
        <f>IF(VLOOKUP($B274,'Draft List'!$D$4:$AB$2598,AW$3,FALSE)&lt;&gt;0,VLOOKUP($B274,'Draft List'!$D$4:$AB$2598,AW$3,FALSE),"")</f>
        <v/>
      </c>
      <c r="AX274" t="str">
        <f>IF(VLOOKUP($B274,'Draft List'!$D$4:$AB$2598,AX$3,FALSE)&lt;&gt;0,VLOOKUP($B274,'Draft List'!$D$4:$AB$2598,AX$3,FALSE),"")</f>
        <v/>
      </c>
      <c r="AY274" t="str">
        <f>IF(VLOOKUP($B274,'Draft List'!$D$4:$AB$2598,AY$3,FALSE)&lt;&gt;0,VLOOKUP($B274,'Draft List'!$D$4:$AB$2598,AY$3,FALSE),"")</f>
        <v/>
      </c>
    </row>
    <row r="275" spans="1:51">
      <c r="A275" t="str">
        <f>IF(C275="C","C-",C275)&amp;D275&amp;E275</f>
        <v>2BChris Evans21</v>
      </c>
      <c r="B275">
        <f>VLOOKUP($A275,draft_listing_batters_stats!$A$1:$B$1324,2,FALSE)</f>
        <v>4014</v>
      </c>
      <c r="C275" s="1" t="s">
        <v>2069</v>
      </c>
      <c r="D275" s="1" t="s">
        <v>1492</v>
      </c>
      <c r="E275" s="1">
        <v>21</v>
      </c>
      <c r="F275" s="1" t="s">
        <v>2022</v>
      </c>
      <c r="G275" s="1" t="s">
        <v>2022</v>
      </c>
      <c r="H275" s="1" t="s">
        <v>2033</v>
      </c>
      <c r="I275" s="1" t="s">
        <v>2033</v>
      </c>
      <c r="J275" s="1" t="s">
        <v>2026</v>
      </c>
      <c r="K275" s="1" t="s">
        <v>2025</v>
      </c>
      <c r="L275" s="1">
        <v>3</v>
      </c>
      <c r="M275" s="1">
        <v>2</v>
      </c>
      <c r="N275" s="1">
        <v>1</v>
      </c>
      <c r="O275" s="1">
        <v>1</v>
      </c>
      <c r="P275" s="1">
        <v>3</v>
      </c>
      <c r="Q275" s="1">
        <v>4</v>
      </c>
      <c r="R275" s="1">
        <v>3</v>
      </c>
      <c r="S275" s="1">
        <v>2</v>
      </c>
      <c r="T275" s="1">
        <v>2</v>
      </c>
      <c r="U275" s="1">
        <v>4</v>
      </c>
      <c r="V275" s="1">
        <v>5</v>
      </c>
      <c r="W275" s="1">
        <v>3</v>
      </c>
      <c r="X275" s="1">
        <v>1</v>
      </c>
      <c r="Y275" s="1" t="s">
        <v>2027</v>
      </c>
      <c r="Z275" s="1" t="s">
        <v>2027</v>
      </c>
      <c r="AA275" s="1">
        <v>6</v>
      </c>
      <c r="AB275" s="1">
        <v>1</v>
      </c>
      <c r="AC275" s="1">
        <v>3</v>
      </c>
      <c r="AD275" s="1" t="s">
        <v>2027</v>
      </c>
      <c r="AE275" s="1" t="s">
        <v>2027</v>
      </c>
      <c r="AF275" s="1" t="s">
        <v>2027</v>
      </c>
      <c r="AG275" s="1">
        <v>8</v>
      </c>
      <c r="AH275" s="1">
        <v>9</v>
      </c>
      <c r="AI275" s="1">
        <v>9</v>
      </c>
      <c r="AJ275" s="52" t="s">
        <v>2029</v>
      </c>
      <c r="AK275" s="9">
        <f>($L$3*(L275-$Q$1)/$Q$2+$M$3*(M275-$R$1)/$R$2+$N$3*(N275-$S$1)/$S$2+$O$3*(O275-$T$1)/$T$2+$P$3*(P275-$U$1)/$U$2)/(SUM($L$3:$P$3))</f>
        <v>-1.3081391181693525</v>
      </c>
      <c r="AL275" s="9">
        <f>($L$3*(Q275-$Q$1)/$Q$2+$M$3*(R275-$R$1)/$R$2+$N$3*(S275-$S$1)/$S$2+$O$3*(T275-$T$1)/$T$2+$P$3*(U275-$U$1)/$U$2)/(SUM($L$3:$P$3))</f>
        <v>-0.72173601849740776</v>
      </c>
      <c r="AM275">
        <f>IF(AVERAGE(AG275:AH275)&gt;9,1,0)+IF(AVERAGE(AG275:AH275)&gt;7,1,0)+IF(AG275&gt;7,1,0)+IF(AH275&gt;7,1,0)+IF(AI275&gt;8,1,0)+IF(AI275&gt;6,1,0)</f>
        <v>5</v>
      </c>
      <c r="AN275" s="6">
        <f>MIN(2,IF(OR(Y275="-",X275&lt;5),0,1+IF(Y275&gt;7,1+IF(X275&gt;7,0.25,0),IF(Y275&gt;4,0.5+IF(X275&gt;7,0.25,0),0+IF(X275&gt;7,0.25))))+IF(Z275="-",0,IF(Z275&gt;9,0.5,IF(Z275&gt;7,0.25,0)))+IF(AA275="-",0,IF(AA275&gt;7,1.1,IF(AA275&gt;4,0.6,0)))+IF(OR(AB275="-",V275&lt;5),0,IF(AB275&gt;7,1+IF(V275&gt;7,0.25,0),IF(AB275&gt;4,0.5+IF(V275&gt;7,0.25,0),0)))+IF(AC275="-",0,IF(AC275&gt;7,1.5,IF(AC275&gt;4,1,0)))+IF(AD275="-",0,IF(AD275&gt;9,0.5,IF(AD275&gt;7,0.25,0)))+IF(AE275="-",0,IF(AE275&gt;7,1.25,IF(AE275&gt;4,0.75,0)))+IF(OR(AF275="-",W275&lt;4),0,IF(AF275&gt;7,1+IF(W275&gt;7,0.15,0),IF(AF275&gt;4,0.5+IF(W275&gt;7,0.15,0),0))))</f>
        <v>0.6</v>
      </c>
      <c r="AO275" s="9">
        <f>($AK$3*AK275+$AL$3*AL275+$AM$3*AM275+$AN$3*AN275)+$J$3*VLOOKUP(J275,COND!$A$2:$C$7,2,FALSE)+$K$3*VLOOKUP(K275,COND!$A$2:$C$7,3,FALSE)</f>
        <v>2.5416871995475061</v>
      </c>
      <c r="AP275" s="37">
        <f>STANDARDIZE(AO275,AVERAGE($AO$5:$AO$1295),STDEVP($AO$5:$AO$1295))</f>
        <v>-1.1287299719000274</v>
      </c>
      <c r="AQ275" t="str">
        <f>IF(AND(Y275&lt;&gt;"-",X275&gt;1),"C",IF(AA275=MAX(AA275:AC275),"2B",IF(AC275=MAX(AA275:AC275),"SS",IF(OR(AB275=MAX(Z275:AC275),AND(AB275&lt;&gt;"-",AB275&gt;4,V275&gt;5)),"3B",IF(AE275=MAX(AD275:AF275),"CF",IF(AND(AF275=MAX(AD275,AF275),AND(W275&gt;5,AD275&lt;&gt;"-")),"RF",IF(AD275&lt;&gt;"-","LF",IF(Z275&lt;&gt;"-","1B","DH"))))))))</f>
        <v>2B</v>
      </c>
      <c r="AR275" t="s">
        <v>35</v>
      </c>
      <c r="AU275" t="str">
        <f>IF(AND($Q275&gt;=6,AVERAGE($S275:$T275)&gt;=6),"Likely",IF(OR($Q275&gt;6,AND($Q275=6,AVERAGE($S275:$T275)&gt;=3),AND($Q275&gt;=5,AVERAGE($S275:$T275)&gt;=5),AVERAGE($Q275,$S275:$T275)&gt;5),"Possible","Unlikely"))</f>
        <v>Unlikely</v>
      </c>
      <c r="AW275" t="str">
        <f>IF(VLOOKUP($B275,'Draft List'!$D$4:$AB$2598,AW$3,FALSE)&lt;&gt;0,VLOOKUP($B275,'Draft List'!$D$4:$AB$2598,AW$3,FALSE),"")</f>
        <v/>
      </c>
      <c r="AX275" t="str">
        <f>IF(VLOOKUP($B275,'Draft List'!$D$4:$AB$2598,AX$3,FALSE)&lt;&gt;0,VLOOKUP($B275,'Draft List'!$D$4:$AB$2598,AX$3,FALSE),"")</f>
        <v/>
      </c>
      <c r="AY275" t="str">
        <f>IF(VLOOKUP($B275,'Draft List'!$D$4:$AB$2598,AY$3,FALSE)&lt;&gt;0,VLOOKUP($B275,'Draft List'!$D$4:$AB$2598,AY$3,FALSE),"")</f>
        <v/>
      </c>
    </row>
    <row r="276" spans="1:51">
      <c r="A276" t="str">
        <f>IF(C276="C","C-",C276)&amp;D276&amp;E276</f>
        <v>C-Thomas Howard21</v>
      </c>
      <c r="B276">
        <f>VLOOKUP($A276,draft_listing_batters_stats!$A$1:$B$1324,2,FALSE)</f>
        <v>2637</v>
      </c>
      <c r="C276" s="1" t="s">
        <v>2091</v>
      </c>
      <c r="D276" s="1" t="s">
        <v>1314</v>
      </c>
      <c r="E276" s="1">
        <v>21</v>
      </c>
      <c r="F276" s="1" t="s">
        <v>2022</v>
      </c>
      <c r="G276" s="1" t="s">
        <v>2022</v>
      </c>
      <c r="H276" s="1" t="s">
        <v>2033</v>
      </c>
      <c r="I276" s="1" t="s">
        <v>2033</v>
      </c>
      <c r="J276" s="1" t="s">
        <v>2025</v>
      </c>
      <c r="K276" s="1" t="s">
        <v>2025</v>
      </c>
      <c r="L276" s="1">
        <v>3</v>
      </c>
      <c r="M276" s="1">
        <v>3</v>
      </c>
      <c r="N276" s="1">
        <v>1</v>
      </c>
      <c r="O276" s="1">
        <v>2</v>
      </c>
      <c r="P276" s="1">
        <v>2</v>
      </c>
      <c r="Q276" s="1">
        <v>4</v>
      </c>
      <c r="R276" s="1">
        <v>5</v>
      </c>
      <c r="S276" s="1">
        <v>1</v>
      </c>
      <c r="T276" s="1">
        <v>3</v>
      </c>
      <c r="U276" s="1">
        <v>4</v>
      </c>
      <c r="V276" s="1">
        <v>5</v>
      </c>
      <c r="W276" s="1">
        <v>5</v>
      </c>
      <c r="X276" s="1">
        <v>4</v>
      </c>
      <c r="Y276" s="1">
        <v>3</v>
      </c>
      <c r="Z276" s="1" t="s">
        <v>2027</v>
      </c>
      <c r="AA276" s="1" t="s">
        <v>2027</v>
      </c>
      <c r="AB276" s="1" t="s">
        <v>2027</v>
      </c>
      <c r="AC276" s="1" t="s">
        <v>2027</v>
      </c>
      <c r="AD276" s="1" t="s">
        <v>2027</v>
      </c>
      <c r="AE276" s="1" t="s">
        <v>2027</v>
      </c>
      <c r="AF276" s="1" t="s">
        <v>2027</v>
      </c>
      <c r="AG276" s="1">
        <v>1</v>
      </c>
      <c r="AH276" s="1">
        <v>2</v>
      </c>
      <c r="AI276" s="1">
        <v>3</v>
      </c>
      <c r="AJ276" s="52" t="s">
        <v>2029</v>
      </c>
      <c r="AK276" s="9">
        <f>($L$3*(L276-$Q$1)/$Q$2+$M$3*(M276-$R$1)/$R$2+$N$3*(N276-$S$1)/$S$2+$O$3*(O276-$T$1)/$T$2+$P$3*(P276-$U$1)/$U$2)/(SUM($L$3:$P$3))</f>
        <v>-1.207386028358151</v>
      </c>
      <c r="AL276" s="9">
        <f>($L$3*(Q276-$Q$1)/$Q$2+$M$3*(R276-$R$1)/$R$2+$N$3*(S276-$S$1)/$S$2+$O$3*(T276-$T$1)/$T$2+$P$3*(U276-$U$1)/$U$2)/(SUM($L$3:$P$3))</f>
        <v>-0.61296820327432144</v>
      </c>
      <c r="AM276">
        <f>IF(AVERAGE(AG276:AH276)&gt;9,1,0)+IF(AVERAGE(AG276:AH276)&gt;7,1,0)+IF(AG276&gt;7,1,0)+IF(AH276&gt;7,1,0)+IF(AI276&gt;8,1,0)+IF(AI276&gt;6,1,0)</f>
        <v>0</v>
      </c>
      <c r="AN276" s="6">
        <f>MIN(2,IF(OR(Y276="-",X276&lt;5),0,1+IF(Y276&gt;7,1+IF(X276&gt;7,0.25,0),IF(Y276&gt;4,0.5+IF(X276&gt;7,0.25,0),0+IF(X276&gt;7,0.25))))+IF(Z276="-",0,IF(Z276&gt;9,0.5,IF(Z276&gt;7,0.25,0)))+IF(AA276="-",0,IF(AA276&gt;7,1.1,IF(AA276&gt;4,0.6,0)))+IF(OR(AB276="-",V276&lt;5),0,IF(AB276&gt;7,1+IF(V276&gt;7,0.25,0),IF(AB276&gt;4,0.5+IF(V276&gt;7,0.25,0),0)))+IF(AC276="-",0,IF(AC276&gt;7,1.5,IF(AC276&gt;4,1,0)))+IF(AD276="-",0,IF(AD276&gt;9,0.5,IF(AD276&gt;7,0.25,0)))+IF(AE276="-",0,IF(AE276&gt;7,1.25,IF(AE276&gt;4,0.75,0)))+IF(OR(AF276="-",W276&lt;4),0,IF(AF276&gt;7,1+IF(W276&gt;7,0.15,0),IF(AF276&gt;4,0.5+IF(W276&gt;7,0.15,0),0))))</f>
        <v>0</v>
      </c>
      <c r="AO276" s="9">
        <f>($AK$3*AK276+$AL$3*AL276+$AM$3*AM276+$AN$3*AN276)+$J$3*VLOOKUP(J276,COND!$A$2:$C$7,2,FALSE)+$K$3*VLOOKUP(K276,COND!$A$2:$C$7,3,FALSE)</f>
        <v>2.523642957872327</v>
      </c>
      <c r="AP276" s="37">
        <f>STANDARDIZE(AO276,AVERAGE($AO$5:$AO$1295),STDEVP($AO$5:$AO$1295))</f>
        <v>-1.1312367438671407</v>
      </c>
      <c r="AQ276" t="str">
        <f>IF(AND(Y276&lt;&gt;"-",X276&gt;1),"C",IF(AA276=MAX(AA276:AC276),"2B",IF(AC276=MAX(AA276:AC276),"SS",IF(OR(AB276=MAX(Z276:AC276),AND(AB276&lt;&gt;"-",AB276&gt;4,V276&gt;5)),"3B",IF(AE276=MAX(AD276:AF276),"CF",IF(AND(AF276=MAX(AD276,AF276),AND(W276&gt;5,AD276&lt;&gt;"-")),"RF",IF(AD276&lt;&gt;"-","LF",IF(Z276&lt;&gt;"-","1B","DH"))))))))</f>
        <v>C</v>
      </c>
      <c r="AR276" t="s">
        <v>35</v>
      </c>
      <c r="AU276" t="str">
        <f>IF(AND($Q276&gt;=6,AVERAGE($S276:$T276)&gt;=6),"Likely",IF(OR($Q276&gt;6,AND($Q276=6,AVERAGE($S276:$T276)&gt;=3),AND($Q276&gt;=5,AVERAGE($S276:$T276)&gt;=5),AVERAGE($Q276,$S276:$T276)&gt;5),"Possible","Unlikely"))</f>
        <v>Unlikely</v>
      </c>
      <c r="AW276" t="str">
        <f>IF(VLOOKUP($B276,'Draft List'!$D$4:$AB$2598,AW$3,FALSE)&lt;&gt;0,VLOOKUP($B276,'Draft List'!$D$4:$AB$2598,AW$3,FALSE),"")</f>
        <v/>
      </c>
      <c r="AX276" t="str">
        <f>IF(VLOOKUP($B276,'Draft List'!$D$4:$AB$2598,AX$3,FALSE)&lt;&gt;0,VLOOKUP($B276,'Draft List'!$D$4:$AB$2598,AX$3,FALSE),"")</f>
        <v/>
      </c>
      <c r="AY276" t="str">
        <f>IF(VLOOKUP($B276,'Draft List'!$D$4:$AB$2598,AY$3,FALSE)&lt;&gt;0,VLOOKUP($B276,'Draft List'!$D$4:$AB$2598,AY$3,FALSE),"")</f>
        <v/>
      </c>
    </row>
    <row r="277" spans="1:51">
      <c r="A277" t="str">
        <f>IF(C277="C","C-",C277)&amp;D277&amp;E277</f>
        <v>C-Félix Serrano18</v>
      </c>
      <c r="B277" t="e">
        <f>VLOOKUP($A277,draft_listing_batters_stats!$A$1:$B$1324,2,FALSE)</f>
        <v>#N/A</v>
      </c>
      <c r="C277" s="1" t="s">
        <v>2091</v>
      </c>
      <c r="D277" s="1" t="s">
        <v>1213</v>
      </c>
      <c r="E277" s="1">
        <v>18</v>
      </c>
      <c r="F277" s="1" t="s">
        <v>2049</v>
      </c>
      <c r="G277" s="1" t="s">
        <v>2022</v>
      </c>
      <c r="H277" s="1" t="s">
        <v>2033</v>
      </c>
      <c r="I277" s="1" t="s">
        <v>2033</v>
      </c>
      <c r="J277" s="1" t="s">
        <v>2026</v>
      </c>
      <c r="K277" s="1" t="s">
        <v>2036</v>
      </c>
      <c r="L277" s="1">
        <v>1</v>
      </c>
      <c r="M277" s="1">
        <v>2</v>
      </c>
      <c r="N277" s="1">
        <v>1</v>
      </c>
      <c r="O277" s="1">
        <v>1</v>
      </c>
      <c r="P277" s="1">
        <v>1</v>
      </c>
      <c r="Q277" s="1">
        <v>4</v>
      </c>
      <c r="R277" s="1">
        <v>5</v>
      </c>
      <c r="S277" s="1">
        <v>2</v>
      </c>
      <c r="T277" s="1">
        <v>2</v>
      </c>
      <c r="U277" s="1">
        <v>4</v>
      </c>
      <c r="V277" s="1">
        <v>6</v>
      </c>
      <c r="W277" s="1">
        <v>6</v>
      </c>
      <c r="X277" s="1">
        <v>7</v>
      </c>
      <c r="Y277" s="1" t="s">
        <v>2027</v>
      </c>
      <c r="Z277" s="1" t="s">
        <v>2027</v>
      </c>
      <c r="AA277" s="1" t="s">
        <v>2027</v>
      </c>
      <c r="AB277" s="1" t="s">
        <v>2027</v>
      </c>
      <c r="AC277" s="1" t="s">
        <v>2027</v>
      </c>
      <c r="AD277" s="1" t="s">
        <v>2027</v>
      </c>
      <c r="AE277" s="1" t="s">
        <v>2027</v>
      </c>
      <c r="AF277" s="1" t="s">
        <v>2027</v>
      </c>
      <c r="AG277" s="1">
        <v>2</v>
      </c>
      <c r="AH277" s="1">
        <v>4</v>
      </c>
      <c r="AI277" s="1">
        <v>2</v>
      </c>
      <c r="AJ277" s="52" t="s">
        <v>2029</v>
      </c>
      <c r="AK277" s="9">
        <f>($L$3*(L277-$Q$1)/$Q$2+$M$3*(M277-$R$1)/$R$2+$N$3*(N277-$S$1)/$S$2+$O$3*(O277-$T$1)/$T$2+$P$3*(P277-$U$1)/$U$2)/(SUM($L$3:$P$3))</f>
        <v>-2.0332834702088682</v>
      </c>
      <c r="AL277" s="9">
        <f>($L$3*(Q277-$Q$1)/$Q$2+$M$3*(R277-$R$1)/$R$2+$N$3*(S277-$S$1)/$S$2+$O$3*(T277-$T$1)/$T$2+$P$3*(U277-$U$1)/$U$2)/(SUM($L$3:$P$3))</f>
        <v>-0.61961625926000097</v>
      </c>
      <c r="AM277">
        <f>IF(AVERAGE(AG277:AH277)&gt;9,1,0)+IF(AVERAGE(AG277:AH277)&gt;7,1,0)+IF(AG277&gt;7,1,0)+IF(AH277&gt;7,1,0)+IF(AI277&gt;8,1,0)+IF(AI277&gt;6,1,0)</f>
        <v>0</v>
      </c>
      <c r="AN277" s="6">
        <f>MIN(2,IF(OR(Y277="-",X277&lt;5),0,1+IF(Y277&gt;7,1+IF(X277&gt;7,0.25,0),IF(Y277&gt;4,0.5+IF(X277&gt;7,0.25,0),0+IF(X277&gt;7,0.25))))+IF(Z277="-",0,IF(Z277&gt;9,0.5,IF(Z277&gt;7,0.25,0)))+IF(AA277="-",0,IF(AA277&gt;7,1.1,IF(AA277&gt;4,0.6,0)))+IF(OR(AB277="-",V277&lt;5),0,IF(AB277&gt;7,1+IF(V277&gt;7,0.25,0),IF(AB277&gt;4,0.5+IF(V277&gt;7,0.25,0),0)))+IF(AC277="-",0,IF(AC277&gt;7,1.5,IF(AC277&gt;4,1,0)))+IF(AD277="-",0,IF(AD277&gt;9,0.5,IF(AD277&gt;7,0.25,0)))+IF(AE277="-",0,IF(AE277&gt;7,1.25,IF(AE277&gt;4,0.75,0)))+IF(OR(AF277="-",W277&lt;4),0,IF(AF277&gt;7,1+IF(W277&gt;7,0.15,0),IF(AF277&gt;4,0.5+IF(W277&gt;7,0.15,0),0))))</f>
        <v>0</v>
      </c>
      <c r="AO277" s="9">
        <f>($AK$3*AK277+$AL$3*AL277+$AM$3*AM277+$AN$3*AN277)+$J$3*VLOOKUP(J277,COND!$A$2:$C$7,2,FALSE)+$K$3*VLOOKUP(K277,COND!$A$2:$C$7,3,FALSE)</f>
        <v>2.5112765418591021</v>
      </c>
      <c r="AP277" s="37">
        <f>STANDARDIZE(AO277,AVERAGE($AO$5:$AO$1295),STDEVP($AO$5:$AO$1295))</f>
        <v>-1.1329547315528332</v>
      </c>
      <c r="AQ277" t="str">
        <f>IF(AND(Y277&lt;&gt;"-",X277&gt;1),"C",IF(AA277=MAX(AA277:AC277),"2B",IF(AC277=MAX(AA277:AC277),"SS",IF(OR(AB277=MAX(Z277:AC277),AND(AB277&lt;&gt;"-",AB277&gt;4,V277&gt;5)),"3B",IF(AE277=MAX(AD277:AF277),"CF",IF(AND(AF277=MAX(AD277,AF277),AND(W277&gt;5,AD277&lt;&gt;"-")),"RF",IF(AD277&lt;&gt;"-","LF",IF(Z277&lt;&gt;"-","1B","DH"))))))))</f>
        <v>DH</v>
      </c>
      <c r="AR277" t="s">
        <v>35</v>
      </c>
      <c r="AU277" t="str">
        <f>IF(AND($Q277&gt;=6,AVERAGE($S277:$T277)&gt;=6),"Likely",IF(OR($Q277&gt;6,AND($Q277=6,AVERAGE($S277:$T277)&gt;=3),AND($Q277&gt;=5,AVERAGE($S277:$T277)&gt;=5),AVERAGE($Q277,$S277:$T277)&gt;5),"Possible","Unlikely"))</f>
        <v>Unlikely</v>
      </c>
      <c r="AW277" t="e">
        <f>IF(VLOOKUP($B277,'Draft List'!$D$4:$AB$2598,AW$3,FALSE)&lt;&gt;0,VLOOKUP($B277,'Draft List'!$D$4:$AB$2598,AW$3,FALSE),"")</f>
        <v>#N/A</v>
      </c>
      <c r="AX277" t="e">
        <f>IF(VLOOKUP($B277,'Draft List'!$D$4:$AB$2598,AX$3,FALSE)&lt;&gt;0,VLOOKUP($B277,'Draft List'!$D$4:$AB$2598,AX$3,FALSE),"")</f>
        <v>#N/A</v>
      </c>
      <c r="AY277" t="e">
        <f>IF(VLOOKUP($B277,'Draft List'!$D$4:$AB$2598,AY$3,FALSE)&lt;&gt;0,VLOOKUP($B277,'Draft List'!$D$4:$AB$2598,AY$3,FALSE),"")</f>
        <v>#N/A</v>
      </c>
    </row>
    <row r="278" spans="1:51">
      <c r="A278" t="str">
        <f>IF(C278="C","C-",C278)&amp;D278&amp;E278</f>
        <v>CFAndrés Molina21</v>
      </c>
      <c r="B278" t="e">
        <f>VLOOKUP($A278,draft_listing_batters_stats!$A$1:$B$1324,2,FALSE)</f>
        <v>#N/A</v>
      </c>
      <c r="C278" s="1" t="s">
        <v>2079</v>
      </c>
      <c r="D278" s="1" t="s">
        <v>1374</v>
      </c>
      <c r="E278" s="1">
        <v>21</v>
      </c>
      <c r="F278" s="1" t="s">
        <v>2022</v>
      </c>
      <c r="G278" s="1" t="s">
        <v>2022</v>
      </c>
      <c r="H278" s="1" t="s">
        <v>2033</v>
      </c>
      <c r="I278" s="1" t="s">
        <v>2033</v>
      </c>
      <c r="J278" s="1" t="s">
        <v>2030</v>
      </c>
      <c r="K278" s="1" t="s">
        <v>2026</v>
      </c>
      <c r="L278" s="1">
        <v>3</v>
      </c>
      <c r="M278" s="1">
        <v>3</v>
      </c>
      <c r="N278" s="1">
        <v>1</v>
      </c>
      <c r="O278" s="1">
        <v>2</v>
      </c>
      <c r="P278" s="1">
        <v>2</v>
      </c>
      <c r="Q278" s="1">
        <v>4</v>
      </c>
      <c r="R278" s="1">
        <v>3</v>
      </c>
      <c r="S278" s="1">
        <v>1</v>
      </c>
      <c r="T278" s="1">
        <v>2</v>
      </c>
      <c r="U278" s="1">
        <v>5</v>
      </c>
      <c r="V278" s="1">
        <v>1</v>
      </c>
      <c r="W278" s="1">
        <v>6</v>
      </c>
      <c r="X278" s="1">
        <v>1</v>
      </c>
      <c r="Y278" s="1" t="s">
        <v>2027</v>
      </c>
      <c r="Z278" s="1" t="s">
        <v>2027</v>
      </c>
      <c r="AA278" s="1" t="s">
        <v>2027</v>
      </c>
      <c r="AB278" s="1" t="s">
        <v>2027</v>
      </c>
      <c r="AC278" s="1" t="s">
        <v>2027</v>
      </c>
      <c r="AD278" s="1">
        <v>3</v>
      </c>
      <c r="AE278" s="1">
        <v>7</v>
      </c>
      <c r="AF278" s="1">
        <v>4</v>
      </c>
      <c r="AG278" s="1">
        <v>10</v>
      </c>
      <c r="AH278" s="1">
        <v>9</v>
      </c>
      <c r="AI278" s="1">
        <v>9</v>
      </c>
      <c r="AJ278" s="52" t="s">
        <v>2029</v>
      </c>
      <c r="AK278" s="9">
        <f>($L$3*(L278-$Q$1)/$Q$2+$M$3*(M278-$R$1)/$R$2+$N$3*(N278-$S$1)/$S$2+$O$3*(O278-$T$1)/$T$2+$P$3*(P278-$U$1)/$U$2)/(SUM($L$3:$P$3))</f>
        <v>-1.207386028358151</v>
      </c>
      <c r="AL278" s="9">
        <f>($L$3*(Q278-$Q$1)/$Q$2+$M$3*(R278-$R$1)/$R$2+$N$3*(S278-$S$1)/$S$2+$O$3*(T278-$T$1)/$T$2+$P$3*(U278-$U$1)/$U$2)/(SUM($L$3:$P$3))</f>
        <v>-0.76478117270422585</v>
      </c>
      <c r="AM278">
        <f>IF(AVERAGE(AG278:AH278)&gt;9,1,0)+IF(AVERAGE(AG278:AH278)&gt;7,1,0)+IF(AG278&gt;7,1,0)+IF(AH278&gt;7,1,0)+IF(AI278&gt;8,1,0)+IF(AI278&gt;6,1,0)</f>
        <v>6</v>
      </c>
      <c r="AN278" s="6">
        <f>MIN(2,IF(OR(Y278="-",X278&lt;5),0,1+IF(Y278&gt;7,1+IF(X278&gt;7,0.25,0),IF(Y278&gt;4,0.5+IF(X278&gt;7,0.25,0),0+IF(X278&gt;7,0.25))))+IF(Z278="-",0,IF(Z278&gt;9,0.5,IF(Z278&gt;7,0.25,0)))+IF(AA278="-",0,IF(AA278&gt;7,1.1,IF(AA278&gt;4,0.6,0)))+IF(OR(AB278="-",V278&lt;5),0,IF(AB278&gt;7,1+IF(V278&gt;7,0.25,0),IF(AB278&gt;4,0.5+IF(V278&gt;7,0.25,0),0)))+IF(AC278="-",0,IF(AC278&gt;7,1.5,IF(AC278&gt;4,1,0)))+IF(AD278="-",0,IF(AD278&gt;9,0.5,IF(AD278&gt;7,0.25,0)))+IF(AE278="-",0,IF(AE278&gt;7,1.25,IF(AE278&gt;4,0.75,0)))+IF(OR(AF278="-",W278&lt;4),0,IF(AF278&gt;7,1+IF(W278&gt;7,0.15,0),IF(AF278&gt;4,0.5+IF(W278&gt;7,0.15,0),0))))</f>
        <v>0.75</v>
      </c>
      <c r="AO278" s="9">
        <f>($AK$3*AK278+$AL$3*AL278+$AM$3*AM278+$AN$3*AN278)+$J$3*VLOOKUP(J278,COND!$A$2:$C$7,2,FALSE)+$K$3*VLOOKUP(K278,COND!$A$2:$C$7,3,FALSE)</f>
        <v>2.4518873247134749</v>
      </c>
      <c r="AP278" s="37">
        <f>STANDARDIZE(AO278,AVERAGE($AO$5:$AO$1295),STDEVP($AO$5:$AO$1295))</f>
        <v>-1.1412052985408745</v>
      </c>
      <c r="AQ278" t="str">
        <f>IF(AND(Y278&lt;&gt;"-",X278&gt;1),"C",IF(AA278=MAX(AA278:AC278),"2B",IF(AC278=MAX(AA278:AC278),"SS",IF(OR(AB278=MAX(Z278:AC278),AND(AB278&lt;&gt;"-",AB278&gt;4,V278&gt;5)),"3B",IF(AE278=MAX(AD278:AF278),"CF",IF(AND(AF278=MAX(AD278,AF278),AND(W278&gt;5,AD278&lt;&gt;"-")),"RF",IF(AD278&lt;&gt;"-","LF",IF(Z278&lt;&gt;"-","1B","DH"))))))))</f>
        <v>CF</v>
      </c>
      <c r="AR278" t="s">
        <v>35</v>
      </c>
      <c r="AU278" t="str">
        <f>IF(AND($Q278&gt;=6,AVERAGE($S278:$T278)&gt;=6),"Likely",IF(OR($Q278&gt;6,AND($Q278=6,AVERAGE($S278:$T278)&gt;=3),AND($Q278&gt;=5,AVERAGE($S278:$T278)&gt;=5),AVERAGE($Q278,$S278:$T278)&gt;5),"Possible","Unlikely"))</f>
        <v>Unlikely</v>
      </c>
      <c r="AW278" t="e">
        <f>IF(VLOOKUP($B278,'Draft List'!$D$4:$AB$2598,AW$3,FALSE)&lt;&gt;0,VLOOKUP($B278,'Draft List'!$D$4:$AB$2598,AW$3,FALSE),"")</f>
        <v>#N/A</v>
      </c>
      <c r="AX278" t="e">
        <f>IF(VLOOKUP($B278,'Draft List'!$D$4:$AB$2598,AX$3,FALSE)&lt;&gt;0,VLOOKUP($B278,'Draft List'!$D$4:$AB$2598,AX$3,FALSE),"")</f>
        <v>#N/A</v>
      </c>
      <c r="AY278" t="e">
        <f>IF(VLOOKUP($B278,'Draft List'!$D$4:$AB$2598,AY$3,FALSE)&lt;&gt;0,VLOOKUP($B278,'Draft List'!$D$4:$AB$2598,AY$3,FALSE),"")</f>
        <v>#N/A</v>
      </c>
    </row>
    <row r="279" spans="1:51">
      <c r="A279" t="str">
        <f>IF(C279="C","C-",C279)&amp;D279&amp;E279</f>
        <v>CFJody Hull18</v>
      </c>
      <c r="B279">
        <f>VLOOKUP($A279,draft_listing_batters_stats!$A$1:$B$1324,2,FALSE)</f>
        <v>13741</v>
      </c>
      <c r="C279" s="1" t="s">
        <v>2079</v>
      </c>
      <c r="D279" s="1" t="s">
        <v>1316</v>
      </c>
      <c r="E279" s="1">
        <v>18</v>
      </c>
      <c r="F279" s="1" t="s">
        <v>2022</v>
      </c>
      <c r="G279" s="1" t="s">
        <v>2022</v>
      </c>
      <c r="H279" s="1" t="s">
        <v>2033</v>
      </c>
      <c r="I279" s="1" t="s">
        <v>2033</v>
      </c>
      <c r="J279" s="1" t="s">
        <v>2026</v>
      </c>
      <c r="K279" s="1" t="s">
        <v>2025</v>
      </c>
      <c r="L279" s="1">
        <v>1</v>
      </c>
      <c r="M279" s="1">
        <v>3</v>
      </c>
      <c r="N279" s="1">
        <v>1</v>
      </c>
      <c r="O279" s="1">
        <v>1</v>
      </c>
      <c r="P279" s="1">
        <v>1</v>
      </c>
      <c r="Q279" s="1">
        <v>4</v>
      </c>
      <c r="R279" s="1">
        <v>5</v>
      </c>
      <c r="S279" s="1">
        <v>2</v>
      </c>
      <c r="T279" s="1">
        <v>2</v>
      </c>
      <c r="U279" s="1">
        <v>4</v>
      </c>
      <c r="V279" s="1">
        <v>1</v>
      </c>
      <c r="W279" s="1">
        <v>7</v>
      </c>
      <c r="X279" s="1">
        <v>1</v>
      </c>
      <c r="Y279" s="1" t="s">
        <v>2027</v>
      </c>
      <c r="Z279" s="1">
        <v>1</v>
      </c>
      <c r="AA279" s="1" t="s">
        <v>2027</v>
      </c>
      <c r="AB279" s="1" t="s">
        <v>2027</v>
      </c>
      <c r="AC279" s="1" t="s">
        <v>2027</v>
      </c>
      <c r="AD279" s="1">
        <v>4</v>
      </c>
      <c r="AE279" s="1">
        <v>4</v>
      </c>
      <c r="AF279" s="1">
        <v>2</v>
      </c>
      <c r="AG279" s="1">
        <v>6</v>
      </c>
      <c r="AH279" s="1">
        <v>4</v>
      </c>
      <c r="AI279" s="1">
        <v>2</v>
      </c>
      <c r="AJ279" s="52" t="s">
        <v>2029</v>
      </c>
      <c r="AK279" s="9">
        <f>($L$3*(L279-$Q$1)/$Q$2+$M$3*(M279-$R$1)/$R$2+$N$3*(N279-$S$1)/$S$2+$O$3*(O279-$T$1)/$T$2+$P$3*(P279-$U$1)/$U$2)/(SUM($L$3:$P$3))</f>
        <v>-1.9822235905901651</v>
      </c>
      <c r="AL279" s="9">
        <f>($L$3*(Q279-$Q$1)/$Q$2+$M$3*(R279-$R$1)/$R$2+$N$3*(S279-$S$1)/$S$2+$O$3*(T279-$T$1)/$T$2+$P$3*(U279-$U$1)/$U$2)/(SUM($L$3:$P$3))</f>
        <v>-0.61961625926000097</v>
      </c>
      <c r="AM279">
        <f>IF(AVERAGE(AG279:AH279)&gt;9,1,0)+IF(AVERAGE(AG279:AH279)&gt;7,1,0)+IF(AG279&gt;7,1,0)+IF(AH279&gt;7,1,0)+IF(AI279&gt;8,1,0)+IF(AI279&gt;6,1,0)</f>
        <v>0</v>
      </c>
      <c r="AN279" s="6">
        <f>MIN(2,IF(OR(Y279="-",X279&lt;5),0,1+IF(Y279&gt;7,1+IF(X279&gt;7,0.25,0),IF(Y279&gt;4,0.5+IF(X279&gt;7,0.25,0),0+IF(X279&gt;7,0.25))))+IF(Z279="-",0,IF(Z279&gt;9,0.5,IF(Z279&gt;7,0.25,0)))+IF(AA279="-",0,IF(AA279&gt;7,1.1,IF(AA279&gt;4,0.6,0)))+IF(OR(AB279="-",V279&lt;5),0,IF(AB279&gt;7,1+IF(V279&gt;7,0.25,0),IF(AB279&gt;4,0.5+IF(V279&gt;7,0.25,0),0)))+IF(AC279="-",0,IF(AC279&gt;7,1.5,IF(AC279&gt;4,1,0)))+IF(AD279="-",0,IF(AD279&gt;9,0.5,IF(AD279&gt;7,0.25,0)))+IF(AE279="-",0,IF(AE279&gt;7,1.25,IF(AE279&gt;4,0.75,0)))+IF(OR(AF279="-",W279&lt;4),0,IF(AF279&gt;7,1+IF(W279&gt;7,0.15,0),IF(AF279&gt;4,0.5+IF(W279&gt;7,0.15,0),0))))</f>
        <v>0</v>
      </c>
      <c r="AO279" s="9">
        <f>($AK$3*AK279+$AL$3*AL279+$AM$3*AM279+$AN$3*AN279)+$J$3*VLOOKUP(J279,COND!$A$2:$C$7,2,FALSE)+$K$3*VLOOKUP(K279,COND!$A$2:$C$7,3,FALSE)</f>
        <v>2.2663825298209721</v>
      </c>
      <c r="AP279" s="37">
        <f>STANDARDIZE(AO279,AVERAGE($AO$5:$AO$1295),STDEVP($AO$5:$AO$1295))</f>
        <v>-1.1669763022756188</v>
      </c>
      <c r="AQ279" t="str">
        <f>IF(AND(Y279&lt;&gt;"-",X279&gt;1),"C",IF(AA279=MAX(AA279:AC279),"2B",IF(AC279=MAX(AA279:AC279),"SS",IF(OR(AB279=MAX(Z279:AC279),AND(AB279&lt;&gt;"-",AB279&gt;4,V279&gt;5)),"3B",IF(AE279=MAX(AD279:AF279),"CF",IF(AND(AF279=MAX(AD279,AF279),AND(W279&gt;5,AD279&lt;&gt;"-")),"RF",IF(AD279&lt;&gt;"-","LF",IF(Z279&lt;&gt;"-","1B","DH"))))))))</f>
        <v>CF</v>
      </c>
      <c r="AR279" t="s">
        <v>35</v>
      </c>
      <c r="AU279" t="str">
        <f>IF(AND($Q279&gt;=6,AVERAGE($S279:$T279)&gt;=6),"Likely",IF(OR($Q279&gt;6,AND($Q279=6,AVERAGE($S279:$T279)&gt;=3),AND($Q279&gt;=5,AVERAGE($S279:$T279)&gt;=5),AVERAGE($Q279,$S279:$T279)&gt;5),"Possible","Unlikely"))</f>
        <v>Unlikely</v>
      </c>
      <c r="AW279" t="str">
        <f>IF(VLOOKUP($B279,'Draft List'!$D$4:$AB$2598,AW$3,FALSE)&lt;&gt;0,VLOOKUP($B279,'Draft List'!$D$4:$AB$2598,AW$3,FALSE),"")</f>
        <v/>
      </c>
      <c r="AX279" t="str">
        <f>IF(VLOOKUP($B279,'Draft List'!$D$4:$AB$2598,AX$3,FALSE)&lt;&gt;0,VLOOKUP($B279,'Draft List'!$D$4:$AB$2598,AX$3,FALSE),"")</f>
        <v/>
      </c>
      <c r="AY279" t="str">
        <f>IF(VLOOKUP($B279,'Draft List'!$D$4:$AB$2598,AY$3,FALSE)&lt;&gt;0,VLOOKUP($B279,'Draft List'!$D$4:$AB$2598,AY$3,FALSE),"")</f>
        <v/>
      </c>
    </row>
    <row r="280" spans="1:51">
      <c r="A280" t="str">
        <f>IF(C280="C","C-",C280)&amp;D280&amp;E280</f>
        <v>2BCaden Carlisle18</v>
      </c>
      <c r="B280">
        <f>VLOOKUP($A280,draft_listing_batters_stats!$A$1:$B$1324,2,FALSE)</f>
        <v>13744</v>
      </c>
      <c r="C280" s="1" t="s">
        <v>2069</v>
      </c>
      <c r="D280" s="1" t="s">
        <v>1468</v>
      </c>
      <c r="E280" s="1">
        <v>18</v>
      </c>
      <c r="F280" s="1" t="s">
        <v>2022</v>
      </c>
      <c r="G280" s="1" t="s">
        <v>2022</v>
      </c>
      <c r="H280" s="1" t="s">
        <v>2033</v>
      </c>
      <c r="I280" s="1" t="s">
        <v>2033</v>
      </c>
      <c r="J280" s="1" t="s">
        <v>2026</v>
      </c>
      <c r="K280" s="1" t="s">
        <v>2026</v>
      </c>
      <c r="L280" s="1">
        <v>1</v>
      </c>
      <c r="M280" s="1">
        <v>2</v>
      </c>
      <c r="N280" s="1">
        <v>1</v>
      </c>
      <c r="O280" s="1">
        <v>1</v>
      </c>
      <c r="P280" s="1">
        <v>1</v>
      </c>
      <c r="Q280" s="1">
        <v>4</v>
      </c>
      <c r="R280" s="1">
        <v>5</v>
      </c>
      <c r="S280" s="1">
        <v>1</v>
      </c>
      <c r="T280" s="1">
        <v>2</v>
      </c>
      <c r="U280" s="1">
        <v>4</v>
      </c>
      <c r="V280" s="1">
        <v>10</v>
      </c>
      <c r="W280" s="1">
        <v>10</v>
      </c>
      <c r="X280" s="1">
        <v>1</v>
      </c>
      <c r="Y280" s="1" t="s">
        <v>2027</v>
      </c>
      <c r="Z280" s="1">
        <v>2</v>
      </c>
      <c r="AA280" s="1">
        <v>3</v>
      </c>
      <c r="AB280" s="1">
        <v>1</v>
      </c>
      <c r="AC280" s="1">
        <v>1</v>
      </c>
      <c r="AD280" s="1" t="s">
        <v>2027</v>
      </c>
      <c r="AE280" s="1" t="s">
        <v>2027</v>
      </c>
      <c r="AF280" s="1" t="s">
        <v>2027</v>
      </c>
      <c r="AG280" s="1">
        <v>8</v>
      </c>
      <c r="AH280" s="1">
        <v>9</v>
      </c>
      <c r="AI280" s="1">
        <v>10</v>
      </c>
      <c r="AJ280" s="52">
        <v>2800000</v>
      </c>
      <c r="AK280" s="9">
        <f>($L$3*(L280-$Q$1)/$Q$2+$M$3*(M280-$R$1)/$R$2+$N$3*(N280-$S$1)/$S$2+$O$3*(O280-$T$1)/$T$2+$P$3*(P280-$U$1)/$U$2)/(SUM($L$3:$P$3))</f>
        <v>-2.0332834702088682</v>
      </c>
      <c r="AL280" s="9">
        <f>($L$3*(Q280-$Q$1)/$Q$2+$M$3*(R280-$R$1)/$R$2+$N$3*(S280-$S$1)/$S$2+$O$3*(T280-$T$1)/$T$2+$P$3*(U280-$U$1)/$U$2)/(SUM($L$3:$P$3))</f>
        <v>-0.70267775328390236</v>
      </c>
      <c r="AM280">
        <f>IF(AVERAGE(AG280:AH280)&gt;9,1,0)+IF(AVERAGE(AG280:AH280)&gt;7,1,0)+IF(AG280&gt;7,1,0)+IF(AH280&gt;7,1,0)+IF(AI280&gt;8,1,0)+IF(AI280&gt;6,1,0)</f>
        <v>5</v>
      </c>
      <c r="AN280" s="6">
        <f>MIN(2,IF(OR(Y280="-",X280&lt;5),0,1+IF(Y280&gt;7,1+IF(X280&gt;7,0.25,0),IF(Y280&gt;4,0.5+IF(X280&gt;7,0.25,0),0+IF(X280&gt;7,0.25))))+IF(Z280="-",0,IF(Z280&gt;9,0.5,IF(Z280&gt;7,0.25,0)))+IF(AA280="-",0,IF(AA280&gt;7,1.1,IF(AA280&gt;4,0.6,0)))+IF(OR(AB280="-",V280&lt;5),0,IF(AB280&gt;7,1+IF(V280&gt;7,0.25,0),IF(AB280&gt;4,0.5+IF(V280&gt;7,0.25,0),0)))+IF(AC280="-",0,IF(AC280&gt;7,1.5,IF(AC280&gt;4,1,0)))+IF(AD280="-",0,IF(AD280&gt;9,0.5,IF(AD280&gt;7,0.25,0)))+IF(AE280="-",0,IF(AE280&gt;7,1.25,IF(AE280&gt;4,0.75,0)))+IF(OR(AF280="-",W280&lt;4),0,IF(AF280&gt;7,1+IF(W280&gt;7,0.15,0),IF(AF280&gt;4,0.5+IF(W280&gt;7,0.15,0),0))))</f>
        <v>0</v>
      </c>
      <c r="AO280" s="9">
        <f>($AK$3*AK280+$AL$3*AL280+$AM$3*AM280+$AN$3*AN280)+$J$3*VLOOKUP(J280,COND!$A$2:$C$7,2,FALSE)+$K$3*VLOOKUP(K280,COND!$A$2:$C$7,3,FALSE)</f>
        <v>1.9978719469056179</v>
      </c>
      <c r="AP280" s="37">
        <f>STANDARDIZE(AO280,AVERAGE($AO$5:$AO$1295),STDEVP($AO$5:$AO$1295))</f>
        <v>-1.2042787732933613</v>
      </c>
      <c r="AQ280" t="str">
        <f>IF(AND(Y280&lt;&gt;"-",X280&gt;1),"C",IF(AA280=MAX(AA280:AC280),"2B",IF(AC280=MAX(AA280:AC280),"SS",IF(OR(AB280=MAX(Z280:AC280),AND(AB280&lt;&gt;"-",AB280&gt;4,V280&gt;5)),"3B",IF(AE280=MAX(AD280:AF280),"CF",IF(AND(AF280=MAX(AD280,AF280),AND(W280&gt;5,AD280&lt;&gt;"-")),"RF",IF(AD280&lt;&gt;"-","LF",IF(Z280&lt;&gt;"-","1B","DH"))))))))</f>
        <v>2B</v>
      </c>
      <c r="AR280" t="s">
        <v>35</v>
      </c>
      <c r="AT280" t="s">
        <v>155</v>
      </c>
      <c r="AU280" t="str">
        <f>IF(AND($Q280&gt;=6,AVERAGE($S280:$T280)&gt;=6),"Likely",IF(OR($Q280&gt;6,AND($Q280=6,AVERAGE($S280:$T280)&gt;=3),AND($Q280&gt;=5,AVERAGE($S280:$T280)&gt;=5),AVERAGE($Q280,$S280:$T280)&gt;5),"Possible","Unlikely"))</f>
        <v>Unlikely</v>
      </c>
      <c r="AW280" t="str">
        <f>IF(VLOOKUP($B280,'Draft List'!$D$4:$AB$2598,AW$3,FALSE)&lt;&gt;0,VLOOKUP($B280,'Draft List'!$D$4:$AB$2598,AW$3,FALSE),"")</f>
        <v/>
      </c>
      <c r="AX280" t="str">
        <f>IF(VLOOKUP($B280,'Draft List'!$D$4:$AB$2598,AX$3,FALSE)&lt;&gt;0,VLOOKUP($B280,'Draft List'!$D$4:$AB$2598,AX$3,FALSE),"")</f>
        <v/>
      </c>
      <c r="AY280" t="str">
        <f>IF(VLOOKUP($B280,'Draft List'!$D$4:$AB$2598,AY$3,FALSE)&lt;&gt;0,VLOOKUP($B280,'Draft List'!$D$4:$AB$2598,AY$3,FALSE),"")</f>
        <v/>
      </c>
    </row>
    <row r="281" spans="1:51">
      <c r="A281" t="str">
        <f>IF(C281="C","C-",C281)&amp;D281&amp;E281</f>
        <v>RFLen Knight21</v>
      </c>
      <c r="B281">
        <f>VLOOKUP($A281,draft_listing_batters_stats!$A$1:$B$1324,2,FALSE)</f>
        <v>7348</v>
      </c>
      <c r="C281" s="1" t="s">
        <v>2057</v>
      </c>
      <c r="D281" s="1" t="s">
        <v>1339</v>
      </c>
      <c r="E281" s="1">
        <v>21</v>
      </c>
      <c r="F281" s="1" t="s">
        <v>2049</v>
      </c>
      <c r="G281" s="1" t="s">
        <v>2022</v>
      </c>
      <c r="H281" s="1" t="s">
        <v>2033</v>
      </c>
      <c r="I281" s="1" t="s">
        <v>2033</v>
      </c>
      <c r="J281" s="1" t="s">
        <v>2040</v>
      </c>
      <c r="K281" s="1" t="s">
        <v>2026</v>
      </c>
      <c r="L281" s="1">
        <v>3</v>
      </c>
      <c r="M281" s="1">
        <v>4</v>
      </c>
      <c r="N281" s="1">
        <v>1</v>
      </c>
      <c r="O281" s="1">
        <v>1</v>
      </c>
      <c r="P281" s="1">
        <v>2</v>
      </c>
      <c r="Q281" s="1">
        <v>4</v>
      </c>
      <c r="R281" s="1">
        <v>6</v>
      </c>
      <c r="S281" s="1">
        <v>1</v>
      </c>
      <c r="T281" s="1">
        <v>2</v>
      </c>
      <c r="U281" s="1">
        <v>3</v>
      </c>
      <c r="V281" s="1">
        <v>7</v>
      </c>
      <c r="W281" s="1">
        <v>7</v>
      </c>
      <c r="X281" s="1">
        <v>2</v>
      </c>
      <c r="Y281" s="1" t="s">
        <v>2027</v>
      </c>
      <c r="Z281" s="1">
        <v>9</v>
      </c>
      <c r="AA281" s="1" t="s">
        <v>2027</v>
      </c>
      <c r="AB281" s="1">
        <v>4</v>
      </c>
      <c r="AC281" s="1" t="s">
        <v>2027</v>
      </c>
      <c r="AD281" s="1">
        <v>4</v>
      </c>
      <c r="AE281" s="1">
        <v>2</v>
      </c>
      <c r="AF281" s="1">
        <v>4</v>
      </c>
      <c r="AG281" s="1">
        <v>8</v>
      </c>
      <c r="AH281" s="1">
        <v>7</v>
      </c>
      <c r="AI281" s="1">
        <v>7</v>
      </c>
      <c r="AJ281" s="52" t="s">
        <v>2029</v>
      </c>
      <c r="AK281" s="9">
        <f>($L$3*(L281-$Q$1)/$Q$2+$M$3*(M281-$R$1)/$R$2+$N$3*(N281-$S$1)/$S$2+$O$3*(O281-$T$1)/$T$2+$P$3*(P281-$U$1)/$U$2)/(SUM($L$3:$P$3))</f>
        <v>-1.2460356987490286</v>
      </c>
      <c r="AL281" s="9">
        <f>($L$3*(Q281-$Q$1)/$Q$2+$M$3*(R281-$R$1)/$R$2+$N$3*(S281-$S$1)/$S$2+$O$3*(T281-$T$1)/$T$2+$P$3*(U281-$U$1)/$U$2)/(SUM($L$3:$P$3))</f>
        <v>-0.69163421348228249</v>
      </c>
      <c r="AM281">
        <f>IF(AVERAGE(AG281:AH281)&gt;9,1,0)+IF(AVERAGE(AG281:AH281)&gt;7,1,0)+IF(AG281&gt;7,1,0)+IF(AH281&gt;7,1,0)+IF(AI281&gt;8,1,0)+IF(AI281&gt;6,1,0)</f>
        <v>3</v>
      </c>
      <c r="AN281" s="6">
        <f>MIN(2,IF(OR(Y281="-",X281&lt;5),0,1+IF(Y281&gt;7,1+IF(X281&gt;7,0.25,0),IF(Y281&gt;4,0.5+IF(X281&gt;7,0.25,0),0+IF(X281&gt;7,0.25))))+IF(Z281="-",0,IF(Z281&gt;9,0.5,IF(Z281&gt;7,0.25,0)))+IF(AA281="-",0,IF(AA281&gt;7,1.1,IF(AA281&gt;4,0.6,0)))+IF(OR(AB281="-",V281&lt;5),0,IF(AB281&gt;7,1+IF(V281&gt;7,0.25,0),IF(AB281&gt;4,0.5+IF(V281&gt;7,0.25,0),0)))+IF(AC281="-",0,IF(AC281&gt;7,1.5,IF(AC281&gt;4,1,0)))+IF(AD281="-",0,IF(AD281&gt;9,0.5,IF(AD281&gt;7,0.25,0)))+IF(AE281="-",0,IF(AE281&gt;7,1.25,IF(AE281&gt;4,0.75,0)))+IF(OR(AF281="-",W281&lt;4),0,IF(AF281&gt;7,1+IF(W281&gt;7,0.15,0),IF(AF281&gt;4,0.5+IF(W281&gt;7,0.15,0),0))))</f>
        <v>0.25</v>
      </c>
      <c r="AO281" s="9">
        <f>($AK$3*AK281+$AL$3*AL281+$AM$3*AM281+$AN$3*AN281)+$J$3*VLOOKUP(J281,COND!$A$2:$C$7,2,FALSE)+$K$3*VLOOKUP(K281,COND!$A$2:$C$7,3,FALSE)</f>
        <v>1.7257858683377076</v>
      </c>
      <c r="AP281" s="37">
        <f>STANDARDIZE(AO281,AVERAGE($AO$5:$AO$1295),STDEVP($AO$5:$AO$1295))</f>
        <v>-1.2420779652280429</v>
      </c>
      <c r="AQ281" t="str">
        <f>IF(AND(Y281&lt;&gt;"-",X281&gt;1),"C",IF(AA281=MAX(AA281:AC281),"2B",IF(AC281=MAX(AA281:AC281),"SS",IF(OR(AB281=MAX(Z281:AC281),AND(AB281&lt;&gt;"-",AB281&gt;4,V281&gt;5)),"3B",IF(AE281=MAX(AD281:AF281),"CF",IF(AND(AF281=MAX(AD281,AF281),AND(W281&gt;5,AD281&lt;&gt;"-")),"RF",IF(AD281&lt;&gt;"-","LF",IF(Z281&lt;&gt;"-","1B","DH"))))))))</f>
        <v>RF</v>
      </c>
      <c r="AR281" t="s">
        <v>35</v>
      </c>
      <c r="AU281" t="str">
        <f>IF(AND($Q281&gt;=6,AVERAGE($S281:$T281)&gt;=6),"Likely",IF(OR($Q281&gt;6,AND($Q281=6,AVERAGE($S281:$T281)&gt;=3),AND($Q281&gt;=5,AVERAGE($S281:$T281)&gt;=5),AVERAGE($Q281,$S281:$T281)&gt;5),"Possible","Unlikely"))</f>
        <v>Unlikely</v>
      </c>
      <c r="AW281" t="str">
        <f>IF(VLOOKUP($B281,'Draft List'!$D$4:$AB$2598,AW$3,FALSE)&lt;&gt;0,VLOOKUP($B281,'Draft List'!$D$4:$AB$2598,AW$3,FALSE),"")</f>
        <v/>
      </c>
      <c r="AX281" t="str">
        <f>IF(VLOOKUP($B281,'Draft List'!$D$4:$AB$2598,AX$3,FALSE)&lt;&gt;0,VLOOKUP($B281,'Draft List'!$D$4:$AB$2598,AX$3,FALSE),"")</f>
        <v/>
      </c>
      <c r="AY281" t="str">
        <f>IF(VLOOKUP($B281,'Draft List'!$D$4:$AB$2598,AY$3,FALSE)&lt;&gt;0,VLOOKUP($B281,'Draft List'!$D$4:$AB$2598,AY$3,FALSE),"")</f>
        <v/>
      </c>
    </row>
    <row r="282" spans="1:51">
      <c r="A282" t="str">
        <f>IF(C282="C","C-",C282)&amp;D282&amp;E282</f>
        <v>C-Louis-Émile Martineau18</v>
      </c>
      <c r="B282" t="e">
        <f>VLOOKUP($A282,draft_listing_batters_stats!$A$1:$B$1324,2,FALSE)</f>
        <v>#N/A</v>
      </c>
      <c r="C282" s="1" t="s">
        <v>2091</v>
      </c>
      <c r="D282" s="1" t="s">
        <v>1355</v>
      </c>
      <c r="E282" s="1">
        <v>18</v>
      </c>
      <c r="F282" s="1" t="s">
        <v>2049</v>
      </c>
      <c r="G282" s="1" t="s">
        <v>2022</v>
      </c>
      <c r="H282" s="1" t="s">
        <v>2033</v>
      </c>
      <c r="I282" s="1" t="s">
        <v>2033</v>
      </c>
      <c r="J282" s="1" t="s">
        <v>2025</v>
      </c>
      <c r="K282" s="1" t="s">
        <v>2025</v>
      </c>
      <c r="L282" s="1">
        <v>1</v>
      </c>
      <c r="M282" s="1">
        <v>1</v>
      </c>
      <c r="N282" s="1">
        <v>1</v>
      </c>
      <c r="O282" s="1">
        <v>1</v>
      </c>
      <c r="P282" s="1">
        <v>1</v>
      </c>
      <c r="Q282" s="1">
        <v>4</v>
      </c>
      <c r="R282" s="1">
        <v>3</v>
      </c>
      <c r="S282" s="1">
        <v>2</v>
      </c>
      <c r="T282" s="1">
        <v>2</v>
      </c>
      <c r="U282" s="1">
        <v>5</v>
      </c>
      <c r="V282" s="1">
        <v>3</v>
      </c>
      <c r="W282" s="1">
        <v>3</v>
      </c>
      <c r="X282" s="1">
        <v>3</v>
      </c>
      <c r="Y282" s="1" t="s">
        <v>2027</v>
      </c>
      <c r="Z282" s="1" t="s">
        <v>2027</v>
      </c>
      <c r="AA282" s="1" t="s">
        <v>2027</v>
      </c>
      <c r="AB282" s="1" t="s">
        <v>2027</v>
      </c>
      <c r="AC282" s="1" t="s">
        <v>2027</v>
      </c>
      <c r="AD282" s="1" t="s">
        <v>2027</v>
      </c>
      <c r="AE282" s="1" t="s">
        <v>2027</v>
      </c>
      <c r="AF282" s="1" t="s">
        <v>2027</v>
      </c>
      <c r="AG282" s="1">
        <v>2</v>
      </c>
      <c r="AH282" s="1">
        <v>5</v>
      </c>
      <c r="AI282" s="1">
        <v>4</v>
      </c>
      <c r="AJ282" s="52" t="s">
        <v>2029</v>
      </c>
      <c r="AK282" s="9">
        <f>($L$3*(L282-$Q$1)/$Q$2+$M$3*(M282-$R$1)/$R$2+$N$3*(N282-$S$1)/$S$2+$O$3*(O282-$T$1)/$T$2+$P$3*(P282-$U$1)/$U$2)/(SUM($L$3:$P$3))</f>
        <v>-2.0843433498275723</v>
      </c>
      <c r="AL282" s="9">
        <f>($L$3*(Q282-$Q$1)/$Q$2+$M$3*(R282-$R$1)/$R$2+$N$3*(S282-$S$1)/$S$2+$O$3*(T282-$T$1)/$T$2+$P$3*(U282-$U$1)/$U$2)/(SUM($L$3:$P$3))</f>
        <v>-0.68171967868032435</v>
      </c>
      <c r="AM282">
        <f>IF(AVERAGE(AG282:AH282)&gt;9,1,0)+IF(AVERAGE(AG282:AH282)&gt;7,1,0)+IF(AG282&gt;7,1,0)+IF(AH282&gt;7,1,0)+IF(AI282&gt;8,1,0)+IF(AI282&gt;6,1,0)</f>
        <v>0</v>
      </c>
      <c r="AN282" s="6">
        <f>MIN(2,IF(OR(Y282="-",X282&lt;5),0,1+IF(Y282&gt;7,1+IF(X282&gt;7,0.25,0),IF(Y282&gt;4,0.5+IF(X282&gt;7,0.25,0),0+IF(X282&gt;7,0.25))))+IF(Z282="-",0,IF(Z282&gt;9,0.5,IF(Z282&gt;7,0.25,0)))+IF(AA282="-",0,IF(AA282&gt;7,1.1,IF(AA282&gt;4,0.6,0)))+IF(OR(AB282="-",V282&lt;5),0,IF(AB282&gt;7,1+IF(V282&gt;7,0.25,0),IF(AB282&gt;4,0.5+IF(V282&gt;7,0.25,0),0)))+IF(AC282="-",0,IF(AC282&gt;7,1.5,IF(AC282&gt;4,1,0)))+IF(AD282="-",0,IF(AD282&gt;9,0.5,IF(AD282&gt;7,0.25,0)))+IF(AE282="-",0,IF(AE282&gt;7,1.25,IF(AE282&gt;4,0.75,0)))+IF(OR(AF282="-",W282&lt;4),0,IF(AF282&gt;7,1+IF(W282&gt;7,0.15,0),IF(AF282&gt;4,0.5+IF(W282&gt;7,0.15,0),0))))</f>
        <v>0</v>
      </c>
      <c r="AO282" s="9">
        <f>($AK$3*AK282+$AL$3*AL282+$AM$3*AM282+$AN$3*AN282)+$J$3*VLOOKUP(J282,COND!$A$2:$C$7,2,FALSE)+$K$3*VLOOKUP(K282,COND!$A$2:$C$7,3,FALSE)</f>
        <v>1.6109295208533521</v>
      </c>
      <c r="AP282" s="37">
        <f>STANDARDIZE(AO282,AVERAGE($AO$5:$AO$1295),STDEVP($AO$5:$AO$1295))</f>
        <v>-1.2580342285779667</v>
      </c>
      <c r="AQ282" t="str">
        <f>IF(AND(Y282&lt;&gt;"-",X282&gt;1),"C",IF(AA282=MAX(AA282:AC282),"2B",IF(AC282=MAX(AA282:AC282),"SS",IF(OR(AB282=MAX(Z282:AC282),AND(AB282&lt;&gt;"-",AB282&gt;4,V282&gt;5)),"3B",IF(AE282=MAX(AD282:AF282),"CF",IF(AND(AF282=MAX(AD282,AF282),AND(W282&gt;5,AD282&lt;&gt;"-")),"RF",IF(AD282&lt;&gt;"-","LF",IF(Z282&lt;&gt;"-","1B","DH"))))))))</f>
        <v>DH</v>
      </c>
      <c r="AR282" t="s">
        <v>35</v>
      </c>
      <c r="AU282" t="str">
        <f>IF(AND($Q282&gt;=6,AVERAGE($S282:$T282)&gt;=6),"Likely",IF(OR($Q282&gt;6,AND($Q282=6,AVERAGE($S282:$T282)&gt;=3),AND($Q282&gt;=5,AVERAGE($S282:$T282)&gt;=5),AVERAGE($Q282,$S282:$T282)&gt;5),"Possible","Unlikely"))</f>
        <v>Unlikely</v>
      </c>
      <c r="AW282" t="e">
        <f>IF(VLOOKUP($B282,'Draft List'!$D$4:$AB$2598,AW$3,FALSE)&lt;&gt;0,VLOOKUP($B282,'Draft List'!$D$4:$AB$2598,AW$3,FALSE),"")</f>
        <v>#N/A</v>
      </c>
      <c r="AX282" t="e">
        <f>IF(VLOOKUP($B282,'Draft List'!$D$4:$AB$2598,AX$3,FALSE)&lt;&gt;0,VLOOKUP($B282,'Draft List'!$D$4:$AB$2598,AX$3,FALSE),"")</f>
        <v>#N/A</v>
      </c>
      <c r="AY282" t="e">
        <f>IF(VLOOKUP($B282,'Draft List'!$D$4:$AB$2598,AY$3,FALSE)&lt;&gt;0,VLOOKUP($B282,'Draft List'!$D$4:$AB$2598,AY$3,FALSE),"")</f>
        <v>#N/A</v>
      </c>
    </row>
    <row r="283" spans="1:51">
      <c r="A283" t="str">
        <f>IF(C283="C","C-",C283)&amp;D283&amp;E283</f>
        <v>1BClarence Duncan21</v>
      </c>
      <c r="B283">
        <f>VLOOKUP($A283,draft_listing_batters_stats!$A$1:$B$1324,2,FALSE)</f>
        <v>9326</v>
      </c>
      <c r="C283" s="1" t="s">
        <v>2092</v>
      </c>
      <c r="D283" s="1" t="s">
        <v>1487</v>
      </c>
      <c r="E283" s="1">
        <v>21</v>
      </c>
      <c r="F283" s="1" t="s">
        <v>2022</v>
      </c>
      <c r="G283" s="1" t="s">
        <v>2022</v>
      </c>
      <c r="H283" s="1" t="s">
        <v>2033</v>
      </c>
      <c r="I283" s="1" t="s">
        <v>2033</v>
      </c>
      <c r="J283" s="1" t="s">
        <v>2040</v>
      </c>
      <c r="K283" s="1" t="s">
        <v>2036</v>
      </c>
      <c r="L283" s="1">
        <v>1</v>
      </c>
      <c r="M283" s="1">
        <v>3</v>
      </c>
      <c r="N283" s="1">
        <v>1</v>
      </c>
      <c r="O283" s="1">
        <v>2</v>
      </c>
      <c r="P283" s="1">
        <v>1</v>
      </c>
      <c r="Q283" s="1">
        <v>4</v>
      </c>
      <c r="R283" s="1">
        <v>4</v>
      </c>
      <c r="S283" s="1">
        <v>1</v>
      </c>
      <c r="T283" s="1">
        <v>3</v>
      </c>
      <c r="U283" s="1">
        <v>4</v>
      </c>
      <c r="V283" s="1">
        <v>10</v>
      </c>
      <c r="W283" s="1">
        <v>1</v>
      </c>
      <c r="X283" s="1">
        <v>1</v>
      </c>
      <c r="Y283" s="1" t="s">
        <v>2027</v>
      </c>
      <c r="Z283" s="1">
        <v>6</v>
      </c>
      <c r="AA283" s="1" t="s">
        <v>2027</v>
      </c>
      <c r="AB283" s="1">
        <v>3</v>
      </c>
      <c r="AC283" s="1" t="s">
        <v>2027</v>
      </c>
      <c r="AD283" s="1" t="s">
        <v>2027</v>
      </c>
      <c r="AE283" s="1" t="s">
        <v>2027</v>
      </c>
      <c r="AF283" s="1" t="s">
        <v>2027</v>
      </c>
      <c r="AG283" s="1">
        <v>4</v>
      </c>
      <c r="AH283" s="1">
        <v>4</v>
      </c>
      <c r="AI283" s="1">
        <v>2</v>
      </c>
      <c r="AJ283" s="52" t="s">
        <v>2029</v>
      </c>
      <c r="AK283" s="9">
        <f>($L$3*(L283-$Q$1)/$Q$2+$M$3*(M283-$R$1)/$R$2+$N$3*(N283-$S$1)/$S$2+$O$3*(O283-$T$1)/$T$2+$P$3*(P283-$U$1)/$U$2)/(SUM($L$3:$P$3))</f>
        <v>-1.8925140405805838</v>
      </c>
      <c r="AL283" s="9">
        <f>($L$3*(Q283-$Q$1)/$Q$2+$M$3*(R283-$R$1)/$R$2+$N$3*(S283-$S$1)/$S$2+$O$3*(T283-$T$1)/$T$2+$P$3*(U283-$U$1)/$U$2)/(SUM($L$3:$P$3))</f>
        <v>-0.66402808289302484</v>
      </c>
      <c r="AM283">
        <f>IF(AVERAGE(AG283:AH283)&gt;9,1,0)+IF(AVERAGE(AG283:AH283)&gt;7,1,0)+IF(AG283&gt;7,1,0)+IF(AH283&gt;7,1,0)+IF(AI283&gt;8,1,0)+IF(AI283&gt;6,1,0)</f>
        <v>0</v>
      </c>
      <c r="AN283" s="6">
        <f>MIN(2,IF(OR(Y283="-",X283&lt;5),0,1+IF(Y283&gt;7,1+IF(X283&gt;7,0.25,0),IF(Y283&gt;4,0.5+IF(X283&gt;7,0.25,0),0+IF(X283&gt;7,0.25))))+IF(Z283="-",0,IF(Z283&gt;9,0.5,IF(Z283&gt;7,0.25,0)))+IF(AA283="-",0,IF(AA283&gt;7,1.1,IF(AA283&gt;4,0.6,0)))+IF(OR(AB283="-",V283&lt;5),0,IF(AB283&gt;7,1+IF(V283&gt;7,0.25,0),IF(AB283&gt;4,0.5+IF(V283&gt;7,0.25,0),0)))+IF(AC283="-",0,IF(AC283&gt;7,1.5,IF(AC283&gt;4,1,0)))+IF(AD283="-",0,IF(AD283&gt;9,0.5,IF(AD283&gt;7,0.25,0)))+IF(AE283="-",0,IF(AE283&gt;7,1.25,IF(AE283&gt;4,0.75,0)))+IF(OR(AF283="-",W283&lt;4),0,IF(AF283&gt;7,1+IF(W283&gt;7,0.15,0),IF(AF283&gt;4,0.5+IF(W283&gt;7,0.15,0),0))))</f>
        <v>0</v>
      </c>
      <c r="AO283" s="9">
        <f>($AK$3*AK283+$AL$3*AL283+$AM$3*AM283+$AN$3*AN283)+$J$3*VLOOKUP(J283,COND!$A$2:$C$7,2,FALSE)+$K$3*VLOOKUP(K283,COND!$A$2:$C$7,3,FALSE)</f>
        <v>1.5924116012256437</v>
      </c>
      <c r="AP283" s="37">
        <f>STANDARDIZE(AO283,AVERAGE($AO$5:$AO$1295),STDEVP($AO$5:$AO$1295))</f>
        <v>-1.260606805616538</v>
      </c>
      <c r="AQ283" t="str">
        <f>IF(AND(Y283&lt;&gt;"-",X283&gt;1),"C",IF(AA283=MAX(AA283:AC283),"2B",IF(AC283=MAX(AA283:AC283),"SS",IF(OR(AB283=MAX(Z283:AC283),AND(AB283&lt;&gt;"-",AB283&gt;4,V283&gt;5)),"3B",IF(AE283=MAX(AD283:AF283),"CF",IF(AND(AF283=MAX(AD283,AF283),AND(W283&gt;5,AD283&lt;&gt;"-")),"RF",IF(AD283&lt;&gt;"-","LF",IF(Z283&lt;&gt;"-","1B","DH"))))))))</f>
        <v>1B</v>
      </c>
      <c r="AR283" t="s">
        <v>35</v>
      </c>
      <c r="AU283" t="str">
        <f>IF(AND($Q283&gt;=6,AVERAGE($S283:$T283)&gt;=6),"Likely",IF(OR($Q283&gt;6,AND($Q283=6,AVERAGE($S283:$T283)&gt;=3),AND($Q283&gt;=5,AVERAGE($S283:$T283)&gt;=5),AVERAGE($Q283,$S283:$T283)&gt;5),"Possible","Unlikely"))</f>
        <v>Unlikely</v>
      </c>
      <c r="AW283" t="e">
        <f>IF(VLOOKUP($B283,'Draft List'!$D$4:$AB$2598,AW$3,FALSE)&lt;&gt;0,VLOOKUP($B283,'Draft List'!$D$4:$AB$2598,AW$3,FALSE),"")</f>
        <v>#N/A</v>
      </c>
      <c r="AX283" t="e">
        <f>IF(VLOOKUP($B283,'Draft List'!$D$4:$AB$2598,AX$3,FALSE)&lt;&gt;0,VLOOKUP($B283,'Draft List'!$D$4:$AB$2598,AX$3,FALSE),"")</f>
        <v>#N/A</v>
      </c>
      <c r="AY283" t="e">
        <f>IF(VLOOKUP($B283,'Draft List'!$D$4:$AB$2598,AY$3,FALSE)&lt;&gt;0,VLOOKUP($B283,'Draft List'!$D$4:$AB$2598,AY$3,FALSE),"")</f>
        <v>#N/A</v>
      </c>
    </row>
    <row r="284" spans="1:51">
      <c r="A284" t="str">
        <f>IF(C284="C","C-",C284)&amp;D284&amp;E284</f>
        <v>SSDale Kelly21</v>
      </c>
      <c r="B284">
        <f>VLOOKUP($A284,draft_listing_batters_stats!$A$1:$B$1324,2,FALSE)</f>
        <v>2513</v>
      </c>
      <c r="C284" s="1" t="s">
        <v>2074</v>
      </c>
      <c r="D284" s="1" t="s">
        <v>1331</v>
      </c>
      <c r="E284" s="1">
        <v>21</v>
      </c>
      <c r="F284" s="1" t="s">
        <v>2022</v>
      </c>
      <c r="G284" s="1" t="s">
        <v>2022</v>
      </c>
      <c r="H284" s="1" t="s">
        <v>2033</v>
      </c>
      <c r="I284" s="1" t="s">
        <v>2033</v>
      </c>
      <c r="J284" s="1" t="s">
        <v>2040</v>
      </c>
      <c r="K284" s="1" t="s">
        <v>2025</v>
      </c>
      <c r="L284" s="1">
        <v>3</v>
      </c>
      <c r="M284" s="1">
        <v>2</v>
      </c>
      <c r="N284" s="1">
        <v>1</v>
      </c>
      <c r="O284" s="1">
        <v>1</v>
      </c>
      <c r="P284" s="1">
        <v>2</v>
      </c>
      <c r="Q284" s="1">
        <v>4</v>
      </c>
      <c r="R284" s="1">
        <v>3</v>
      </c>
      <c r="S284" s="1">
        <v>1</v>
      </c>
      <c r="T284" s="1">
        <v>2</v>
      </c>
      <c r="U284" s="1">
        <v>4</v>
      </c>
      <c r="V284" s="1">
        <v>7</v>
      </c>
      <c r="W284" s="1">
        <v>1</v>
      </c>
      <c r="X284" s="1">
        <v>1</v>
      </c>
      <c r="Y284" s="1" t="s">
        <v>2027</v>
      </c>
      <c r="Z284" s="1" t="s">
        <v>2027</v>
      </c>
      <c r="AA284" s="1" t="s">
        <v>2027</v>
      </c>
      <c r="AB284" s="1" t="s">
        <v>2027</v>
      </c>
      <c r="AC284" s="1">
        <v>6</v>
      </c>
      <c r="AD284" s="1" t="s">
        <v>2027</v>
      </c>
      <c r="AE284" s="1" t="s">
        <v>2027</v>
      </c>
      <c r="AF284" s="1" t="s">
        <v>2027</v>
      </c>
      <c r="AG284" s="1">
        <v>8</v>
      </c>
      <c r="AH284" s="1">
        <v>10</v>
      </c>
      <c r="AI284" s="1">
        <v>10</v>
      </c>
      <c r="AJ284" s="52" t="s">
        <v>2029</v>
      </c>
      <c r="AK284" s="9">
        <f>($L$3*(L284-$Q$1)/$Q$2+$M$3*(M284-$R$1)/$R$2+$N$3*(N284-$S$1)/$S$2+$O$3*(O284-$T$1)/$T$2+$P$3*(P284-$U$1)/$U$2)/(SUM($L$3:$P$3))</f>
        <v>-1.3481554579864357</v>
      </c>
      <c r="AL284" s="9">
        <f>($L$3*(Q284-$Q$1)/$Q$2+$M$3*(R284-$R$1)/$R$2+$N$3*(S284-$S$1)/$S$2+$O$3*(T284-$T$1)/$T$2+$P$3*(U284-$U$1)/$U$2)/(SUM($L$3:$P$3))</f>
        <v>-0.80479751252130927</v>
      </c>
      <c r="AM284">
        <f>IF(AVERAGE(AG284:AH284)&gt;9,1,0)+IF(AVERAGE(AG284:AH284)&gt;7,1,0)+IF(AG284&gt;7,1,0)+IF(AH284&gt;7,1,0)+IF(AI284&gt;8,1,0)+IF(AI284&gt;6,1,0)</f>
        <v>5</v>
      </c>
      <c r="AN284" s="6">
        <f>MIN(2,IF(OR(Y284="-",X284&lt;5),0,1+IF(Y284&gt;7,1+IF(X284&gt;7,0.25,0),IF(Y284&gt;4,0.5+IF(X284&gt;7,0.25,0),0+IF(X284&gt;7,0.25))))+IF(Z284="-",0,IF(Z284&gt;9,0.5,IF(Z284&gt;7,0.25,0)))+IF(AA284="-",0,IF(AA284&gt;7,1.1,IF(AA284&gt;4,0.6,0)))+IF(OR(AB284="-",V284&lt;5),0,IF(AB284&gt;7,1+IF(V284&gt;7,0.25,0),IF(AB284&gt;4,0.5+IF(V284&gt;7,0.25,0),0)))+IF(AC284="-",0,IF(AC284&gt;7,1.5,IF(AC284&gt;4,1,0)))+IF(AD284="-",0,IF(AD284&gt;9,0.5,IF(AD284&gt;7,0.25,0)))+IF(AE284="-",0,IF(AE284&gt;7,1.25,IF(AE284&gt;4,0.75,0)))+IF(OR(AF284="-",W284&lt;4),0,IF(AF284&gt;7,1+IF(W284&gt;7,0.15,0),IF(AF284&gt;4,0.5+IF(W284&gt;7,0.15,0),0))))</f>
        <v>1</v>
      </c>
      <c r="AO284" s="9">
        <f>($AK$3*AK284+$AL$3*AL284+$AM$3*AM284+$AN$3*AN284)+$J$3*VLOOKUP(J284,COND!$A$2:$C$7,2,FALSE)+$K$3*VLOOKUP(K284,COND!$A$2:$C$7,3,FALSE)</f>
        <v>1.540947637278979</v>
      </c>
      <c r="AP284" s="37">
        <f>STANDARDIZE(AO284,AVERAGE($AO$5:$AO$1295),STDEVP($AO$5:$AO$1295))</f>
        <v>-1.2677563674801158</v>
      </c>
      <c r="AQ284" t="str">
        <f>IF(AND(Y284&lt;&gt;"-",X284&gt;1),"C",IF(AA284=MAX(AA284:AC284),"2B",IF(AC284=MAX(AA284:AC284),"SS",IF(OR(AB284=MAX(Z284:AC284),AND(AB284&lt;&gt;"-",AB284&gt;4,V284&gt;5)),"3B",IF(AE284=MAX(AD284:AF284),"CF",IF(AND(AF284=MAX(AD284,AF284),AND(W284&gt;5,AD284&lt;&gt;"-")),"RF",IF(AD284&lt;&gt;"-","LF",IF(Z284&lt;&gt;"-","1B","DH"))))))))</f>
        <v>SS</v>
      </c>
      <c r="AR284" t="s">
        <v>35</v>
      </c>
      <c r="AU284" t="str">
        <f>IF(AND($Q284&gt;=6,AVERAGE($S284:$T284)&gt;=6),"Likely",IF(OR($Q284&gt;6,AND($Q284=6,AVERAGE($S284:$T284)&gt;=3),AND($Q284&gt;=5,AVERAGE($S284:$T284)&gt;=5),AVERAGE($Q284,$S284:$T284)&gt;5),"Possible","Unlikely"))</f>
        <v>Unlikely</v>
      </c>
      <c r="AW284" t="str">
        <f>IF(VLOOKUP($B284,'Draft List'!$D$4:$AB$2598,AW$3,FALSE)&lt;&gt;0,VLOOKUP($B284,'Draft List'!$D$4:$AB$2598,AW$3,FALSE),"")</f>
        <v/>
      </c>
      <c r="AX284" t="str">
        <f>IF(VLOOKUP($B284,'Draft List'!$D$4:$AB$2598,AX$3,FALSE)&lt;&gt;0,VLOOKUP($B284,'Draft List'!$D$4:$AB$2598,AX$3,FALSE),"")</f>
        <v/>
      </c>
      <c r="AY284" t="str">
        <f>IF(VLOOKUP($B284,'Draft List'!$D$4:$AB$2598,AY$3,FALSE)&lt;&gt;0,VLOOKUP($B284,'Draft List'!$D$4:$AB$2598,AY$3,FALSE),"")</f>
        <v/>
      </c>
    </row>
    <row r="285" spans="1:51">
      <c r="A285" t="str">
        <f>IF(C285="C","C-",C285)&amp;D285&amp;E285</f>
        <v>2BErrol Walker20</v>
      </c>
      <c r="B285">
        <f>VLOOKUP($A285,draft_listing_batters_stats!$A$1:$B$1324,2,FALSE)</f>
        <v>7303</v>
      </c>
      <c r="C285" s="1" t="s">
        <v>2069</v>
      </c>
      <c r="D285" s="1" t="s">
        <v>1245</v>
      </c>
      <c r="E285" s="1">
        <v>20</v>
      </c>
      <c r="F285" s="1" t="s">
        <v>2022</v>
      </c>
      <c r="G285" s="1" t="s">
        <v>2022</v>
      </c>
      <c r="H285" s="1" t="s">
        <v>2033</v>
      </c>
      <c r="I285" s="1" t="s">
        <v>2033</v>
      </c>
      <c r="J285" s="1" t="s">
        <v>2040</v>
      </c>
      <c r="K285" s="1" t="s">
        <v>2025</v>
      </c>
      <c r="L285" s="1">
        <v>3</v>
      </c>
      <c r="M285" s="1">
        <v>3</v>
      </c>
      <c r="N285" s="1">
        <v>1</v>
      </c>
      <c r="O285" s="1">
        <v>1</v>
      </c>
      <c r="P285" s="1">
        <v>1</v>
      </c>
      <c r="Q285" s="1">
        <v>4</v>
      </c>
      <c r="R285" s="1">
        <v>5</v>
      </c>
      <c r="S285" s="1">
        <v>1</v>
      </c>
      <c r="T285" s="1">
        <v>2</v>
      </c>
      <c r="U285" s="1">
        <v>4</v>
      </c>
      <c r="V285" s="1">
        <v>4</v>
      </c>
      <c r="W285" s="1">
        <v>1</v>
      </c>
      <c r="X285" s="1">
        <v>1</v>
      </c>
      <c r="Y285" s="1" t="s">
        <v>2027</v>
      </c>
      <c r="Z285" s="1" t="s">
        <v>2027</v>
      </c>
      <c r="AA285" s="1">
        <v>5</v>
      </c>
      <c r="AB285" s="1" t="s">
        <v>2027</v>
      </c>
      <c r="AC285" s="1">
        <v>1</v>
      </c>
      <c r="AD285" s="1" t="s">
        <v>2027</v>
      </c>
      <c r="AE285" s="1" t="s">
        <v>2027</v>
      </c>
      <c r="AF285" s="1" t="s">
        <v>2027</v>
      </c>
      <c r="AG285" s="1">
        <v>6</v>
      </c>
      <c r="AH285" s="1">
        <v>5</v>
      </c>
      <c r="AI285" s="1">
        <v>5</v>
      </c>
      <c r="AJ285" s="52">
        <v>210000</v>
      </c>
      <c r="AK285" s="9">
        <f>($L$3*(L285-$Q$1)/$Q$2+$M$3*(M285-$R$1)/$R$2+$N$3*(N285-$S$1)/$S$2+$O$3*(O285-$T$1)/$T$2+$P$3*(P285-$U$1)/$U$2)/(SUM($L$3:$P$3))</f>
        <v>-1.3371119181848155</v>
      </c>
      <c r="AL285" s="9">
        <f>($L$3*(Q285-$Q$1)/$Q$2+$M$3*(R285-$R$1)/$R$2+$N$3*(S285-$S$1)/$S$2+$O$3*(T285-$T$1)/$T$2+$P$3*(U285-$U$1)/$U$2)/(SUM($L$3:$P$3))</f>
        <v>-0.70267775328390236</v>
      </c>
      <c r="AM285">
        <f>IF(AVERAGE(AG285:AH285)&gt;9,1,0)+IF(AVERAGE(AG285:AH285)&gt;7,1,0)+IF(AG285&gt;7,1,0)+IF(AH285&gt;7,1,0)+IF(AI285&gt;8,1,0)+IF(AI285&gt;6,1,0)</f>
        <v>0</v>
      </c>
      <c r="AN285" s="6">
        <f>MIN(2,IF(OR(Y285="-",X285&lt;5),0,1+IF(Y285&gt;7,1+IF(X285&gt;7,0.25,0),IF(Y285&gt;4,0.5+IF(X285&gt;7,0.25,0),0+IF(X285&gt;7,0.25))))+IF(Z285="-",0,IF(Z285&gt;9,0.5,IF(Z285&gt;7,0.25,0)))+IF(AA285="-",0,IF(AA285&gt;7,1.1,IF(AA285&gt;4,0.6,0)))+IF(OR(AB285="-",V285&lt;5),0,IF(AB285&gt;7,1+IF(V285&gt;7,0.25,0),IF(AB285&gt;4,0.5+IF(V285&gt;7,0.25,0),0)))+IF(AC285="-",0,IF(AC285&gt;7,1.5,IF(AC285&gt;4,1,0)))+IF(AD285="-",0,IF(AD285&gt;9,0.5,IF(AD285&gt;7,0.25,0)))+IF(AE285="-",0,IF(AE285&gt;7,1.25,IF(AE285&gt;4,0.75,0)))+IF(OR(AF285="-",W285&lt;4),0,IF(AF285&gt;7,1+IF(W285&gt;7,0.15,0),IF(AF285&gt;4,0.5+IF(W285&gt;7,0.15,0),0))))</f>
        <v>0.6</v>
      </c>
      <c r="AO285" s="9">
        <f>($AK$3*AK285+$AL$3*AL285+$AM$3*AM285+$AN$3*AN285)+$J$3*VLOOKUP(J285,COND!$A$2:$C$7,2,FALSE)+$K$3*VLOOKUP(K285,COND!$A$2:$C$7,3,FALSE)</f>
        <v>1.5341557687746903</v>
      </c>
      <c r="AP285" s="37">
        <f>STANDARDIZE(AO285,AVERAGE($AO$5:$AO$1295),STDEVP($AO$5:$AO$1295))</f>
        <v>-1.268699918662668</v>
      </c>
      <c r="AQ285" t="str">
        <f>IF(AND(Y285&lt;&gt;"-",X285&gt;1),"C",IF(AA285=MAX(AA285:AC285),"2B",IF(AC285=MAX(AA285:AC285),"SS",IF(OR(AB285=MAX(Z285:AC285),AND(AB285&lt;&gt;"-",AB285&gt;4,V285&gt;5)),"3B",IF(AE285=MAX(AD285:AF285),"CF",IF(AND(AF285=MAX(AD285,AF285),AND(W285&gt;5,AD285&lt;&gt;"-")),"RF",IF(AD285&lt;&gt;"-","LF",IF(Z285&lt;&gt;"-","1B","DH"))))))))</f>
        <v>2B</v>
      </c>
      <c r="AR285" t="s">
        <v>35</v>
      </c>
      <c r="AT285" t="s">
        <v>155</v>
      </c>
      <c r="AU285" t="str">
        <f>IF(AND($Q285&gt;=6,AVERAGE($S285:$T285)&gt;=6),"Likely",IF(OR($Q285&gt;6,AND($Q285=6,AVERAGE($S285:$T285)&gt;=3),AND($Q285&gt;=5,AVERAGE($S285:$T285)&gt;=5),AVERAGE($Q285,$S285:$T285)&gt;5),"Possible","Unlikely"))</f>
        <v>Unlikely</v>
      </c>
      <c r="AW285" t="str">
        <f>IF(VLOOKUP($B285,'Draft List'!$D$4:$AB$2598,AW$3,FALSE)&lt;&gt;0,VLOOKUP($B285,'Draft List'!$D$4:$AB$2598,AW$3,FALSE),"")</f>
        <v/>
      </c>
      <c r="AX285" t="str">
        <f>IF(VLOOKUP($B285,'Draft List'!$D$4:$AB$2598,AX$3,FALSE)&lt;&gt;0,VLOOKUP($B285,'Draft List'!$D$4:$AB$2598,AX$3,FALSE),"")</f>
        <v/>
      </c>
      <c r="AY285" t="str">
        <f>IF(VLOOKUP($B285,'Draft List'!$D$4:$AB$2598,AY$3,FALSE)&lt;&gt;0,VLOOKUP($B285,'Draft List'!$D$4:$AB$2598,AY$3,FALSE),"")</f>
        <v/>
      </c>
    </row>
    <row r="286" spans="1:51">
      <c r="A286" t="str">
        <f>IF(C286="C","C-",C286)&amp;D286&amp;E286</f>
        <v>3BCharlie O'Neill21</v>
      </c>
      <c r="B286">
        <f>VLOOKUP($A286,draft_listing_batters_stats!$A$1:$B$1324,2,FALSE)</f>
        <v>2328</v>
      </c>
      <c r="C286" s="1" t="s">
        <v>2061</v>
      </c>
      <c r="D286" s="1" t="s">
        <v>1388</v>
      </c>
      <c r="E286" s="1">
        <v>21</v>
      </c>
      <c r="F286" s="1" t="s">
        <v>2022</v>
      </c>
      <c r="G286" s="1" t="s">
        <v>2022</v>
      </c>
      <c r="H286" s="1" t="s">
        <v>2033</v>
      </c>
      <c r="I286" s="1" t="s">
        <v>2033</v>
      </c>
      <c r="J286" s="1" t="s">
        <v>2036</v>
      </c>
      <c r="K286" s="1" t="s">
        <v>2026</v>
      </c>
      <c r="L286" s="1">
        <v>3</v>
      </c>
      <c r="M286" s="1">
        <v>3</v>
      </c>
      <c r="N286" s="1">
        <v>1</v>
      </c>
      <c r="O286" s="1">
        <v>2</v>
      </c>
      <c r="P286" s="1">
        <v>2</v>
      </c>
      <c r="Q286" s="1">
        <v>4</v>
      </c>
      <c r="R286" s="1">
        <v>4</v>
      </c>
      <c r="S286" s="1">
        <v>1</v>
      </c>
      <c r="T286" s="1">
        <v>2</v>
      </c>
      <c r="U286" s="1">
        <v>4</v>
      </c>
      <c r="V286" s="1">
        <v>7</v>
      </c>
      <c r="W286" s="1">
        <v>2</v>
      </c>
      <c r="X286" s="1">
        <v>1</v>
      </c>
      <c r="Y286" s="1" t="s">
        <v>2027</v>
      </c>
      <c r="Z286" s="1" t="s">
        <v>2027</v>
      </c>
      <c r="AA286" s="1" t="s">
        <v>2027</v>
      </c>
      <c r="AB286" s="1">
        <v>6</v>
      </c>
      <c r="AC286" s="1">
        <v>2</v>
      </c>
      <c r="AD286" s="1" t="s">
        <v>2027</v>
      </c>
      <c r="AE286" s="1" t="s">
        <v>2027</v>
      </c>
      <c r="AF286" s="1" t="s">
        <v>2027</v>
      </c>
      <c r="AG286" s="1">
        <v>4</v>
      </c>
      <c r="AH286" s="1">
        <v>3</v>
      </c>
      <c r="AI286" s="1">
        <v>3</v>
      </c>
      <c r="AJ286" s="52" t="s">
        <v>2029</v>
      </c>
      <c r="AK286" s="9">
        <f>($L$3*(L286-$Q$1)/$Q$2+$M$3*(M286-$R$1)/$R$2+$N$3*(N286-$S$1)/$S$2+$O$3*(O286-$T$1)/$T$2+$P$3*(P286-$U$1)/$U$2)/(SUM($L$3:$P$3))</f>
        <v>-1.207386028358151</v>
      </c>
      <c r="AL286" s="9">
        <f>($L$3*(Q286-$Q$1)/$Q$2+$M$3*(R286-$R$1)/$R$2+$N$3*(S286-$S$1)/$S$2+$O$3*(T286-$T$1)/$T$2+$P$3*(U286-$U$1)/$U$2)/(SUM($L$3:$P$3))</f>
        <v>-0.75373763290260587</v>
      </c>
      <c r="AM286">
        <f>IF(AVERAGE(AG286:AH286)&gt;9,1,0)+IF(AVERAGE(AG286:AH286)&gt;7,1,0)+IF(AG286&gt;7,1,0)+IF(AH286&gt;7,1,0)+IF(AI286&gt;8,1,0)+IF(AI286&gt;6,1,0)</f>
        <v>0</v>
      </c>
      <c r="AN286" s="6">
        <f>MIN(2,IF(OR(Y286="-",X286&lt;5),0,1+IF(Y286&gt;7,1+IF(X286&gt;7,0.25,0),IF(Y286&gt;4,0.5+IF(X286&gt;7,0.25,0),0+IF(X286&gt;7,0.25))))+IF(Z286="-",0,IF(Z286&gt;9,0.5,IF(Z286&gt;7,0.25,0)))+IF(AA286="-",0,IF(AA286&gt;7,1.1,IF(AA286&gt;4,0.6,0)))+IF(OR(AB286="-",V286&lt;5),0,IF(AB286&gt;7,1+IF(V286&gt;7,0.25,0),IF(AB286&gt;4,0.5+IF(V286&gt;7,0.25,0),0)))+IF(AC286="-",0,IF(AC286&gt;7,1.5,IF(AC286&gt;4,1,0)))+IF(AD286="-",0,IF(AD286&gt;9,0.5,IF(AD286&gt;7,0.25,0)))+IF(AE286="-",0,IF(AE286&gt;7,1.25,IF(AE286&gt;4,0.75,0)))+IF(OR(AF286="-",W286&lt;4),0,IF(AF286&gt;7,1+IF(W286&gt;7,0.15,0),IF(AF286&gt;4,0.5+IF(W286&gt;7,0.15,0),0))))</f>
        <v>0.5</v>
      </c>
      <c r="AO286" s="9">
        <f>($AK$3*AK286+$AL$3*AL286+$AM$3*AM286+$AN$3*AN286)+$J$3*VLOOKUP(J286,COND!$A$2:$C$7,2,FALSE)+$K$3*VLOOKUP(K286,COND!$A$2:$C$7,3,FALSE)</f>
        <v>1.484409802332916</v>
      </c>
      <c r="AP286" s="37">
        <f>STANDARDIZE(AO286,AVERAGE($AO$5:$AO$1295),STDEVP($AO$5:$AO$1295))</f>
        <v>-1.2756108100372132</v>
      </c>
      <c r="AQ286" t="str">
        <f>IF(AND(Y286&lt;&gt;"-",X286&gt;1),"C",IF(AA286=MAX(AA286:AC286),"2B",IF(AC286=MAX(AA286:AC286),"SS",IF(OR(AB286=MAX(Z286:AC286),AND(AB286&lt;&gt;"-",AB286&gt;4,V286&gt;5)),"3B",IF(AE286=MAX(AD286:AF286),"CF",IF(AND(AF286=MAX(AD286,AF286),AND(W286&gt;5,AD286&lt;&gt;"-")),"RF",IF(AD286&lt;&gt;"-","LF",IF(Z286&lt;&gt;"-","1B","DH"))))))))</f>
        <v>3B</v>
      </c>
      <c r="AR286" t="s">
        <v>35</v>
      </c>
      <c r="AU286" t="str">
        <f>IF(AND($Q286&gt;=6,AVERAGE($S286:$T286)&gt;=6),"Likely",IF(OR($Q286&gt;6,AND($Q286=6,AVERAGE($S286:$T286)&gt;=3),AND($Q286&gt;=5,AVERAGE($S286:$T286)&gt;=5),AVERAGE($Q286,$S286:$T286)&gt;5),"Possible","Unlikely"))</f>
        <v>Unlikely</v>
      </c>
      <c r="AW286" t="str">
        <f>IF(VLOOKUP($B286,'Draft List'!$D$4:$AB$2598,AW$3,FALSE)&lt;&gt;0,VLOOKUP($B286,'Draft List'!$D$4:$AB$2598,AW$3,FALSE),"")</f>
        <v/>
      </c>
      <c r="AX286" t="str">
        <f>IF(VLOOKUP($B286,'Draft List'!$D$4:$AB$2598,AX$3,FALSE)&lt;&gt;0,VLOOKUP($B286,'Draft List'!$D$4:$AB$2598,AX$3,FALSE),"")</f>
        <v/>
      </c>
      <c r="AY286" t="str">
        <f>IF(VLOOKUP($B286,'Draft List'!$D$4:$AB$2598,AY$3,FALSE)&lt;&gt;0,VLOOKUP($B286,'Draft List'!$D$4:$AB$2598,AY$3,FALSE),"")</f>
        <v/>
      </c>
    </row>
    <row r="287" spans="1:51">
      <c r="A287" t="str">
        <f>IF(C287="C","C-",C287)&amp;D287&amp;E287</f>
        <v>LFJerry Wicklund21</v>
      </c>
      <c r="B287">
        <f>VLOOKUP($A287,draft_listing_batters_stats!$A$1:$B$1324,2,FALSE)</f>
        <v>2533</v>
      </c>
      <c r="C287" s="1" t="s">
        <v>2035</v>
      </c>
      <c r="D287" s="1" t="s">
        <v>1254</v>
      </c>
      <c r="E287" s="1">
        <v>21</v>
      </c>
      <c r="F287" s="1" t="s">
        <v>2049</v>
      </c>
      <c r="G287" s="1" t="s">
        <v>2022</v>
      </c>
      <c r="H287" s="1" t="s">
        <v>2033</v>
      </c>
      <c r="I287" s="1" t="s">
        <v>2033</v>
      </c>
      <c r="J287" s="1" t="s">
        <v>2040</v>
      </c>
      <c r="K287" s="1" t="s">
        <v>2026</v>
      </c>
      <c r="L287" s="1">
        <v>2</v>
      </c>
      <c r="M287" s="1">
        <v>2</v>
      </c>
      <c r="N287" s="1">
        <v>1</v>
      </c>
      <c r="O287" s="1">
        <v>1</v>
      </c>
      <c r="P287" s="1">
        <v>1</v>
      </c>
      <c r="Q287" s="1">
        <v>4</v>
      </c>
      <c r="R287" s="1">
        <v>3</v>
      </c>
      <c r="S287" s="1">
        <v>1</v>
      </c>
      <c r="T287" s="1">
        <v>2</v>
      </c>
      <c r="U287" s="1">
        <v>5</v>
      </c>
      <c r="V287" s="1">
        <v>1</v>
      </c>
      <c r="W287" s="1">
        <v>6</v>
      </c>
      <c r="X287" s="1">
        <v>1</v>
      </c>
      <c r="Y287" s="1" t="s">
        <v>2027</v>
      </c>
      <c r="Z287" s="1" t="s">
        <v>2027</v>
      </c>
      <c r="AA287" s="1" t="s">
        <v>2027</v>
      </c>
      <c r="AB287" s="1" t="s">
        <v>2027</v>
      </c>
      <c r="AC287" s="1" t="s">
        <v>2027</v>
      </c>
      <c r="AD287" s="1">
        <v>2</v>
      </c>
      <c r="AE287" s="1" t="s">
        <v>2027</v>
      </c>
      <c r="AF287" s="1">
        <v>4</v>
      </c>
      <c r="AG287" s="1">
        <v>7</v>
      </c>
      <c r="AH287" s="1">
        <v>10</v>
      </c>
      <c r="AI287" s="1">
        <v>10</v>
      </c>
      <c r="AJ287" s="52" t="s">
        <v>2029</v>
      </c>
      <c r="AK287" s="9">
        <f>($L$3*(L287-$Q$1)/$Q$2+$M$3*(M287-$R$1)/$R$2+$N$3*(N287-$S$1)/$S$2+$O$3*(O287-$T$1)/$T$2+$P$3*(P287-$U$1)/$U$2)/(SUM($L$3:$P$3))</f>
        <v>-1.7107276340061941</v>
      </c>
      <c r="AL287" s="9">
        <f>($L$3*(Q287-$Q$1)/$Q$2+$M$3*(R287-$R$1)/$R$2+$N$3*(S287-$S$1)/$S$2+$O$3*(T287-$T$1)/$T$2+$P$3*(U287-$U$1)/$U$2)/(SUM($L$3:$P$3))</f>
        <v>-0.76478117270422585</v>
      </c>
      <c r="AM287">
        <f>IF(AVERAGE(AG287:AH287)&gt;9,1,0)+IF(AVERAGE(AG287:AH287)&gt;7,1,0)+IF(AG287&gt;7,1,0)+IF(AH287&gt;7,1,0)+IF(AI287&gt;8,1,0)+IF(AI287&gt;6,1,0)</f>
        <v>4</v>
      </c>
      <c r="AN287" s="6">
        <f>MIN(2,IF(OR(Y287="-",X287&lt;5),0,1+IF(Y287&gt;7,1+IF(X287&gt;7,0.25,0),IF(Y287&gt;4,0.5+IF(X287&gt;7,0.25,0),0+IF(X287&gt;7,0.25))))+IF(Z287="-",0,IF(Z287&gt;9,0.5,IF(Z287&gt;7,0.25,0)))+IF(AA287="-",0,IF(AA287&gt;7,1.1,IF(AA287&gt;4,0.6,0)))+IF(OR(AB287="-",V287&lt;5),0,IF(AB287&gt;7,1+IF(V287&gt;7,0.25,0),IF(AB287&gt;4,0.5+IF(V287&gt;7,0.25,0),0)))+IF(AC287="-",0,IF(AC287&gt;7,1.5,IF(AC287&gt;4,1,0)))+IF(AD287="-",0,IF(AD287&gt;9,0.5,IF(AD287&gt;7,0.25,0)))+IF(AE287="-",0,IF(AE287&gt;7,1.25,IF(AE287&gt;4,0.75,0)))+IF(OR(AF287="-",W287&lt;4),0,IF(AF287&gt;7,1+IF(W287&gt;7,0.15,0),IF(AF287&gt;4,0.5+IF(W287&gt;7,0.15,0),0))))</f>
        <v>0</v>
      </c>
      <c r="AO287" s="9">
        <f>($AK$3*AK287+$AL$3*AL287+$AM$3*AM287+$AN$3*AN287)+$J$3*VLOOKUP(J287,COND!$A$2:$C$7,2,FALSE)+$K$3*VLOOKUP(K287,COND!$A$2:$C$7,3,FALSE)</f>
        <v>0.71821983081533602</v>
      </c>
      <c r="AP287" s="37">
        <f>STANDARDIZE(AO287,AVERAGE($AO$5:$AO$1295),STDEVP($AO$5:$AO$1295))</f>
        <v>-1.3820527196867463</v>
      </c>
      <c r="AQ287" t="str">
        <f>IF(AND(Y287&lt;&gt;"-",X287&gt;1),"C",IF(AA287=MAX(AA287:AC287),"2B",IF(AC287=MAX(AA287:AC287),"SS",IF(OR(AB287=MAX(Z287:AC287),AND(AB287&lt;&gt;"-",AB287&gt;4,V287&gt;5)),"3B",IF(AE287=MAX(AD287:AF287),"CF",IF(AND(AF287=MAX(AD287,AF287),AND(W287&gt;5,AD287&lt;&gt;"-")),"RF",IF(AD287&lt;&gt;"-","LF",IF(Z287&lt;&gt;"-","1B","DH"))))))))</f>
        <v>RF</v>
      </c>
      <c r="AR287" t="s">
        <v>35</v>
      </c>
      <c r="AU287" t="str">
        <f>IF(AND($Q287&gt;=6,AVERAGE($S287:$T287)&gt;=6),"Likely",IF(OR($Q287&gt;6,AND($Q287=6,AVERAGE($S287:$T287)&gt;=3),AND($Q287&gt;=5,AVERAGE($S287:$T287)&gt;=5),AVERAGE($Q287,$S287:$T287)&gt;5),"Possible","Unlikely"))</f>
        <v>Unlikely</v>
      </c>
      <c r="AW287" t="e">
        <f>IF(VLOOKUP($B287,'Draft List'!$D$4:$AB$2598,AW$3,FALSE)&lt;&gt;0,VLOOKUP($B287,'Draft List'!$D$4:$AB$2598,AW$3,FALSE),"")</f>
        <v>#N/A</v>
      </c>
      <c r="AX287" t="e">
        <f>IF(VLOOKUP($B287,'Draft List'!$D$4:$AB$2598,AX$3,FALSE)&lt;&gt;0,VLOOKUP($B287,'Draft List'!$D$4:$AB$2598,AX$3,FALSE),"")</f>
        <v>#N/A</v>
      </c>
      <c r="AY287" t="e">
        <f>IF(VLOOKUP($B287,'Draft List'!$D$4:$AB$2598,AY$3,FALSE)&lt;&gt;0,VLOOKUP($B287,'Draft List'!$D$4:$AB$2598,AY$3,FALSE),"")</f>
        <v>#N/A</v>
      </c>
    </row>
    <row r="288" spans="1:51">
      <c r="A288" t="str">
        <f>IF(C288="C","C-",C288)&amp;D288&amp;E288</f>
        <v>CFBrian Vincent18</v>
      </c>
      <c r="B288">
        <f>VLOOKUP($A288,draft_listing_batters_stats!$A$1:$B$1324,2,FALSE)</f>
        <v>32</v>
      </c>
      <c r="C288" s="1" t="s">
        <v>2079</v>
      </c>
      <c r="D288" s="1" t="s">
        <v>1243</v>
      </c>
      <c r="E288" s="1">
        <v>18</v>
      </c>
      <c r="F288" s="1" t="s">
        <v>2038</v>
      </c>
      <c r="G288" s="1" t="s">
        <v>2038</v>
      </c>
      <c r="H288" s="1" t="s">
        <v>2033</v>
      </c>
      <c r="I288" s="31" t="s">
        <v>2033</v>
      </c>
      <c r="J288" s="1" t="s">
        <v>2040</v>
      </c>
      <c r="K288" s="31" t="s">
        <v>2040</v>
      </c>
      <c r="L288" s="1">
        <v>1</v>
      </c>
      <c r="M288" s="1">
        <v>2</v>
      </c>
      <c r="N288" s="1">
        <v>1</v>
      </c>
      <c r="O288" s="1">
        <v>1</v>
      </c>
      <c r="P288" s="31">
        <v>1</v>
      </c>
      <c r="Q288" s="1">
        <v>4</v>
      </c>
      <c r="R288" s="1">
        <v>4</v>
      </c>
      <c r="S288" s="1">
        <v>2</v>
      </c>
      <c r="T288" s="1">
        <v>1</v>
      </c>
      <c r="U288" s="31">
        <v>4</v>
      </c>
      <c r="V288" s="1">
        <v>1</v>
      </c>
      <c r="W288" s="1">
        <v>6</v>
      </c>
      <c r="X288" s="31">
        <v>2</v>
      </c>
      <c r="Y288" s="1" t="s">
        <v>2027</v>
      </c>
      <c r="Z288" s="1" t="s">
        <v>2027</v>
      </c>
      <c r="AA288" s="1" t="s">
        <v>2027</v>
      </c>
      <c r="AB288" s="1" t="s">
        <v>2027</v>
      </c>
      <c r="AC288" s="1" t="s">
        <v>2027</v>
      </c>
      <c r="AD288" s="1">
        <v>2</v>
      </c>
      <c r="AE288" s="1">
        <v>3</v>
      </c>
      <c r="AF288" s="31">
        <v>1</v>
      </c>
      <c r="AG288" s="1">
        <v>8</v>
      </c>
      <c r="AH288" s="1">
        <v>8</v>
      </c>
      <c r="AI288" s="31">
        <v>9</v>
      </c>
      <c r="AJ288" s="53" t="s">
        <v>2029</v>
      </c>
      <c r="AK288" s="9">
        <f>($L$3*(L288-$Q$1)/$Q$2+$M$3*(M288-$R$1)/$R$2+$N$3*(N288-$S$1)/$S$2+$O$3*(O288-$T$1)/$T$2+$P$3*(P288-$U$1)/$U$2)/(SUM($L$3:$P$3))</f>
        <v>-2.0332834702088682</v>
      </c>
      <c r="AL288" s="9">
        <f>($L$3*(Q288-$Q$1)/$Q$2+$M$3*(R288-$R$1)/$R$2+$N$3*(S288-$S$1)/$S$2+$O$3*(T288-$T$1)/$T$2+$P$3*(U288-$U$1)/$U$2)/(SUM($L$3:$P$3))</f>
        <v>-0.7603856888882855</v>
      </c>
      <c r="AM288">
        <f>IF(AVERAGE(AG288:AH288)&gt;9,1,0)+IF(AVERAGE(AG288:AH288)&gt;7,1,0)+IF(AG288&gt;7,1,0)+IF(AH288&gt;7,1,0)+IF(AI288&gt;8,1,0)+IF(AI288&gt;6,1,0)</f>
        <v>5</v>
      </c>
      <c r="AN288" s="6">
        <f>MIN(2,IF(OR(Y288="-",X288&lt;5),0,1+IF(Y288&gt;7,1+IF(X288&gt;7,0.25,0),IF(Y288&gt;4,0.5+IF(X288&gt;7,0.25,0),0+IF(X288&gt;7,0.25))))+IF(Z288="-",0,IF(Z288&gt;9,0.5,IF(Z288&gt;7,0.25,0)))+IF(AA288="-",0,IF(AA288&gt;7,1.1,IF(AA288&gt;4,0.6,0)))+IF(OR(AB288="-",V288&lt;5),0,IF(AB288&gt;7,1+IF(V288&gt;7,0.25,0),IF(AB288&gt;4,0.5+IF(V288&gt;7,0.25,0),0)))+IF(AC288="-",0,IF(AC288&gt;7,1.5,IF(AC288&gt;4,1,0)))+IF(AD288="-",0,IF(AD288&gt;9,0.5,IF(AD288&gt;7,0.25,0)))+IF(AE288="-",0,IF(AE288&gt;7,1.25,IF(AE288&gt;4,0.75,0)))+IF(OR(AF288="-",W288&lt;4),0,IF(AF288&gt;7,1+IF(W288&gt;7,0.15,0),IF(AF288&gt;4,0.5+IF(W288&gt;7,0.15,0),0))))</f>
        <v>0</v>
      </c>
      <c r="AO288" s="9">
        <f>($AK$3*AK288+$AL$3*AL288+$AM$3*AM288+$AN$3*AN288)+$J$3*VLOOKUP(J288,COND!$A$2:$C$7,2,FALSE)+$K$3*VLOOKUP(K288,COND!$A$2:$C$7,3,FALSE)</f>
        <v>0.50537671965301989</v>
      </c>
      <c r="AP288" s="37">
        <f>STANDARDIZE(AO288,AVERAGE($AO$5:$AO$1295),STDEVP($AO$5:$AO$1295))</f>
        <v>-1.4116216621815059</v>
      </c>
      <c r="AQ288" t="str">
        <f>IF(AND(Y288&lt;&gt;"-",X288&gt;1),"C",IF(AA288=MAX(AA288:AC288),"2B",IF(AC288=MAX(AA288:AC288),"SS",IF(OR(AB288=MAX(Z288:AC288),AND(AB288&lt;&gt;"-",AB288&gt;4,V288&gt;5)),"3B",IF(AE288=MAX(AD288:AF288),"CF",IF(AND(AF288=MAX(AD288,AF288),AND(W288&gt;5,AD288&lt;&gt;"-")),"RF",IF(AD288&lt;&gt;"-","LF",IF(Z288&lt;&gt;"-","1B","DH"))))))))</f>
        <v>CF</v>
      </c>
      <c r="AR288" t="s">
        <v>35</v>
      </c>
      <c r="AU288" t="str">
        <f>IF(AND($Q288&gt;=6,AVERAGE($S288:$T288)&gt;=6),"Likely",IF(OR($Q288&gt;6,AND($Q288=6,AVERAGE($S288:$T288)&gt;=3),AND($Q288&gt;=5,AVERAGE($S288:$T288)&gt;=5),AVERAGE($Q288,$S288:$T288)&gt;5),"Possible","Unlikely"))</f>
        <v>Unlikely</v>
      </c>
      <c r="AW288" t="str">
        <f>IF(VLOOKUP($B288,'Draft List'!$D$4:$AB$2598,AW$3,FALSE)&lt;&gt;0,VLOOKUP($B288,'Draft List'!$D$4:$AB$2598,AW$3,FALSE),"")</f>
        <v/>
      </c>
      <c r="AX288" t="str">
        <f>IF(VLOOKUP($B288,'Draft List'!$D$4:$AB$2598,AX$3,FALSE)&lt;&gt;0,VLOOKUP($B288,'Draft List'!$D$4:$AB$2598,AX$3,FALSE),"")</f>
        <v/>
      </c>
      <c r="AY288" t="str">
        <f>IF(VLOOKUP($B288,'Draft List'!$D$4:$AB$2598,AY$3,FALSE)&lt;&gt;0,VLOOKUP($B288,'Draft List'!$D$4:$AB$2598,AY$3,FALSE),"")</f>
        <v/>
      </c>
    </row>
    <row r="289" spans="1:51">
      <c r="A289" t="str">
        <f>IF(C289="C","C-",C289)&amp;D289&amp;E289</f>
        <v>2BBob Vance21</v>
      </c>
      <c r="B289">
        <f>VLOOKUP($A289,draft_listing_batters_stats!$A$1:$B$1324,2,FALSE)</f>
        <v>8166</v>
      </c>
      <c r="C289" s="1" t="s">
        <v>2069</v>
      </c>
      <c r="D289" s="1" t="s">
        <v>1237</v>
      </c>
      <c r="E289" s="1">
        <v>21</v>
      </c>
      <c r="F289" s="1" t="s">
        <v>2022</v>
      </c>
      <c r="G289" s="1" t="s">
        <v>2022</v>
      </c>
      <c r="H289" s="1" t="s">
        <v>2033</v>
      </c>
      <c r="I289" s="31" t="s">
        <v>2033</v>
      </c>
      <c r="J289" s="1" t="s">
        <v>2040</v>
      </c>
      <c r="K289" s="31" t="s">
        <v>2040</v>
      </c>
      <c r="L289" s="1">
        <v>3</v>
      </c>
      <c r="M289" s="1">
        <v>2</v>
      </c>
      <c r="N289" s="1">
        <v>1</v>
      </c>
      <c r="O289" s="1">
        <v>1</v>
      </c>
      <c r="P289" s="31">
        <v>2</v>
      </c>
      <c r="Q289" s="1">
        <v>4</v>
      </c>
      <c r="R289" s="1">
        <v>2</v>
      </c>
      <c r="S289" s="1">
        <v>1</v>
      </c>
      <c r="T289" s="1">
        <v>1</v>
      </c>
      <c r="U289" s="31">
        <v>4</v>
      </c>
      <c r="V289" s="1">
        <v>9</v>
      </c>
      <c r="W289" s="1">
        <v>8</v>
      </c>
      <c r="X289" s="31">
        <v>1</v>
      </c>
      <c r="Y289" s="1" t="s">
        <v>2027</v>
      </c>
      <c r="Z289" s="1">
        <v>6</v>
      </c>
      <c r="AA289" s="1">
        <v>3</v>
      </c>
      <c r="AB289" s="1">
        <v>4</v>
      </c>
      <c r="AC289" s="1">
        <v>3</v>
      </c>
      <c r="AD289" s="1">
        <v>4</v>
      </c>
      <c r="AE289" s="1">
        <v>1</v>
      </c>
      <c r="AF289" s="31">
        <v>3</v>
      </c>
      <c r="AG289" s="1">
        <v>8</v>
      </c>
      <c r="AH289" s="1">
        <v>7</v>
      </c>
      <c r="AI289" s="31">
        <v>6</v>
      </c>
      <c r="AJ289" s="53" t="s">
        <v>2029</v>
      </c>
      <c r="AK289" s="9">
        <f>($L$3*(L289-$Q$1)/$Q$2+$M$3*(M289-$R$1)/$R$2+$N$3*(N289-$S$1)/$S$2+$O$3*(O289-$T$1)/$T$2+$P$3*(P289-$U$1)/$U$2)/(SUM($L$3:$P$3))</f>
        <v>-1.3481554579864357</v>
      </c>
      <c r="AL289" s="9">
        <f>($L$3*(Q289-$Q$1)/$Q$2+$M$3*(R289-$R$1)/$R$2+$N$3*(S289-$S$1)/$S$2+$O$3*(T289-$T$1)/$T$2+$P$3*(U289-$U$1)/$U$2)/(SUM($L$3:$P$3))</f>
        <v>-0.9455669421495938</v>
      </c>
      <c r="AM289">
        <f>IF(AVERAGE(AG289:AH289)&gt;9,1,0)+IF(AVERAGE(AG289:AH289)&gt;7,1,0)+IF(AG289&gt;7,1,0)+IF(AH289&gt;7,1,0)+IF(AI289&gt;8,1,0)+IF(AI289&gt;6,1,0)</f>
        <v>2</v>
      </c>
      <c r="AN289" s="6">
        <f>MIN(2,IF(OR(Y289="-",X289&lt;5),0,1+IF(Y289&gt;7,1+IF(X289&gt;7,0.25,0),IF(Y289&gt;4,0.5+IF(X289&gt;7,0.25,0),0+IF(X289&gt;7,0.25))))+IF(Z289="-",0,IF(Z289&gt;9,0.5,IF(Z289&gt;7,0.25,0)))+IF(AA289="-",0,IF(AA289&gt;7,1.1,IF(AA289&gt;4,0.6,0)))+IF(OR(AB289="-",V289&lt;5),0,IF(AB289&gt;7,1+IF(V289&gt;7,0.25,0),IF(AB289&gt;4,0.5+IF(V289&gt;7,0.25,0),0)))+IF(AC289="-",0,IF(AC289&gt;7,1.5,IF(AC289&gt;4,1,0)))+IF(AD289="-",0,IF(AD289&gt;9,0.5,IF(AD289&gt;7,0.25,0)))+IF(AE289="-",0,IF(AE289&gt;7,1.25,IF(AE289&gt;4,0.75,0)))+IF(OR(AF289="-",W289&lt;4),0,IF(AF289&gt;7,1+IF(W289&gt;7,0.15,0),IF(AF289&gt;4,0.5+IF(W289&gt;7,0.15,0),0))))</f>
        <v>0</v>
      </c>
      <c r="AO289" s="9">
        <f>($AK$3*AK289+$AL$3*AL289+$AM$3*AM289+$AN$3*AN289)+$J$3*VLOOKUP(J289,COND!$A$2:$C$7,2,FALSE)+$K$3*VLOOKUP(K289,COND!$A$2:$C$7,3,FALSE)</f>
        <v>-2.148285518260435</v>
      </c>
      <c r="AP289" s="37">
        <f>STANDARDIZE(AO289,AVERAGE($AO$5:$AO$1295),STDEVP($AO$5:$AO$1295))</f>
        <v>-1.7802781138039356</v>
      </c>
      <c r="AQ289" t="str">
        <f>IF(AND(Y289&lt;&gt;"-",X289&gt;1),"C",IF(AA289=MAX(AA289:AC289),"2B",IF(AC289=MAX(AA289:AC289),"SS",IF(OR(AB289=MAX(Z289:AC289),AND(AB289&lt;&gt;"-",AB289&gt;4,V289&gt;5)),"3B",IF(AE289=MAX(AD289:AF289),"CF",IF(AND(AF289=MAX(AD289,AF289),AND(W289&gt;5,AD289&lt;&gt;"-")),"RF",IF(AD289&lt;&gt;"-","LF",IF(Z289&lt;&gt;"-","1B","DH"))))))))</f>
        <v>LF</v>
      </c>
      <c r="AR289" t="s">
        <v>35</v>
      </c>
      <c r="AU289" t="str">
        <f>IF(AND($Q289&gt;=6,AVERAGE($S289:$T289)&gt;=6),"Likely",IF(OR($Q289&gt;6,AND($Q289=6,AVERAGE($S289:$T289)&gt;=3),AND($Q289&gt;=5,AVERAGE($S289:$T289)&gt;=5),AVERAGE($Q289,$S289:$T289)&gt;5),"Possible","Unlikely"))</f>
        <v>Unlikely</v>
      </c>
      <c r="AW289" t="str">
        <f>IF(VLOOKUP($B289,'Draft List'!$D$4:$AB$2598,AW$3,FALSE)&lt;&gt;0,VLOOKUP($B289,'Draft List'!$D$4:$AB$2598,AW$3,FALSE),"")</f>
        <v/>
      </c>
      <c r="AX289" t="str">
        <f>IF(VLOOKUP($B289,'Draft List'!$D$4:$AB$2598,AX$3,FALSE)&lt;&gt;0,VLOOKUP($B289,'Draft List'!$D$4:$AB$2598,AX$3,FALSE),"")</f>
        <v/>
      </c>
      <c r="AY289" t="str">
        <f>IF(VLOOKUP($B289,'Draft List'!$D$4:$AB$2598,AY$3,FALSE)&lt;&gt;0,VLOOKUP($B289,'Draft List'!$D$4:$AB$2598,AY$3,FALSE),"")</f>
        <v/>
      </c>
    </row>
    <row r="290" spans="1:51">
      <c r="A290" t="str">
        <f>IF(C290="C","C-",C290)&amp;D290&amp;E290</f>
        <v>CFMatt Browne21</v>
      </c>
      <c r="B290">
        <f>VLOOKUP($A290,draft_listing_batters_stats!$A$1:$B$1324,2,FALSE)</f>
        <v>8537</v>
      </c>
      <c r="C290" s="1" t="s">
        <v>2079</v>
      </c>
      <c r="D290" s="1" t="s">
        <v>1463</v>
      </c>
      <c r="E290" s="1">
        <v>21</v>
      </c>
      <c r="F290" s="1" t="s">
        <v>2022</v>
      </c>
      <c r="G290" s="1" t="s">
        <v>2038</v>
      </c>
      <c r="H290" s="1" t="s">
        <v>2033</v>
      </c>
      <c r="I290" s="31" t="s">
        <v>2033</v>
      </c>
      <c r="J290" s="1" t="s">
        <v>2026</v>
      </c>
      <c r="K290" s="31" t="s">
        <v>2030</v>
      </c>
      <c r="L290" s="1">
        <v>2</v>
      </c>
      <c r="M290" s="1">
        <v>4</v>
      </c>
      <c r="N290" s="1">
        <v>1</v>
      </c>
      <c r="O290" s="1">
        <v>1</v>
      </c>
      <c r="P290" s="31">
        <v>1</v>
      </c>
      <c r="Q290" s="1">
        <v>3</v>
      </c>
      <c r="R290" s="1">
        <v>4</v>
      </c>
      <c r="S290" s="1">
        <v>1</v>
      </c>
      <c r="T290" s="1">
        <v>1</v>
      </c>
      <c r="U290" s="31">
        <v>4</v>
      </c>
      <c r="V290" s="1">
        <v>1</v>
      </c>
      <c r="W290" s="1">
        <v>9</v>
      </c>
      <c r="X290" s="31">
        <v>1</v>
      </c>
      <c r="Y290" s="1" t="s">
        <v>2027</v>
      </c>
      <c r="Z290" s="1">
        <v>1</v>
      </c>
      <c r="AA290" s="1" t="s">
        <v>2027</v>
      </c>
      <c r="AB290" s="1" t="s">
        <v>2027</v>
      </c>
      <c r="AC290" s="1" t="s">
        <v>2027</v>
      </c>
      <c r="AD290" s="1">
        <v>4</v>
      </c>
      <c r="AE290" s="1">
        <v>1</v>
      </c>
      <c r="AF290" s="31">
        <v>4</v>
      </c>
      <c r="AG290" s="1">
        <v>6</v>
      </c>
      <c r="AH290" s="1">
        <v>6</v>
      </c>
      <c r="AI290" s="31">
        <v>5</v>
      </c>
      <c r="AJ290" s="53" t="s">
        <v>2029</v>
      </c>
      <c r="AK290" s="9">
        <f>($L$3*(L290-$Q$1)/$Q$2+$M$3*(M290-$R$1)/$R$2+$N$3*(N290-$S$1)/$S$2+$O$3*(O290-$T$1)/$T$2+$P$3*(P290-$U$1)/$U$2)/(SUM($L$3:$P$3))</f>
        <v>-1.6086078747687869</v>
      </c>
      <c r="AL290" s="9">
        <f>($L$3*(Q290-$Q$1)/$Q$2+$M$3*(R290-$R$1)/$R$2+$N$3*(S290-$S$1)/$S$2+$O$3*(T290-$T$1)/$T$2+$P$3*(U290-$U$1)/$U$2)/(SUM($L$3:$P$3))</f>
        <v>-1.1660030191148616</v>
      </c>
      <c r="AM290">
        <f>IF(AVERAGE(AG290:AH290)&gt;9,1,0)+IF(AVERAGE(AG290:AH290)&gt;7,1,0)+IF(AG290&gt;7,1,0)+IF(AH290&gt;7,1,0)+IF(AI290&gt;8,1,0)+IF(AI290&gt;6,1,0)</f>
        <v>0</v>
      </c>
      <c r="AN290" s="6">
        <f>MIN(2,IF(OR(Y290="-",X290&lt;5),0,1+IF(Y290&gt;7,1+IF(X290&gt;7,0.25,0),IF(Y290&gt;4,0.5+IF(X290&gt;7,0.25,0),0+IF(X290&gt;7,0.25))))+IF(Z290="-",0,IF(Z290&gt;9,0.5,IF(Z290&gt;7,0.25,0)))+IF(AA290="-",0,IF(AA290&gt;7,1.1,IF(AA290&gt;4,0.6,0)))+IF(OR(AB290="-",V290&lt;5),0,IF(AB290&gt;7,1+IF(V290&gt;7,0.25,0),IF(AB290&gt;4,0.5+IF(V290&gt;7,0.25,0),0)))+IF(AC290="-",0,IF(AC290&gt;7,1.5,IF(AC290&gt;4,1,0)))+IF(AD290="-",0,IF(AD290&gt;9,0.5,IF(AD290&gt;7,0.25,0)))+IF(AE290="-",0,IF(AE290&gt;7,1.25,IF(AE290&gt;4,0.75,0)))+IF(OR(AF290="-",W290&lt;4),0,IF(AF290&gt;7,1+IF(W290&gt;7,0.15,0),IF(AF290&gt;4,0.5+IF(W290&gt;7,0.15,0),0))))</f>
        <v>0</v>
      </c>
      <c r="AO290" s="9">
        <f>($AK$3*AK290+$AL$3*AL290+$AM$3*AM290+$AN$3*AN290)+$J$3*VLOOKUP(J290,COND!$A$2:$C$7,2,FALSE)+$K$3*VLOOKUP(K290,COND!$A$2:$C$7,3,FALSE)</f>
        <v>-4.1528970168552171</v>
      </c>
      <c r="AP290" s="37">
        <f>STANDARDIZE(AO290,AVERAGE($AO$5:$AO$1295),STDEVP($AO$5:$AO$1295))</f>
        <v>-2.0587660658104245</v>
      </c>
      <c r="AQ290" t="str">
        <f>IF(AND(Y290&lt;&gt;"-",X290&gt;1),"C",IF(AA290=MAX(AA290:AC290),"2B",IF(AC290=MAX(AA290:AC290),"SS",IF(OR(AB290=MAX(Z290:AC290),AND(AB290&lt;&gt;"-",AB290&gt;4,V290&gt;5)),"3B",IF(AE290=MAX(AD290:AF290),"CF",IF(AND(AF290=MAX(AD290,AF290),AND(W290&gt;5,AD290&lt;&gt;"-")),"RF",IF(AD290&lt;&gt;"-","LF",IF(Z290&lt;&gt;"-","1B","DH"))))))))</f>
        <v>RF</v>
      </c>
      <c r="AR290" t="s">
        <v>35</v>
      </c>
      <c r="AU290" t="str">
        <f>IF(AND($Q290&gt;=6,AVERAGE($S290:$T290)&gt;=6),"Likely",IF(OR($Q290&gt;6,AND($Q290=6,AVERAGE($S290:$T290)&gt;=3),AND($Q290&gt;=5,AVERAGE($S290:$T290)&gt;=5),AVERAGE($Q290,$S290:$T290)&gt;5),"Possible","Unlikely"))</f>
        <v>Unlikely</v>
      </c>
      <c r="AW290" t="e">
        <f>IF(VLOOKUP($B290,'Draft List'!$D$4:$AB$2598,AW$3,FALSE)&lt;&gt;0,VLOOKUP($B290,'Draft List'!$D$4:$AB$2598,AW$3,FALSE),"")</f>
        <v>#N/A</v>
      </c>
      <c r="AX290" t="e">
        <f>IF(VLOOKUP($B290,'Draft List'!$D$4:$AB$2598,AX$3,FALSE)&lt;&gt;0,VLOOKUP($B290,'Draft List'!$D$4:$AB$2598,AX$3,FALSE),"")</f>
        <v>#N/A</v>
      </c>
      <c r="AY290" t="e">
        <f>IF(VLOOKUP($B290,'Draft List'!$D$4:$AB$2598,AY$3,FALSE)&lt;&gt;0,VLOOKUP($B290,'Draft List'!$D$4:$AB$2598,AY$3,FALSE),"")</f>
        <v>#N/A</v>
      </c>
    </row>
    <row r="291" spans="1:51">
      <c r="C291" s="1"/>
      <c r="D291" s="1"/>
      <c r="E291" s="1"/>
      <c r="F291" s="1"/>
      <c r="G291" s="1"/>
      <c r="H291" s="1"/>
      <c r="I291" s="31"/>
      <c r="J291" s="1"/>
      <c r="K291" s="31"/>
      <c r="L291" s="1"/>
      <c r="M291" s="1"/>
      <c r="N291" s="1"/>
      <c r="O291" s="1"/>
      <c r="P291" s="31"/>
      <c r="Q291" s="1"/>
      <c r="R291" s="1"/>
      <c r="S291" s="1"/>
      <c r="T291" s="1"/>
      <c r="U291" s="31"/>
      <c r="V291" s="1"/>
      <c r="W291" s="1"/>
      <c r="X291" s="31"/>
      <c r="Y291" s="1"/>
      <c r="Z291" s="1"/>
      <c r="AA291" s="1"/>
      <c r="AB291" s="1"/>
      <c r="AC291" s="1"/>
      <c r="AD291" s="1"/>
      <c r="AE291" s="1"/>
      <c r="AF291" s="31"/>
      <c r="AG291" s="1"/>
      <c r="AH291" s="1"/>
      <c r="AI291" s="31"/>
      <c r="AJ291" s="36"/>
      <c r="AK291" s="9"/>
      <c r="AL291" s="9"/>
      <c r="AO291" s="9"/>
      <c r="AP291" s="37"/>
    </row>
    <row r="292" spans="1:51">
      <c r="C292" s="1"/>
      <c r="D292" s="1"/>
      <c r="E292" s="1"/>
      <c r="F292" s="1"/>
      <c r="G292" s="1"/>
      <c r="H292" s="1"/>
      <c r="I292" s="31"/>
      <c r="J292" s="1"/>
      <c r="K292" s="31"/>
      <c r="L292" s="1"/>
      <c r="M292" s="1"/>
      <c r="N292" s="1"/>
      <c r="O292" s="1"/>
      <c r="P292" s="31"/>
      <c r="Q292" s="1"/>
      <c r="R292" s="1"/>
      <c r="S292" s="1"/>
      <c r="T292" s="1"/>
      <c r="U292" s="31"/>
      <c r="V292" s="1"/>
      <c r="W292" s="1"/>
      <c r="X292" s="31"/>
      <c r="Y292" s="1"/>
      <c r="Z292" s="1"/>
      <c r="AA292" s="1"/>
      <c r="AB292" s="1"/>
      <c r="AC292" s="1"/>
      <c r="AD292" s="1"/>
      <c r="AE292" s="1"/>
      <c r="AF292" s="31"/>
      <c r="AG292" s="1"/>
      <c r="AH292" s="1"/>
      <c r="AI292" s="31"/>
      <c r="AJ292" s="36"/>
      <c r="AK292" s="9"/>
      <c r="AL292" s="9"/>
      <c r="AO292" s="9"/>
      <c r="AP292" s="37"/>
    </row>
    <row r="293" spans="1:51">
      <c r="C293" s="1"/>
      <c r="D293" s="1"/>
      <c r="E293" s="1"/>
      <c r="F293" s="1"/>
      <c r="G293" s="1"/>
      <c r="H293" s="1"/>
      <c r="I293" s="31"/>
      <c r="J293" s="1"/>
      <c r="K293" s="31"/>
      <c r="L293" s="1"/>
      <c r="M293" s="1"/>
      <c r="N293" s="1"/>
      <c r="O293" s="1"/>
      <c r="P293" s="31"/>
      <c r="Q293" s="1"/>
      <c r="R293" s="1"/>
      <c r="S293" s="1"/>
      <c r="T293" s="1"/>
      <c r="U293" s="31"/>
      <c r="V293" s="1"/>
      <c r="W293" s="1"/>
      <c r="X293" s="31"/>
      <c r="Y293" s="1"/>
      <c r="Z293" s="1"/>
      <c r="AA293" s="1"/>
      <c r="AB293" s="1"/>
      <c r="AC293" s="1"/>
      <c r="AD293" s="1"/>
      <c r="AE293" s="1"/>
      <c r="AF293" s="31"/>
      <c r="AG293" s="1"/>
      <c r="AH293" s="1"/>
      <c r="AI293" s="31"/>
      <c r="AJ293" s="36"/>
      <c r="AK293" s="9"/>
      <c r="AL293" s="9"/>
      <c r="AO293" s="9"/>
      <c r="AP293" s="37"/>
    </row>
    <row r="294" spans="1:51">
      <c r="C294" s="1"/>
      <c r="D294" s="1"/>
      <c r="E294" s="1"/>
      <c r="F294" s="1"/>
      <c r="G294" s="1"/>
      <c r="H294" s="1"/>
      <c r="I294" s="31"/>
      <c r="J294" s="1"/>
      <c r="K294" s="31"/>
      <c r="L294" s="1"/>
      <c r="M294" s="1"/>
      <c r="N294" s="1"/>
      <c r="O294" s="1"/>
      <c r="P294" s="31"/>
      <c r="Q294" s="1"/>
      <c r="R294" s="1"/>
      <c r="S294" s="1"/>
      <c r="T294" s="1"/>
      <c r="U294" s="31"/>
      <c r="V294" s="1"/>
      <c r="W294" s="1"/>
      <c r="X294" s="31"/>
      <c r="Y294" s="1"/>
      <c r="Z294" s="1"/>
      <c r="AA294" s="1"/>
      <c r="AB294" s="1"/>
      <c r="AC294" s="1"/>
      <c r="AD294" s="1"/>
      <c r="AE294" s="1"/>
      <c r="AF294" s="31"/>
      <c r="AG294" s="1"/>
      <c r="AH294" s="1"/>
      <c r="AI294" s="31"/>
      <c r="AJ294" s="36"/>
      <c r="AK294" s="9"/>
      <c r="AL294" s="9"/>
      <c r="AO294" s="9"/>
      <c r="AP294" s="37"/>
    </row>
    <row r="295" spans="1:51">
      <c r="C295" s="1"/>
      <c r="D295" s="1"/>
      <c r="E295" s="1"/>
      <c r="F295" s="1"/>
      <c r="G295" s="1"/>
      <c r="H295" s="1"/>
      <c r="I295" s="31"/>
      <c r="J295" s="1"/>
      <c r="K295" s="31"/>
      <c r="L295" s="1"/>
      <c r="M295" s="1"/>
      <c r="N295" s="1"/>
      <c r="O295" s="1"/>
      <c r="P295" s="31"/>
      <c r="Q295" s="1"/>
      <c r="R295" s="1"/>
      <c r="S295" s="1"/>
      <c r="T295" s="1"/>
      <c r="U295" s="31"/>
      <c r="V295" s="1"/>
      <c r="W295" s="1"/>
      <c r="X295" s="31"/>
      <c r="Y295" s="1"/>
      <c r="Z295" s="1"/>
      <c r="AA295" s="1"/>
      <c r="AB295" s="1"/>
      <c r="AC295" s="1"/>
      <c r="AD295" s="1"/>
      <c r="AE295" s="1"/>
      <c r="AF295" s="31"/>
      <c r="AG295" s="1"/>
      <c r="AH295" s="1"/>
      <c r="AI295" s="31"/>
      <c r="AJ295" s="36"/>
      <c r="AK295" s="9"/>
      <c r="AL295" s="9"/>
      <c r="AO295" s="9"/>
      <c r="AP295" s="37"/>
    </row>
    <row r="296" spans="1:51">
      <c r="C296" s="1"/>
      <c r="D296" s="1"/>
      <c r="E296" s="1"/>
      <c r="F296" s="1"/>
      <c r="G296" s="1"/>
      <c r="H296" s="1"/>
      <c r="I296" s="31"/>
      <c r="J296" s="1"/>
      <c r="K296" s="31"/>
      <c r="L296" s="1"/>
      <c r="M296" s="1"/>
      <c r="N296" s="1"/>
      <c r="O296" s="1"/>
      <c r="P296" s="31"/>
      <c r="Q296" s="1"/>
      <c r="R296" s="1"/>
      <c r="S296" s="1"/>
      <c r="T296" s="1"/>
      <c r="U296" s="31"/>
      <c r="V296" s="1"/>
      <c r="W296" s="1"/>
      <c r="X296" s="31"/>
      <c r="Y296" s="1"/>
      <c r="Z296" s="1"/>
      <c r="AA296" s="1"/>
      <c r="AB296" s="1"/>
      <c r="AC296" s="1"/>
      <c r="AD296" s="1"/>
      <c r="AE296" s="1"/>
      <c r="AF296" s="31"/>
      <c r="AG296" s="1"/>
      <c r="AH296" s="1"/>
      <c r="AI296" s="31"/>
      <c r="AJ296" s="35"/>
      <c r="AK296" s="9"/>
      <c r="AL296" s="9"/>
      <c r="AO296" s="9"/>
      <c r="AP296" s="37"/>
    </row>
    <row r="297" spans="1:51">
      <c r="C297" s="1"/>
      <c r="D297" s="1"/>
      <c r="E297" s="1"/>
      <c r="F297" s="1"/>
      <c r="G297" s="1"/>
      <c r="H297" s="1"/>
      <c r="I297" s="31"/>
      <c r="J297" s="1"/>
      <c r="K297" s="31"/>
      <c r="L297" s="1"/>
      <c r="M297" s="1"/>
      <c r="N297" s="1"/>
      <c r="O297" s="1"/>
      <c r="P297" s="31"/>
      <c r="Q297" s="1"/>
      <c r="R297" s="1"/>
      <c r="S297" s="1"/>
      <c r="T297" s="1"/>
      <c r="U297" s="31"/>
      <c r="V297" s="1"/>
      <c r="W297" s="1"/>
      <c r="X297" s="31"/>
      <c r="Y297" s="1"/>
      <c r="Z297" s="1"/>
      <c r="AA297" s="1"/>
      <c r="AB297" s="1"/>
      <c r="AC297" s="1"/>
      <c r="AD297" s="1"/>
      <c r="AE297" s="1"/>
      <c r="AF297" s="31"/>
      <c r="AG297" s="1"/>
      <c r="AH297" s="1"/>
      <c r="AI297" s="31"/>
      <c r="AJ297" s="36"/>
      <c r="AK297" s="9"/>
      <c r="AL297" s="9"/>
      <c r="AO297" s="9"/>
      <c r="AP297" s="37"/>
    </row>
    <row r="298" spans="1:51">
      <c r="C298" s="1"/>
      <c r="D298" s="1"/>
      <c r="E298" s="1"/>
      <c r="F298" s="1"/>
      <c r="G298" s="1"/>
      <c r="H298" s="1"/>
      <c r="I298" s="31"/>
      <c r="J298" s="1"/>
      <c r="K298" s="31"/>
      <c r="L298" s="1"/>
      <c r="M298" s="1"/>
      <c r="N298" s="1"/>
      <c r="O298" s="1"/>
      <c r="P298" s="31"/>
      <c r="Q298" s="1"/>
      <c r="R298" s="1"/>
      <c r="S298" s="1"/>
      <c r="T298" s="1"/>
      <c r="U298" s="31"/>
      <c r="V298" s="1"/>
      <c r="W298" s="1"/>
      <c r="X298" s="31"/>
      <c r="Y298" s="1"/>
      <c r="Z298" s="1"/>
      <c r="AA298" s="1"/>
      <c r="AB298" s="1"/>
      <c r="AC298" s="1"/>
      <c r="AD298" s="1"/>
      <c r="AE298" s="1"/>
      <c r="AF298" s="31"/>
      <c r="AG298" s="1"/>
      <c r="AH298" s="1"/>
      <c r="AI298" s="31"/>
      <c r="AJ298" s="36"/>
      <c r="AK298" s="9"/>
      <c r="AL298" s="9"/>
      <c r="AO298" s="9"/>
      <c r="AP298" s="37"/>
    </row>
    <row r="299" spans="1:51">
      <c r="C299" s="1"/>
      <c r="D299" s="1"/>
      <c r="E299" s="1"/>
      <c r="F299" s="1"/>
      <c r="G299" s="1"/>
      <c r="H299" s="1"/>
      <c r="I299" s="31"/>
      <c r="J299" s="1"/>
      <c r="K299" s="31"/>
      <c r="L299" s="1"/>
      <c r="M299" s="1"/>
      <c r="N299" s="1"/>
      <c r="O299" s="1"/>
      <c r="P299" s="31"/>
      <c r="Q299" s="1"/>
      <c r="R299" s="1"/>
      <c r="S299" s="1"/>
      <c r="T299" s="1"/>
      <c r="U299" s="31"/>
      <c r="V299" s="1"/>
      <c r="W299" s="1"/>
      <c r="X299" s="31"/>
      <c r="Y299" s="1"/>
      <c r="Z299" s="1"/>
      <c r="AA299" s="1"/>
      <c r="AB299" s="1"/>
      <c r="AC299" s="1"/>
      <c r="AD299" s="1"/>
      <c r="AE299" s="1"/>
      <c r="AF299" s="31"/>
      <c r="AG299" s="1"/>
      <c r="AH299" s="1"/>
      <c r="AI299" s="31"/>
      <c r="AJ299" s="36"/>
      <c r="AK299" s="9"/>
      <c r="AL299" s="9"/>
      <c r="AO299" s="9"/>
      <c r="AP299" s="37"/>
    </row>
    <row r="300" spans="1:51">
      <c r="C300" s="1"/>
      <c r="D300" s="1"/>
      <c r="E300" s="1"/>
      <c r="F300" s="1"/>
      <c r="G300" s="1"/>
      <c r="H300" s="1"/>
      <c r="I300" s="31"/>
      <c r="J300" s="1"/>
      <c r="K300" s="31"/>
      <c r="L300" s="1"/>
      <c r="M300" s="1"/>
      <c r="N300" s="1"/>
      <c r="O300" s="1"/>
      <c r="P300" s="31"/>
      <c r="Q300" s="1"/>
      <c r="R300" s="1"/>
      <c r="S300" s="1"/>
      <c r="T300" s="1"/>
      <c r="U300" s="31"/>
      <c r="V300" s="1"/>
      <c r="W300" s="1"/>
      <c r="X300" s="31"/>
      <c r="Y300" s="1"/>
      <c r="Z300" s="1"/>
      <c r="AA300" s="1"/>
      <c r="AB300" s="1"/>
      <c r="AC300" s="1"/>
      <c r="AD300" s="1"/>
      <c r="AE300" s="1"/>
      <c r="AF300" s="31"/>
      <c r="AG300" s="1"/>
      <c r="AH300" s="1"/>
      <c r="AI300" s="31"/>
      <c r="AJ300" s="35"/>
      <c r="AK300" s="9"/>
      <c r="AL300" s="9"/>
      <c r="AO300" s="9"/>
      <c r="AP300" s="37"/>
    </row>
    <row r="301" spans="1:51">
      <c r="C301" s="1"/>
      <c r="D301" s="1"/>
      <c r="E301" s="1"/>
      <c r="F301" s="1"/>
      <c r="G301" s="1"/>
      <c r="H301" s="1"/>
      <c r="I301" s="31"/>
      <c r="J301" s="1"/>
      <c r="K301" s="31"/>
      <c r="L301" s="1"/>
      <c r="M301" s="1"/>
      <c r="N301" s="1"/>
      <c r="O301" s="1"/>
      <c r="P301" s="31"/>
      <c r="Q301" s="1"/>
      <c r="R301" s="1"/>
      <c r="S301" s="1"/>
      <c r="T301" s="1"/>
      <c r="U301" s="31"/>
      <c r="V301" s="1"/>
      <c r="W301" s="1"/>
      <c r="X301" s="31"/>
      <c r="Y301" s="1"/>
      <c r="Z301" s="1"/>
      <c r="AA301" s="1"/>
      <c r="AB301" s="1"/>
      <c r="AC301" s="1"/>
      <c r="AD301" s="1"/>
      <c r="AE301" s="1"/>
      <c r="AF301" s="31"/>
      <c r="AG301" s="1"/>
      <c r="AH301" s="1"/>
      <c r="AI301" s="31"/>
      <c r="AJ301" s="36"/>
      <c r="AK301" s="9"/>
      <c r="AL301" s="9"/>
      <c r="AO301" s="9"/>
      <c r="AP301" s="37"/>
    </row>
    <row r="302" spans="1:51">
      <c r="C302" s="1"/>
      <c r="D302" s="1"/>
      <c r="E302" s="1"/>
      <c r="F302" s="1"/>
      <c r="G302" s="1"/>
      <c r="H302" s="1"/>
      <c r="I302" s="31"/>
      <c r="J302" s="1"/>
      <c r="K302" s="31"/>
      <c r="L302" s="1"/>
      <c r="M302" s="1"/>
      <c r="N302" s="1"/>
      <c r="O302" s="1"/>
      <c r="P302" s="31"/>
      <c r="Q302" s="1"/>
      <c r="R302" s="1"/>
      <c r="S302" s="1"/>
      <c r="T302" s="1"/>
      <c r="U302" s="31"/>
      <c r="V302" s="1"/>
      <c r="W302" s="1"/>
      <c r="X302" s="31"/>
      <c r="Y302" s="1"/>
      <c r="Z302" s="1"/>
      <c r="AA302" s="1"/>
      <c r="AB302" s="1"/>
      <c r="AC302" s="1"/>
      <c r="AD302" s="1"/>
      <c r="AE302" s="1"/>
      <c r="AF302" s="31"/>
      <c r="AG302" s="1"/>
      <c r="AH302" s="1"/>
      <c r="AI302" s="31"/>
      <c r="AJ302" s="36"/>
      <c r="AK302" s="9"/>
      <c r="AL302" s="9"/>
      <c r="AO302" s="9"/>
      <c r="AP302" s="37"/>
    </row>
    <row r="303" spans="1:51">
      <c r="C303" s="1"/>
      <c r="D303" s="1"/>
      <c r="E303" s="1"/>
      <c r="F303" s="1"/>
      <c r="G303" s="1"/>
      <c r="H303" s="1"/>
      <c r="I303" s="31"/>
      <c r="J303" s="1"/>
      <c r="K303" s="31"/>
      <c r="L303" s="1"/>
      <c r="M303" s="1"/>
      <c r="N303" s="1"/>
      <c r="O303" s="1"/>
      <c r="P303" s="31"/>
      <c r="Q303" s="1"/>
      <c r="R303" s="1"/>
      <c r="S303" s="1"/>
      <c r="T303" s="1"/>
      <c r="U303" s="31"/>
      <c r="V303" s="1"/>
      <c r="W303" s="1"/>
      <c r="X303" s="31"/>
      <c r="Y303" s="1"/>
      <c r="Z303" s="1"/>
      <c r="AA303" s="1"/>
      <c r="AB303" s="1"/>
      <c r="AC303" s="1"/>
      <c r="AD303" s="1"/>
      <c r="AE303" s="1"/>
      <c r="AF303" s="31"/>
      <c r="AG303" s="1"/>
      <c r="AH303" s="1"/>
      <c r="AI303" s="31"/>
      <c r="AJ303" s="36"/>
      <c r="AK303" s="9"/>
      <c r="AL303" s="9"/>
      <c r="AO303" s="9"/>
      <c r="AP303" s="37"/>
    </row>
    <row r="304" spans="1:51">
      <c r="C304" s="1"/>
      <c r="D304" s="1"/>
      <c r="E304" s="1"/>
      <c r="F304" s="1"/>
      <c r="G304" s="1"/>
      <c r="H304" s="1"/>
      <c r="I304" s="31"/>
      <c r="J304" s="1"/>
      <c r="K304" s="31"/>
      <c r="L304" s="1"/>
      <c r="M304" s="1"/>
      <c r="N304" s="1"/>
      <c r="O304" s="1"/>
      <c r="P304" s="31"/>
      <c r="Q304" s="1"/>
      <c r="R304" s="1"/>
      <c r="S304" s="1"/>
      <c r="T304" s="1"/>
      <c r="U304" s="31"/>
      <c r="V304" s="1"/>
      <c r="W304" s="1"/>
      <c r="X304" s="31"/>
      <c r="Y304" s="1"/>
      <c r="Z304" s="1"/>
      <c r="AA304" s="1"/>
      <c r="AB304" s="1"/>
      <c r="AC304" s="1"/>
      <c r="AD304" s="1"/>
      <c r="AE304" s="1"/>
      <c r="AF304" s="31"/>
      <c r="AG304" s="1"/>
      <c r="AH304" s="1"/>
      <c r="AI304" s="31"/>
      <c r="AJ304" s="36"/>
      <c r="AK304" s="9"/>
      <c r="AL304" s="9"/>
      <c r="AO304" s="9"/>
      <c r="AP304" s="37"/>
    </row>
    <row r="305" spans="3:42">
      <c r="C305" s="1"/>
      <c r="D305" s="1"/>
      <c r="E305" s="1"/>
      <c r="F305" s="1"/>
      <c r="G305" s="1"/>
      <c r="H305" s="1"/>
      <c r="I305" s="31"/>
      <c r="J305" s="1"/>
      <c r="K305" s="31"/>
      <c r="L305" s="1"/>
      <c r="M305" s="1"/>
      <c r="N305" s="1"/>
      <c r="O305" s="1"/>
      <c r="P305" s="31"/>
      <c r="Q305" s="1"/>
      <c r="R305" s="1"/>
      <c r="S305" s="1"/>
      <c r="T305" s="1"/>
      <c r="U305" s="31"/>
      <c r="V305" s="1"/>
      <c r="W305" s="1"/>
      <c r="X305" s="31"/>
      <c r="Y305" s="1"/>
      <c r="Z305" s="1"/>
      <c r="AA305" s="1"/>
      <c r="AB305" s="1"/>
      <c r="AC305" s="1"/>
      <c r="AD305" s="1"/>
      <c r="AE305" s="1"/>
      <c r="AF305" s="31"/>
      <c r="AG305" s="1"/>
      <c r="AH305" s="1"/>
      <c r="AI305" s="31"/>
      <c r="AJ305" s="36"/>
      <c r="AK305" s="9"/>
      <c r="AL305" s="9"/>
      <c r="AO305" s="9"/>
      <c r="AP305" s="37"/>
    </row>
    <row r="306" spans="3:42">
      <c r="C306" s="1"/>
      <c r="D306" s="1"/>
      <c r="E306" s="1"/>
      <c r="F306" s="1"/>
      <c r="G306" s="1"/>
      <c r="H306" s="1"/>
      <c r="I306" s="31"/>
      <c r="J306" s="1"/>
      <c r="K306" s="31"/>
      <c r="L306" s="1"/>
      <c r="M306" s="1"/>
      <c r="N306" s="1"/>
      <c r="O306" s="1"/>
      <c r="P306" s="31"/>
      <c r="Q306" s="1"/>
      <c r="R306" s="1"/>
      <c r="S306" s="1"/>
      <c r="T306" s="1"/>
      <c r="U306" s="31"/>
      <c r="V306" s="1"/>
      <c r="W306" s="1"/>
      <c r="X306" s="31"/>
      <c r="Y306" s="1"/>
      <c r="Z306" s="1"/>
      <c r="AA306" s="1"/>
      <c r="AB306" s="1"/>
      <c r="AC306" s="1"/>
      <c r="AD306" s="1"/>
      <c r="AE306" s="1"/>
      <c r="AF306" s="31"/>
      <c r="AG306" s="1"/>
      <c r="AH306" s="1"/>
      <c r="AI306" s="31"/>
      <c r="AJ306" s="36"/>
      <c r="AK306" s="9"/>
      <c r="AL306" s="9"/>
      <c r="AO306" s="9"/>
      <c r="AP306" s="37"/>
    </row>
    <row r="307" spans="3:42">
      <c r="C307" s="1"/>
      <c r="D307" s="1"/>
      <c r="E307" s="1"/>
      <c r="F307" s="1"/>
      <c r="G307" s="1"/>
      <c r="H307" s="1"/>
      <c r="I307" s="31"/>
      <c r="J307" s="1"/>
      <c r="K307" s="31"/>
      <c r="L307" s="1"/>
      <c r="M307" s="1"/>
      <c r="N307" s="1"/>
      <c r="O307" s="1"/>
      <c r="P307" s="31"/>
      <c r="Q307" s="1"/>
      <c r="R307" s="1"/>
      <c r="S307" s="1"/>
      <c r="T307" s="1"/>
      <c r="U307" s="31"/>
      <c r="V307" s="1"/>
      <c r="W307" s="1"/>
      <c r="X307" s="31"/>
      <c r="Y307" s="1"/>
      <c r="Z307" s="1"/>
      <c r="AA307" s="1"/>
      <c r="AB307" s="1"/>
      <c r="AC307" s="1"/>
      <c r="AD307" s="1"/>
      <c r="AE307" s="1"/>
      <c r="AF307" s="31"/>
      <c r="AG307" s="1"/>
      <c r="AH307" s="1"/>
      <c r="AI307" s="31"/>
      <c r="AJ307" s="36"/>
      <c r="AK307" s="9"/>
      <c r="AL307" s="9"/>
      <c r="AO307" s="9"/>
      <c r="AP307" s="37"/>
    </row>
    <row r="308" spans="3:42">
      <c r="C308" s="1"/>
      <c r="D308" s="1"/>
      <c r="E308" s="1"/>
      <c r="F308" s="1"/>
      <c r="G308" s="1"/>
      <c r="H308" s="1"/>
      <c r="I308" s="31"/>
      <c r="J308" s="1"/>
      <c r="K308" s="31"/>
      <c r="L308" s="1"/>
      <c r="M308" s="1"/>
      <c r="N308" s="1"/>
      <c r="O308" s="1"/>
      <c r="P308" s="31"/>
      <c r="Q308" s="1"/>
      <c r="R308" s="1"/>
      <c r="S308" s="1"/>
      <c r="T308" s="1"/>
      <c r="U308" s="31"/>
      <c r="V308" s="1"/>
      <c r="W308" s="1"/>
      <c r="X308" s="31"/>
      <c r="Y308" s="1"/>
      <c r="Z308" s="1"/>
      <c r="AA308" s="1"/>
      <c r="AB308" s="1"/>
      <c r="AC308" s="1"/>
      <c r="AD308" s="1"/>
      <c r="AE308" s="1"/>
      <c r="AF308" s="31"/>
      <c r="AG308" s="1"/>
      <c r="AH308" s="1"/>
      <c r="AI308" s="31"/>
      <c r="AJ308" s="36"/>
      <c r="AK308" s="9"/>
      <c r="AL308" s="9"/>
      <c r="AO308" s="9"/>
      <c r="AP308" s="37"/>
    </row>
    <row r="309" spans="3:42">
      <c r="C309" s="1"/>
      <c r="D309" s="1"/>
      <c r="E309" s="1"/>
      <c r="F309" s="1"/>
      <c r="G309" s="1"/>
      <c r="H309" s="1"/>
      <c r="I309" s="31"/>
      <c r="J309" s="1"/>
      <c r="K309" s="31"/>
      <c r="L309" s="1"/>
      <c r="M309" s="1"/>
      <c r="N309" s="1"/>
      <c r="O309" s="1"/>
      <c r="P309" s="31"/>
      <c r="Q309" s="1"/>
      <c r="R309" s="1"/>
      <c r="S309" s="1"/>
      <c r="T309" s="1"/>
      <c r="U309" s="31"/>
      <c r="V309" s="1"/>
      <c r="W309" s="1"/>
      <c r="X309" s="31"/>
      <c r="Y309" s="1"/>
      <c r="Z309" s="1"/>
      <c r="AA309" s="1"/>
      <c r="AB309" s="1"/>
      <c r="AC309" s="1"/>
      <c r="AD309" s="1"/>
      <c r="AE309" s="1"/>
      <c r="AF309" s="31"/>
      <c r="AG309" s="1"/>
      <c r="AH309" s="1"/>
      <c r="AI309" s="31"/>
      <c r="AJ309" s="36"/>
      <c r="AK309" s="9"/>
      <c r="AL309" s="9"/>
      <c r="AO309" s="9"/>
      <c r="AP309" s="37"/>
    </row>
    <row r="310" spans="3:42">
      <c r="C310" s="1"/>
      <c r="D310" s="1"/>
      <c r="E310" s="1"/>
      <c r="F310" s="1"/>
      <c r="G310" s="1"/>
      <c r="H310" s="1"/>
      <c r="I310" s="31"/>
      <c r="J310" s="1"/>
      <c r="K310" s="31"/>
      <c r="L310" s="1"/>
      <c r="M310" s="1"/>
      <c r="N310" s="1"/>
      <c r="O310" s="1"/>
      <c r="P310" s="31"/>
      <c r="Q310" s="1"/>
      <c r="R310" s="1"/>
      <c r="S310" s="1"/>
      <c r="T310" s="1"/>
      <c r="U310" s="31"/>
      <c r="V310" s="1"/>
      <c r="W310" s="1"/>
      <c r="X310" s="31"/>
      <c r="Y310" s="1"/>
      <c r="Z310" s="1"/>
      <c r="AA310" s="1"/>
      <c r="AB310" s="1"/>
      <c r="AC310" s="1"/>
      <c r="AD310" s="1"/>
      <c r="AE310" s="1"/>
      <c r="AF310" s="31"/>
      <c r="AG310" s="1"/>
      <c r="AH310" s="1"/>
      <c r="AI310" s="31"/>
      <c r="AJ310" s="36"/>
      <c r="AK310" s="9"/>
      <c r="AL310" s="9"/>
      <c r="AO310" s="9"/>
      <c r="AP310" s="37"/>
    </row>
    <row r="311" spans="3:42">
      <c r="C311" s="1"/>
      <c r="D311" s="1"/>
      <c r="E311" s="1"/>
      <c r="F311" s="1"/>
      <c r="G311" s="1"/>
      <c r="H311" s="1"/>
      <c r="I311" s="31"/>
      <c r="J311" s="1"/>
      <c r="K311" s="31"/>
      <c r="L311" s="1"/>
      <c r="M311" s="1"/>
      <c r="N311" s="1"/>
      <c r="O311" s="1"/>
      <c r="P311" s="31"/>
      <c r="Q311" s="1"/>
      <c r="R311" s="1"/>
      <c r="S311" s="1"/>
      <c r="T311" s="1"/>
      <c r="U311" s="31"/>
      <c r="V311" s="1"/>
      <c r="W311" s="1"/>
      <c r="X311" s="31"/>
      <c r="Y311" s="1"/>
      <c r="Z311" s="1"/>
      <c r="AA311" s="1"/>
      <c r="AB311" s="1"/>
      <c r="AC311" s="1"/>
      <c r="AD311" s="1"/>
      <c r="AE311" s="1"/>
      <c r="AF311" s="31"/>
      <c r="AG311" s="1"/>
      <c r="AH311" s="1"/>
      <c r="AI311" s="31"/>
      <c r="AJ311" s="36"/>
      <c r="AK311" s="9"/>
      <c r="AL311" s="9"/>
      <c r="AO311" s="9"/>
      <c r="AP311" s="37"/>
    </row>
    <row r="312" spans="3:42">
      <c r="C312" s="1"/>
      <c r="D312" s="1"/>
      <c r="E312" s="1"/>
      <c r="F312" s="1"/>
      <c r="G312" s="1"/>
      <c r="H312" s="1"/>
      <c r="I312" s="31"/>
      <c r="J312" s="1"/>
      <c r="K312" s="31"/>
      <c r="L312" s="1"/>
      <c r="M312" s="1"/>
      <c r="N312" s="1"/>
      <c r="O312" s="1"/>
      <c r="P312" s="31"/>
      <c r="Q312" s="1"/>
      <c r="R312" s="1"/>
      <c r="S312" s="1"/>
      <c r="T312" s="1"/>
      <c r="U312" s="31"/>
      <c r="V312" s="1"/>
      <c r="W312" s="1"/>
      <c r="X312" s="31"/>
      <c r="Y312" s="1"/>
      <c r="Z312" s="1"/>
      <c r="AA312" s="1"/>
      <c r="AB312" s="1"/>
      <c r="AC312" s="1"/>
      <c r="AD312" s="1"/>
      <c r="AE312" s="1"/>
      <c r="AF312" s="31"/>
      <c r="AG312" s="1"/>
      <c r="AH312" s="1"/>
      <c r="AI312" s="31"/>
      <c r="AJ312" s="36"/>
      <c r="AK312" s="9"/>
      <c r="AL312" s="9"/>
      <c r="AO312" s="9"/>
      <c r="AP312" s="37"/>
    </row>
    <row r="313" spans="3:42">
      <c r="C313" s="1"/>
      <c r="D313" s="1"/>
      <c r="E313" s="1"/>
      <c r="F313" s="1"/>
      <c r="G313" s="1"/>
      <c r="H313" s="1"/>
      <c r="I313" s="31"/>
      <c r="J313" s="1"/>
      <c r="K313" s="31"/>
      <c r="L313" s="1"/>
      <c r="M313" s="1"/>
      <c r="N313" s="1"/>
      <c r="O313" s="1"/>
      <c r="P313" s="31"/>
      <c r="Q313" s="1"/>
      <c r="R313" s="1"/>
      <c r="S313" s="1"/>
      <c r="T313" s="1"/>
      <c r="U313" s="31"/>
      <c r="V313" s="1"/>
      <c r="W313" s="1"/>
      <c r="X313" s="31"/>
      <c r="Y313" s="1"/>
      <c r="Z313" s="1"/>
      <c r="AA313" s="1"/>
      <c r="AB313" s="1"/>
      <c r="AC313" s="1"/>
      <c r="AD313" s="1"/>
      <c r="AE313" s="1"/>
      <c r="AF313" s="31"/>
      <c r="AG313" s="1"/>
      <c r="AH313" s="1"/>
      <c r="AI313" s="31"/>
      <c r="AJ313" s="36"/>
      <c r="AK313" s="9"/>
      <c r="AL313" s="9"/>
      <c r="AO313" s="9"/>
      <c r="AP313" s="37"/>
    </row>
    <row r="314" spans="3:42">
      <c r="C314" s="1"/>
      <c r="D314" s="1"/>
      <c r="E314" s="1"/>
      <c r="F314" s="1"/>
      <c r="G314" s="1"/>
      <c r="H314" s="1"/>
      <c r="I314" s="31"/>
      <c r="J314" s="1"/>
      <c r="K314" s="31"/>
      <c r="L314" s="1"/>
      <c r="M314" s="1"/>
      <c r="N314" s="1"/>
      <c r="O314" s="1"/>
      <c r="P314" s="31"/>
      <c r="Q314" s="1"/>
      <c r="R314" s="1"/>
      <c r="S314" s="1"/>
      <c r="T314" s="1"/>
      <c r="U314" s="31"/>
      <c r="V314" s="1"/>
      <c r="W314" s="1"/>
      <c r="X314" s="31"/>
      <c r="Y314" s="1"/>
      <c r="Z314" s="1"/>
      <c r="AA314" s="1"/>
      <c r="AB314" s="1"/>
      <c r="AC314" s="1"/>
      <c r="AD314" s="1"/>
      <c r="AE314" s="1"/>
      <c r="AF314" s="31"/>
      <c r="AG314" s="1"/>
      <c r="AH314" s="1"/>
      <c r="AI314" s="31"/>
      <c r="AJ314" s="36"/>
      <c r="AK314" s="9"/>
      <c r="AL314" s="9"/>
      <c r="AO314" s="9"/>
      <c r="AP314" s="37"/>
    </row>
    <row r="315" spans="3:42">
      <c r="C315" s="1"/>
      <c r="D315" s="1"/>
      <c r="E315" s="1"/>
      <c r="F315" s="1"/>
      <c r="G315" s="1"/>
      <c r="H315" s="1"/>
      <c r="I315" s="31"/>
      <c r="J315" s="1"/>
      <c r="K315" s="31"/>
      <c r="L315" s="1"/>
      <c r="M315" s="1"/>
      <c r="N315" s="1"/>
      <c r="O315" s="1"/>
      <c r="P315" s="31"/>
      <c r="Q315" s="1"/>
      <c r="R315" s="1"/>
      <c r="S315" s="1"/>
      <c r="T315" s="1"/>
      <c r="U315" s="31"/>
      <c r="V315" s="1"/>
      <c r="W315" s="1"/>
      <c r="X315" s="31"/>
      <c r="Y315" s="1"/>
      <c r="Z315" s="1"/>
      <c r="AA315" s="1"/>
      <c r="AB315" s="1"/>
      <c r="AC315" s="1"/>
      <c r="AD315" s="1"/>
      <c r="AE315" s="1"/>
      <c r="AF315" s="31"/>
      <c r="AG315" s="1"/>
      <c r="AH315" s="1"/>
      <c r="AI315" s="31"/>
      <c r="AJ315" s="36"/>
      <c r="AK315" s="9"/>
      <c r="AL315" s="9"/>
      <c r="AO315" s="9"/>
      <c r="AP315" s="37"/>
    </row>
    <row r="316" spans="3:42">
      <c r="C316" s="1"/>
      <c r="D316" s="1"/>
      <c r="E316" s="1"/>
      <c r="F316" s="1"/>
      <c r="G316" s="1"/>
      <c r="H316" s="1"/>
      <c r="I316" s="31"/>
      <c r="J316" s="1"/>
      <c r="K316" s="31"/>
      <c r="L316" s="1"/>
      <c r="M316" s="1"/>
      <c r="N316" s="1"/>
      <c r="O316" s="1"/>
      <c r="P316" s="31"/>
      <c r="Q316" s="1"/>
      <c r="R316" s="1"/>
      <c r="S316" s="1"/>
      <c r="T316" s="1"/>
      <c r="U316" s="31"/>
      <c r="V316" s="1"/>
      <c r="W316" s="1"/>
      <c r="X316" s="31"/>
      <c r="Y316" s="1"/>
      <c r="Z316" s="1"/>
      <c r="AA316" s="1"/>
      <c r="AB316" s="1"/>
      <c r="AC316" s="1"/>
      <c r="AD316" s="1"/>
      <c r="AE316" s="1"/>
      <c r="AF316" s="31"/>
      <c r="AG316" s="1"/>
      <c r="AH316" s="1"/>
      <c r="AI316" s="31"/>
      <c r="AJ316" s="36"/>
      <c r="AK316" s="9"/>
      <c r="AL316" s="9"/>
      <c r="AO316" s="9"/>
      <c r="AP316" s="37"/>
    </row>
    <row r="317" spans="3:42">
      <c r="C317" s="1"/>
      <c r="D317" s="1"/>
      <c r="E317" s="1"/>
      <c r="F317" s="1"/>
      <c r="G317" s="1"/>
      <c r="H317" s="1"/>
      <c r="I317" s="31"/>
      <c r="J317" s="1"/>
      <c r="K317" s="31"/>
      <c r="L317" s="1"/>
      <c r="M317" s="1"/>
      <c r="N317" s="1"/>
      <c r="O317" s="1"/>
      <c r="P317" s="31"/>
      <c r="Q317" s="1"/>
      <c r="R317" s="1"/>
      <c r="S317" s="1"/>
      <c r="T317" s="1"/>
      <c r="U317" s="31"/>
      <c r="V317" s="1"/>
      <c r="W317" s="1"/>
      <c r="X317" s="31"/>
      <c r="Y317" s="1"/>
      <c r="Z317" s="1"/>
      <c r="AA317" s="1"/>
      <c r="AB317" s="1"/>
      <c r="AC317" s="1"/>
      <c r="AD317" s="1"/>
      <c r="AE317" s="1"/>
      <c r="AF317" s="31"/>
      <c r="AG317" s="1"/>
      <c r="AH317" s="1"/>
      <c r="AI317" s="31"/>
      <c r="AJ317" s="36"/>
      <c r="AK317" s="9"/>
      <c r="AL317" s="9"/>
      <c r="AO317" s="9"/>
      <c r="AP317" s="37"/>
    </row>
    <row r="318" spans="3:42">
      <c r="C318" s="1"/>
      <c r="D318" s="1"/>
      <c r="E318" s="1"/>
      <c r="F318" s="1"/>
      <c r="G318" s="1"/>
      <c r="H318" s="1"/>
      <c r="I318" s="31"/>
      <c r="J318" s="1"/>
      <c r="K318" s="31"/>
      <c r="L318" s="1"/>
      <c r="M318" s="1"/>
      <c r="N318" s="1"/>
      <c r="O318" s="1"/>
      <c r="P318" s="31"/>
      <c r="Q318" s="1"/>
      <c r="R318" s="1"/>
      <c r="S318" s="1"/>
      <c r="T318" s="1"/>
      <c r="U318" s="31"/>
      <c r="V318" s="1"/>
      <c r="W318" s="1"/>
      <c r="X318" s="31"/>
      <c r="Y318" s="1"/>
      <c r="Z318" s="1"/>
      <c r="AA318" s="1"/>
      <c r="AB318" s="1"/>
      <c r="AC318" s="1"/>
      <c r="AD318" s="1"/>
      <c r="AE318" s="1"/>
      <c r="AF318" s="31"/>
      <c r="AG318" s="1"/>
      <c r="AH318" s="1"/>
      <c r="AI318" s="31"/>
      <c r="AJ318" s="36"/>
      <c r="AK318" s="9"/>
      <c r="AL318" s="9"/>
      <c r="AO318" s="9"/>
      <c r="AP318" s="37"/>
    </row>
    <row r="319" spans="3:42">
      <c r="C319" s="1"/>
      <c r="D319" s="1"/>
      <c r="E319" s="1"/>
      <c r="F319" s="1"/>
      <c r="G319" s="1"/>
      <c r="H319" s="1"/>
      <c r="I319" s="31"/>
      <c r="J319" s="1"/>
      <c r="K319" s="31"/>
      <c r="L319" s="1"/>
      <c r="M319" s="1"/>
      <c r="N319" s="1"/>
      <c r="O319" s="1"/>
      <c r="P319" s="31"/>
      <c r="Q319" s="1"/>
      <c r="R319" s="1"/>
      <c r="S319" s="1"/>
      <c r="T319" s="1"/>
      <c r="U319" s="31"/>
      <c r="V319" s="1"/>
      <c r="W319" s="1"/>
      <c r="X319" s="31"/>
      <c r="Y319" s="1"/>
      <c r="Z319" s="1"/>
      <c r="AA319" s="1"/>
      <c r="AB319" s="1"/>
      <c r="AC319" s="1"/>
      <c r="AD319" s="1"/>
      <c r="AE319" s="1"/>
      <c r="AF319" s="31"/>
      <c r="AG319" s="1"/>
      <c r="AH319" s="1"/>
      <c r="AI319" s="31"/>
      <c r="AJ319" s="36"/>
      <c r="AK319" s="9"/>
      <c r="AL319" s="9"/>
      <c r="AO319" s="9"/>
      <c r="AP319" s="37"/>
    </row>
    <row r="320" spans="3:42">
      <c r="C320" s="1"/>
      <c r="D320" s="1"/>
      <c r="E320" s="1"/>
      <c r="F320" s="1"/>
      <c r="G320" s="1"/>
      <c r="H320" s="1"/>
      <c r="I320" s="31"/>
      <c r="J320" s="1"/>
      <c r="K320" s="31"/>
      <c r="L320" s="1"/>
      <c r="M320" s="1"/>
      <c r="N320" s="1"/>
      <c r="O320" s="1"/>
      <c r="P320" s="31"/>
      <c r="Q320" s="1"/>
      <c r="R320" s="1"/>
      <c r="S320" s="1"/>
      <c r="T320" s="1"/>
      <c r="U320" s="31"/>
      <c r="V320" s="1"/>
      <c r="W320" s="1"/>
      <c r="X320" s="31"/>
      <c r="Y320" s="1"/>
      <c r="Z320" s="1"/>
      <c r="AA320" s="1"/>
      <c r="AB320" s="1"/>
      <c r="AC320" s="1"/>
      <c r="AD320" s="1"/>
      <c r="AE320" s="1"/>
      <c r="AF320" s="31"/>
      <c r="AG320" s="1"/>
      <c r="AH320" s="1"/>
      <c r="AI320" s="31"/>
      <c r="AJ320" s="36"/>
      <c r="AK320" s="9"/>
      <c r="AL320" s="9"/>
      <c r="AO320" s="9"/>
      <c r="AP320" s="37"/>
    </row>
    <row r="321" spans="3:42">
      <c r="C321" s="1"/>
      <c r="D321" s="1"/>
      <c r="E321" s="1"/>
      <c r="F321" s="1"/>
      <c r="G321" s="1"/>
      <c r="H321" s="1"/>
      <c r="I321" s="31"/>
      <c r="J321" s="1"/>
      <c r="K321" s="31"/>
      <c r="L321" s="1"/>
      <c r="M321" s="1"/>
      <c r="N321" s="1"/>
      <c r="O321" s="1"/>
      <c r="P321" s="31"/>
      <c r="Q321" s="1"/>
      <c r="R321" s="1"/>
      <c r="S321" s="1"/>
      <c r="T321" s="1"/>
      <c r="U321" s="31"/>
      <c r="V321" s="1"/>
      <c r="W321" s="1"/>
      <c r="X321" s="31"/>
      <c r="Y321" s="1"/>
      <c r="Z321" s="1"/>
      <c r="AA321" s="1"/>
      <c r="AB321" s="1"/>
      <c r="AC321" s="1"/>
      <c r="AD321" s="1"/>
      <c r="AE321" s="1"/>
      <c r="AF321" s="31"/>
      <c r="AG321" s="1"/>
      <c r="AH321" s="1"/>
      <c r="AI321" s="31"/>
      <c r="AJ321" s="36"/>
      <c r="AK321" s="9"/>
      <c r="AL321" s="9"/>
      <c r="AO321" s="9"/>
      <c r="AP321" s="37"/>
    </row>
    <row r="322" spans="3:42">
      <c r="C322" s="1"/>
      <c r="D322" s="1"/>
      <c r="E322" s="1"/>
      <c r="F322" s="1"/>
      <c r="G322" s="1"/>
      <c r="H322" s="1"/>
      <c r="I322" s="31"/>
      <c r="J322" s="1"/>
      <c r="K322" s="31"/>
      <c r="L322" s="1"/>
      <c r="M322" s="1"/>
      <c r="N322" s="1"/>
      <c r="O322" s="1"/>
      <c r="P322" s="31"/>
      <c r="Q322" s="1"/>
      <c r="R322" s="1"/>
      <c r="S322" s="1"/>
      <c r="T322" s="1"/>
      <c r="U322" s="31"/>
      <c r="V322" s="1"/>
      <c r="W322" s="1"/>
      <c r="X322" s="31"/>
      <c r="Y322" s="1"/>
      <c r="Z322" s="1"/>
      <c r="AA322" s="1"/>
      <c r="AB322" s="1"/>
      <c r="AC322" s="1"/>
      <c r="AD322" s="1"/>
      <c r="AE322" s="1"/>
      <c r="AF322" s="31"/>
      <c r="AG322" s="1"/>
      <c r="AH322" s="1"/>
      <c r="AI322" s="31"/>
      <c r="AJ322" s="35"/>
      <c r="AK322" s="9"/>
      <c r="AL322" s="9"/>
      <c r="AO322" s="9"/>
      <c r="AP322" s="37"/>
    </row>
    <row r="323" spans="3:42">
      <c r="C323" s="1"/>
      <c r="D323" s="1"/>
      <c r="E323" s="1"/>
      <c r="F323" s="1"/>
      <c r="G323" s="1"/>
      <c r="H323" s="1"/>
      <c r="I323" s="31"/>
      <c r="J323" s="1"/>
      <c r="K323" s="31"/>
      <c r="L323" s="1"/>
      <c r="M323" s="1"/>
      <c r="N323" s="1"/>
      <c r="O323" s="1"/>
      <c r="P323" s="31"/>
      <c r="Q323" s="1"/>
      <c r="R323" s="1"/>
      <c r="S323" s="1"/>
      <c r="T323" s="1"/>
      <c r="U323" s="31"/>
      <c r="V323" s="1"/>
      <c r="W323" s="1"/>
      <c r="X323" s="31"/>
      <c r="Y323" s="1"/>
      <c r="Z323" s="1"/>
      <c r="AA323" s="1"/>
      <c r="AB323" s="1"/>
      <c r="AC323" s="1"/>
      <c r="AD323" s="1"/>
      <c r="AE323" s="1"/>
      <c r="AF323" s="31"/>
      <c r="AG323" s="1"/>
      <c r="AH323" s="1"/>
      <c r="AI323" s="31"/>
      <c r="AJ323" s="36"/>
      <c r="AK323" s="9"/>
      <c r="AL323" s="9"/>
      <c r="AO323" s="9"/>
      <c r="AP323" s="37"/>
    </row>
  </sheetData>
  <autoFilter ref="A4:AY290"/>
  <sortState ref="A5:AY290">
    <sortCondition ref="AR6:AR290"/>
    <sortCondition descending="1" ref="AP6:AP290"/>
  </sortState>
  <phoneticPr fontId="11" type="noConversion"/>
  <conditionalFormatting sqref="A5:XFD323">
    <cfRule type="expression" dxfId="4" priority="1">
      <formula>IF($AW5&lt;&gt;"",1,0)</formula>
    </cfRule>
    <cfRule type="expression" dxfId="3" priority="2">
      <formula>IF(MOD(ROW(),2)=1,1,0)</formula>
    </cfRule>
  </conditionalFormatting>
  <pageMargins left="0.7" right="0.7" top="0.75" bottom="0.75" header="0.3" footer="0.3"/>
  <pageSetup orientation="portrait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J261"/>
  <sheetViews>
    <sheetView workbookViewId="0">
      <pane xSplit="7" ySplit="4" topLeftCell="W5" activePane="bottomRight" state="frozenSplit"/>
      <selection pane="topRight" activeCell="H1" sqref="H1"/>
      <selection pane="bottomLeft" activeCell="A245" sqref="A245"/>
      <selection pane="bottomRight" activeCell="BD5" sqref="BD5"/>
    </sheetView>
  </sheetViews>
  <sheetFormatPr baseColWidth="10" defaultColWidth="8.83203125" defaultRowHeight="14"/>
  <cols>
    <col min="1" max="1" width="8.1640625" customWidth="1"/>
    <col min="2" max="2" width="6" bestFit="1" customWidth="1"/>
    <col min="3" max="3" width="6.83203125" bestFit="1" customWidth="1"/>
    <col min="4" max="4" width="20.5" bestFit="1" customWidth="1"/>
    <col min="5" max="5" width="4.5" bestFit="1" customWidth="1"/>
    <col min="6" max="7" width="2.1640625" bestFit="1" customWidth="1"/>
    <col min="8" max="8" width="6.5" bestFit="1" customWidth="1"/>
    <col min="9" max="9" width="6.5" style="6" bestFit="1" customWidth="1"/>
    <col min="10" max="10" width="9.5" bestFit="1" customWidth="1"/>
    <col min="11" max="11" width="9.5" style="6" bestFit="1" customWidth="1"/>
    <col min="12" max="12" width="4.5" bestFit="1" customWidth="1"/>
    <col min="13" max="13" width="5.5" bestFit="1" customWidth="1"/>
    <col min="14" max="14" width="5" style="6" bestFit="1" customWidth="1"/>
    <col min="15" max="15" width="6" bestFit="1" customWidth="1"/>
    <col min="16" max="16" width="7.1640625" bestFit="1" customWidth="1"/>
    <col min="17" max="17" width="6.5" style="6" bestFit="1" customWidth="1"/>
    <col min="18" max="18" width="3.1640625" hidden="1" customWidth="1"/>
    <col min="19" max="19" width="4.33203125" bestFit="1" customWidth="1"/>
    <col min="20" max="20" width="3.5" hidden="1" customWidth="1"/>
    <col min="21" max="21" width="4.5" bestFit="1" customWidth="1"/>
    <col min="22" max="22" width="3.33203125" hidden="1" customWidth="1"/>
    <col min="23" max="23" width="4.5" bestFit="1" customWidth="1"/>
    <col min="24" max="24" width="2.83203125" hidden="1" customWidth="1"/>
    <col min="25" max="25" width="4" bestFit="1" customWidth="1"/>
    <col min="26" max="26" width="2.5" hidden="1" customWidth="1"/>
    <col min="27" max="27" width="3.6640625" bestFit="1" customWidth="1"/>
    <col min="28" max="28" width="3.1640625" hidden="1" customWidth="1"/>
    <col min="29" max="29" width="4.33203125" bestFit="1" customWidth="1"/>
    <col min="30" max="30" width="3.1640625" hidden="1" customWidth="1"/>
    <col min="31" max="31" width="4.33203125" bestFit="1" customWidth="1"/>
    <col min="32" max="32" width="3.5" hidden="1" customWidth="1"/>
    <col min="33" max="33" width="4.5" bestFit="1" customWidth="1"/>
    <col min="34" max="34" width="3.33203125" hidden="1" customWidth="1"/>
    <col min="35" max="35" width="4.5" bestFit="1" customWidth="1"/>
    <col min="36" max="36" width="3.1640625" hidden="1" customWidth="1"/>
    <col min="37" max="37" width="4.33203125" bestFit="1" customWidth="1"/>
    <col min="38" max="38" width="3.33203125" hidden="1" customWidth="1"/>
    <col min="39" max="39" width="4.5" bestFit="1" customWidth="1"/>
    <col min="40" max="40" width="3.5" hidden="1" customWidth="1"/>
    <col min="41" max="41" width="4.6640625" style="6" bestFit="1" customWidth="1"/>
    <col min="42" max="42" width="11.1640625" bestFit="1" customWidth="1"/>
    <col min="43" max="43" width="4.83203125" bestFit="1" customWidth="1"/>
    <col min="44" max="44" width="4.5" style="6" bestFit="1" customWidth="1"/>
    <col min="45" max="45" width="11" style="33" bestFit="1" customWidth="1"/>
    <col min="46" max="49" width="9.1640625" hidden="1" customWidth="1"/>
    <col min="50" max="50" width="9.1640625" style="6" hidden="1" customWidth="1"/>
    <col min="52" max="52" width="8.83203125" style="6"/>
    <col min="53" max="53" width="5" bestFit="1" customWidth="1"/>
    <col min="54" max="54" width="4.33203125" bestFit="1" customWidth="1"/>
  </cols>
  <sheetData>
    <row r="1" spans="1:62">
      <c r="K1" s="46" t="s">
        <v>105</v>
      </c>
      <c r="O1">
        <v>5.065724815724816</v>
      </c>
      <c r="P1">
        <v>5.3630221130221134</v>
      </c>
      <c r="Q1" s="6">
        <v>3.5245700245700244</v>
      </c>
    </row>
    <row r="2" spans="1:62">
      <c r="K2" s="46" t="s">
        <v>104</v>
      </c>
      <c r="O2">
        <v>1.5564653627697971</v>
      </c>
      <c r="P2">
        <v>1.3955118325171196</v>
      </c>
      <c r="Q2" s="6">
        <v>1.7507487340042387</v>
      </c>
    </row>
    <row r="3" spans="1:62">
      <c r="J3">
        <v>15</v>
      </c>
      <c r="K3" s="6">
        <v>15</v>
      </c>
      <c r="L3">
        <f>O3</f>
        <v>10</v>
      </c>
      <c r="M3">
        <f>P3</f>
        <v>9</v>
      </c>
      <c r="N3" s="6">
        <v>14</v>
      </c>
      <c r="O3">
        <v>10</v>
      </c>
      <c r="P3">
        <v>9</v>
      </c>
      <c r="Q3" s="6">
        <v>14</v>
      </c>
      <c r="AT3">
        <v>0.2</v>
      </c>
      <c r="AU3">
        <v>20</v>
      </c>
      <c r="AV3">
        <v>0.5</v>
      </c>
      <c r="AW3">
        <v>1.25</v>
      </c>
      <c r="BA3">
        <v>2</v>
      </c>
      <c r="BG3">
        <v>22</v>
      </c>
      <c r="BH3">
        <v>23</v>
      </c>
      <c r="BI3">
        <v>24</v>
      </c>
    </row>
    <row r="4" spans="1:62" s="4" customFormat="1" ht="28">
      <c r="A4" s="4" t="s">
        <v>1809</v>
      </c>
      <c r="B4" s="4" t="s">
        <v>1808</v>
      </c>
      <c r="C4" s="2" t="s">
        <v>1978</v>
      </c>
      <c r="D4" s="2" t="s">
        <v>1979</v>
      </c>
      <c r="E4" s="2" t="s">
        <v>1980</v>
      </c>
      <c r="F4" s="2" t="s">
        <v>1981</v>
      </c>
      <c r="G4" s="2" t="s">
        <v>1982</v>
      </c>
      <c r="H4" s="2" t="s">
        <v>1983</v>
      </c>
      <c r="I4" s="30" t="s">
        <v>1984</v>
      </c>
      <c r="J4" s="2" t="s">
        <v>1985</v>
      </c>
      <c r="K4" s="30" t="s">
        <v>1986</v>
      </c>
      <c r="L4" s="2" t="s">
        <v>1987</v>
      </c>
      <c r="M4" s="2" t="s">
        <v>1988</v>
      </c>
      <c r="N4" s="30" t="s">
        <v>1989</v>
      </c>
      <c r="O4" s="2" t="s">
        <v>1990</v>
      </c>
      <c r="P4" s="2" t="s">
        <v>1991</v>
      </c>
      <c r="Q4" s="30" t="s">
        <v>1992</v>
      </c>
      <c r="R4" s="2" t="s">
        <v>1993</v>
      </c>
      <c r="S4" s="2" t="s">
        <v>1994</v>
      </c>
      <c r="T4" s="2" t="s">
        <v>1995</v>
      </c>
      <c r="U4" s="2" t="s">
        <v>1996</v>
      </c>
      <c r="V4" s="2" t="s">
        <v>1997</v>
      </c>
      <c r="W4" s="2" t="s">
        <v>1998</v>
      </c>
      <c r="X4" s="2" t="s">
        <v>1999</v>
      </c>
      <c r="Y4" s="2" t="s">
        <v>2000</v>
      </c>
      <c r="Z4" s="2" t="s">
        <v>2001</v>
      </c>
      <c r="AA4" s="2" t="s">
        <v>2002</v>
      </c>
      <c r="AB4" s="2" t="s">
        <v>2003</v>
      </c>
      <c r="AC4" s="2" t="s">
        <v>2004</v>
      </c>
      <c r="AD4" s="2" t="s">
        <v>2005</v>
      </c>
      <c r="AE4" s="2" t="s">
        <v>2006</v>
      </c>
      <c r="AF4" s="2" t="s">
        <v>2007</v>
      </c>
      <c r="AG4" s="2" t="s">
        <v>2008</v>
      </c>
      <c r="AH4" s="2" t="s">
        <v>2009</v>
      </c>
      <c r="AI4" s="2" t="s">
        <v>2010</v>
      </c>
      <c r="AJ4" s="2" t="s">
        <v>2011</v>
      </c>
      <c r="AK4" s="2" t="s">
        <v>2012</v>
      </c>
      <c r="AL4" s="2" t="s">
        <v>2013</v>
      </c>
      <c r="AM4" s="2" t="s">
        <v>2014</v>
      </c>
      <c r="AN4" s="2" t="s">
        <v>2015</v>
      </c>
      <c r="AO4" s="30" t="s">
        <v>2016</v>
      </c>
      <c r="AP4" s="2" t="s">
        <v>2017</v>
      </c>
      <c r="AQ4" s="2" t="s">
        <v>2018</v>
      </c>
      <c r="AR4" s="30" t="s">
        <v>2019</v>
      </c>
      <c r="AS4" s="34" t="s">
        <v>2020</v>
      </c>
      <c r="AT4" s="3" t="s">
        <v>2104</v>
      </c>
      <c r="AU4" s="4" t="s">
        <v>2105</v>
      </c>
      <c r="AV4" s="4" t="s">
        <v>2106</v>
      </c>
      <c r="AW4" s="4" t="s">
        <v>2107</v>
      </c>
      <c r="AX4" s="7" t="s">
        <v>2108</v>
      </c>
      <c r="AY4" s="4" t="s">
        <v>2109</v>
      </c>
      <c r="AZ4" s="7" t="s">
        <v>2110</v>
      </c>
      <c r="BA4" s="4" t="s">
        <v>2111</v>
      </c>
      <c r="BB4" s="4" t="s">
        <v>2112</v>
      </c>
      <c r="BC4" s="4" t="s">
        <v>2113</v>
      </c>
      <c r="BD4" s="4" t="s">
        <v>2114</v>
      </c>
      <c r="BE4" s="4" t="s">
        <v>2115</v>
      </c>
      <c r="BF4" s="4" t="s">
        <v>2116</v>
      </c>
      <c r="BG4" s="4" t="s">
        <v>1603</v>
      </c>
      <c r="BH4" s="4" t="s">
        <v>1604</v>
      </c>
      <c r="BI4" s="4" t="s">
        <v>1605</v>
      </c>
      <c r="BJ4" s="4" t="s">
        <v>96</v>
      </c>
    </row>
    <row r="5" spans="1:62">
      <c r="A5" t="str">
        <f>C5&amp;D5&amp;E5</f>
        <v>SPManuel Pacheco20</v>
      </c>
      <c r="B5">
        <f>VLOOKUP($A5,draft_listing_pitchers_stats!$A$1:$B$1324,2,FALSE)</f>
        <v>6033</v>
      </c>
      <c r="C5" s="1" t="s">
        <v>2003</v>
      </c>
      <c r="D5" s="1" t="s">
        <v>1268</v>
      </c>
      <c r="E5" s="1">
        <v>20</v>
      </c>
      <c r="F5" s="1" t="s">
        <v>2049</v>
      </c>
      <c r="G5" s="1" t="s">
        <v>2038</v>
      </c>
      <c r="H5" s="1" t="s">
        <v>2033</v>
      </c>
      <c r="I5" s="31" t="s">
        <v>2024</v>
      </c>
      <c r="J5" s="1" t="s">
        <v>2025</v>
      </c>
      <c r="K5" s="31" t="s">
        <v>2026</v>
      </c>
      <c r="L5" s="1">
        <v>5</v>
      </c>
      <c r="M5" s="1">
        <v>6</v>
      </c>
      <c r="N5" s="31">
        <v>3</v>
      </c>
      <c r="O5" s="1">
        <v>7</v>
      </c>
      <c r="P5" s="1">
        <v>8</v>
      </c>
      <c r="Q5" s="31">
        <v>8</v>
      </c>
      <c r="R5" s="1" t="s">
        <v>2027</v>
      </c>
      <c r="S5" s="1" t="s">
        <v>2027</v>
      </c>
      <c r="T5" s="1">
        <v>7</v>
      </c>
      <c r="U5" s="1">
        <v>9</v>
      </c>
      <c r="V5" s="1" t="s">
        <v>2027</v>
      </c>
      <c r="W5" s="1" t="s">
        <v>2027</v>
      </c>
      <c r="X5" s="1" t="s">
        <v>2027</v>
      </c>
      <c r="Y5" s="1" t="s">
        <v>2027</v>
      </c>
      <c r="Z5" s="1" t="s">
        <v>2027</v>
      </c>
      <c r="AA5" s="1" t="s">
        <v>2027</v>
      </c>
      <c r="AB5" s="1" t="s">
        <v>2027</v>
      </c>
      <c r="AC5" s="1" t="s">
        <v>2027</v>
      </c>
      <c r="AD5" s="1">
        <v>6</v>
      </c>
      <c r="AE5" s="1">
        <v>9</v>
      </c>
      <c r="AF5" s="1" t="s">
        <v>2027</v>
      </c>
      <c r="AG5" s="1" t="s">
        <v>2027</v>
      </c>
      <c r="AH5" s="1" t="s">
        <v>2027</v>
      </c>
      <c r="AI5" s="1" t="s">
        <v>2027</v>
      </c>
      <c r="AJ5" s="1" t="s">
        <v>2027</v>
      </c>
      <c r="AK5" s="1" t="s">
        <v>2027</v>
      </c>
      <c r="AL5" s="1" t="s">
        <v>2027</v>
      </c>
      <c r="AM5" s="1" t="s">
        <v>2027</v>
      </c>
      <c r="AN5" s="1" t="s">
        <v>2027</v>
      </c>
      <c r="AO5" s="31" t="s">
        <v>2027</v>
      </c>
      <c r="AP5" s="1" t="s">
        <v>2048</v>
      </c>
      <c r="AQ5" s="1">
        <v>8</v>
      </c>
      <c r="AR5" s="32">
        <v>0.62</v>
      </c>
      <c r="AS5" s="45">
        <v>280000</v>
      </c>
      <c r="AT5" s="9">
        <f>($O$3*(L5-$O$1)/$O$2+$P$3*(M5-$P$1)/$P$2+$Q$3*(N5-$P$1)/$Q$2)/SUM($O$3:$Q$3)</f>
        <v>-0.46091922567240617</v>
      </c>
      <c r="AU5" s="9">
        <f>($O$3*(O5-$O$1)/$O$2+$P$3*(P5-$P$1)/$P$2+$Q$3*(Q5-$Q$1)/$Q$2)/SUM($O$3:$Q$3)</f>
        <v>1.9764244372136754</v>
      </c>
      <c r="AV5">
        <f>COUNT(R5:AO5)/2</f>
        <v>2</v>
      </c>
      <c r="AW5">
        <f>COUNTIF(R5:AO5,"&gt;5")/2</f>
        <v>2</v>
      </c>
      <c r="AX5" s="6">
        <f>VLOOKUP(AP5,COND!$A$10:$B$31,2,FALSE)</f>
        <v>1.05</v>
      </c>
      <c r="AY5" s="9">
        <f>($AT$3*AT5+$AU$3*AU5+$AV$3*AV5+$AW$3*AW5)*AX5*IF(AQ5&lt;5,0.95,IF(AQ5&lt;7,0.975,1))+$J$3*VLOOKUP(J5,[1]Con!$A$2:$C$7,2,FALSE)+$K$3*VLOOKUP(K5,[1]Con!$A$2:$C$7,3,FALSE)+IF(BA5="SP",$BA$3,0)</f>
        <v>76.333120144095986</v>
      </c>
      <c r="AZ5" s="37">
        <f>STANDARDIZE(AY5,AVERAGE($AY$5:$AY$1116),STDEVP($AY$5:$AY$1116))</f>
        <v>3.3669332780049928</v>
      </c>
      <c r="BA5" t="str">
        <f>IF(OR(AND(AQ5&gt;7,AW5&gt;1),AND(AQ5&gt;4,AV5&gt;2)),"SP","RP")</f>
        <v>SP</v>
      </c>
      <c r="BB5">
        <v>1</v>
      </c>
      <c r="BC5">
        <f>VLOOKUP($A5,'Draft List'!$A$4:$V$530,22,FALSE)</f>
        <v>0</v>
      </c>
      <c r="BD5" t="s">
        <v>15</v>
      </c>
      <c r="BE5" t="str">
        <f>IF(AVERAGE($O5:$Q5)&gt;=6,"Likely",IF(AVERAGE($O5:$Q5)&gt;=4,"Possible","Unlikely"))</f>
        <v>Likely</v>
      </c>
      <c r="BG5" t="str">
        <f>IF(VLOOKUP($B5,'Draft List'!$D$4:$AB$2598,BG$3,FALSE)&lt;&gt;0,VLOOKUP($B5,'Draft List'!$D$4:$AB$2598,BG$3,FALSE),"")</f>
        <v/>
      </c>
      <c r="BH5" t="str">
        <f>IF(VLOOKUP($B5,'Draft List'!$D$4:$AB$2598,BH$3,FALSE)&lt;&gt;0,VLOOKUP($B5,'Draft List'!$D$4:$AB$2598,BH$3,FALSE),"")</f>
        <v/>
      </c>
      <c r="BI5" t="str">
        <f>IF(VLOOKUP($B5,'Draft List'!$D$4:$AB$2598,BI$3,FALSE)&lt;&gt;0,VLOOKUP($B5,'Draft List'!$D$4:$AB$2598,BI$3,FALSE),"")</f>
        <v/>
      </c>
      <c r="BJ5" t="str">
        <f>IF(OR(C5="SP",C5="MR",C5="CL"),"P",VLOOKUP($A5,Bat!$A$4:$AP$1287,42,FALSE))</f>
        <v>P</v>
      </c>
    </row>
    <row r="6" spans="1:62">
      <c r="A6" t="str">
        <f>C6&amp;D6&amp;E6</f>
        <v>SPMatt Allison21</v>
      </c>
      <c r="B6">
        <f>VLOOKUP($A6,draft_listing_pitchers_stats!$A$1:$B$1324,2,FALSE)</f>
        <v>3076</v>
      </c>
      <c r="C6" s="1" t="s">
        <v>2003</v>
      </c>
      <c r="D6" s="1" t="s">
        <v>1269</v>
      </c>
      <c r="E6" s="1">
        <v>21</v>
      </c>
      <c r="F6" s="1" t="s">
        <v>2022</v>
      </c>
      <c r="G6" s="1" t="s">
        <v>2022</v>
      </c>
      <c r="H6" s="1" t="s">
        <v>2033</v>
      </c>
      <c r="I6" s="31" t="s">
        <v>2043</v>
      </c>
      <c r="J6" s="1" t="s">
        <v>2030</v>
      </c>
      <c r="K6" s="31" t="s">
        <v>2025</v>
      </c>
      <c r="L6" s="1">
        <v>4</v>
      </c>
      <c r="M6" s="1">
        <v>5</v>
      </c>
      <c r="N6" s="31">
        <v>3</v>
      </c>
      <c r="O6" s="1">
        <v>7</v>
      </c>
      <c r="P6" s="1">
        <v>6</v>
      </c>
      <c r="Q6" s="31">
        <v>7</v>
      </c>
      <c r="R6" s="1" t="s">
        <v>2027</v>
      </c>
      <c r="S6" s="1" t="s">
        <v>2027</v>
      </c>
      <c r="T6" s="1">
        <v>3</v>
      </c>
      <c r="U6" s="1">
        <v>6</v>
      </c>
      <c r="V6" s="1">
        <v>4</v>
      </c>
      <c r="W6" s="1">
        <v>9</v>
      </c>
      <c r="X6" s="1" t="s">
        <v>2027</v>
      </c>
      <c r="Y6" s="1" t="s">
        <v>2027</v>
      </c>
      <c r="Z6" s="1" t="s">
        <v>2027</v>
      </c>
      <c r="AA6" s="1" t="s">
        <v>2027</v>
      </c>
      <c r="AB6" s="1" t="s">
        <v>2027</v>
      </c>
      <c r="AC6" s="1" t="s">
        <v>2027</v>
      </c>
      <c r="AD6" s="1">
        <v>5</v>
      </c>
      <c r="AE6" s="1">
        <v>5</v>
      </c>
      <c r="AF6" s="1" t="s">
        <v>2027</v>
      </c>
      <c r="AG6" s="1" t="s">
        <v>2027</v>
      </c>
      <c r="AH6" s="1" t="s">
        <v>2027</v>
      </c>
      <c r="AI6" s="1" t="s">
        <v>2027</v>
      </c>
      <c r="AJ6" s="1">
        <v>4</v>
      </c>
      <c r="AK6" s="1">
        <v>6</v>
      </c>
      <c r="AL6" s="1" t="s">
        <v>2027</v>
      </c>
      <c r="AM6" s="1" t="s">
        <v>2027</v>
      </c>
      <c r="AN6" s="1" t="s">
        <v>2027</v>
      </c>
      <c r="AO6" s="31" t="s">
        <v>2027</v>
      </c>
      <c r="AP6" s="1" t="s">
        <v>2028</v>
      </c>
      <c r="AQ6" s="1">
        <v>8</v>
      </c>
      <c r="AR6" s="32">
        <v>0.52</v>
      </c>
      <c r="AS6" s="45">
        <v>6500000</v>
      </c>
      <c r="AT6" s="9">
        <f>($O$3*(L6-$O$1)/$O$2+$P$3*(M6-$P$1)/$P$2+$Q$3*(N6-$P$1)/$Q$2)/SUM($O$3:$Q$3)</f>
        <v>-0.85104226661163507</v>
      </c>
      <c r="AU6" s="9">
        <f>($O$3*(O6-$O$1)/$O$2+$P$3*(P6-$P$1)/$P$2+$Q$3*(Q6-$Q$1)/$Q$2)/SUM($O$3:$Q$3)</f>
        <v>1.3432404382994541</v>
      </c>
      <c r="AV6">
        <f>COUNT(R6:AO6)/2</f>
        <v>4</v>
      </c>
      <c r="AW6">
        <f>COUNTIF(R6:AO6,"&gt;5")/2</f>
        <v>1.5</v>
      </c>
      <c r="AX6" s="6">
        <f>VLOOKUP(AP6,COND!$A$10:$B$31,2,FALSE)</f>
        <v>1.05</v>
      </c>
      <c r="AY6" s="9">
        <f>($AT$3*AT6+$AU$3*AU6+$AV$3*AV6+$AW$3*AW6)*AX6*IF(AQ6&lt;5,0.95,IF(AQ6&lt;7,0.975,1))+$J$3*VLOOKUP(J6,[1]Con!$A$2:$C$7,2,FALSE)+$K$3*VLOOKUP(K6,[1]Con!$A$2:$C$7,3,FALSE)+IF(BA6="SP",$BA$3,0)</f>
        <v>64.848080328300085</v>
      </c>
      <c r="AZ6" s="37">
        <f>STANDARDIZE(AY6,AVERAGE($AY$5:$AY$1116),STDEVP($AY$5:$AY$1116))</f>
        <v>2.45517570097791</v>
      </c>
      <c r="BA6" t="str">
        <f>IF(OR(AND(AQ6&gt;7,AW6&gt;1),AND(AQ6&gt;4,AV6&gt;2)),"SP","RP")</f>
        <v>SP</v>
      </c>
      <c r="BB6">
        <v>2</v>
      </c>
      <c r="BC6">
        <f>VLOOKUP($A6,'Draft List'!$A$4:$V$530,22,FALSE)</f>
        <v>0</v>
      </c>
      <c r="BD6" t="s">
        <v>155</v>
      </c>
      <c r="BE6" t="str">
        <f>IF(AVERAGE($O6:$Q6)&gt;=6,"Likely",IF(AVERAGE($O6:$Q6)&gt;=4,"Possible","Unlikely"))</f>
        <v>Likely</v>
      </c>
      <c r="BG6" t="str">
        <f>IF(VLOOKUP($B6,'Draft List'!$D$4:$AB$2598,BG$3,FALSE)&lt;&gt;0,VLOOKUP($B6,'Draft List'!$D$4:$AB$2598,BG$3,FALSE),"")</f>
        <v/>
      </c>
      <c r="BH6" t="str">
        <f>IF(VLOOKUP($B6,'Draft List'!$D$4:$AB$2598,BH$3,FALSE)&lt;&gt;0,VLOOKUP($B6,'Draft List'!$D$4:$AB$2598,BH$3,FALSE),"")</f>
        <v/>
      </c>
      <c r="BI6" t="str">
        <f>IF(VLOOKUP($B6,'Draft List'!$D$4:$AB$2598,BI$3,FALSE)&lt;&gt;0,VLOOKUP($B6,'Draft List'!$D$4:$AB$2598,BI$3,FALSE),"")</f>
        <v/>
      </c>
      <c r="BJ6" t="str">
        <f>IF(OR(C6="SP",C6="MR",C6="CL"),"P",VLOOKUP($A6,Bat!$A$4:$AP$1287,42,FALSE))</f>
        <v>P</v>
      </c>
    </row>
    <row r="7" spans="1:62">
      <c r="A7" t="str">
        <f>C7&amp;D7&amp;E7</f>
        <v>SPDale Cameron18</v>
      </c>
      <c r="B7">
        <f>VLOOKUP($A7,draft_listing_pitchers_stats!$A$1:$B$1324,2,FALSE)</f>
        <v>1499</v>
      </c>
      <c r="C7" s="1" t="s">
        <v>2003</v>
      </c>
      <c r="D7" s="1" t="s">
        <v>1270</v>
      </c>
      <c r="E7" s="1">
        <v>18</v>
      </c>
      <c r="F7" s="1" t="s">
        <v>2022</v>
      </c>
      <c r="G7" s="1" t="s">
        <v>2022</v>
      </c>
      <c r="H7" s="1" t="s">
        <v>2033</v>
      </c>
      <c r="I7" s="31" t="s">
        <v>2043</v>
      </c>
      <c r="J7" s="1" t="s">
        <v>2025</v>
      </c>
      <c r="K7" s="31" t="s">
        <v>2030</v>
      </c>
      <c r="L7" s="1">
        <v>2</v>
      </c>
      <c r="M7" s="1">
        <v>5</v>
      </c>
      <c r="N7" s="31">
        <v>1</v>
      </c>
      <c r="O7" s="1">
        <v>6</v>
      </c>
      <c r="P7" s="1">
        <v>7</v>
      </c>
      <c r="Q7" s="31">
        <v>8</v>
      </c>
      <c r="R7" s="1">
        <v>3</v>
      </c>
      <c r="S7" s="1">
        <v>6</v>
      </c>
      <c r="T7" s="1" t="s">
        <v>2027</v>
      </c>
      <c r="U7" s="1" t="s">
        <v>2027</v>
      </c>
      <c r="V7" s="1">
        <v>2</v>
      </c>
      <c r="W7" s="1">
        <v>8</v>
      </c>
      <c r="X7" s="1" t="s">
        <v>2027</v>
      </c>
      <c r="Y7" s="1" t="s">
        <v>2027</v>
      </c>
      <c r="Z7" s="1" t="s">
        <v>2027</v>
      </c>
      <c r="AA7" s="1" t="s">
        <v>2027</v>
      </c>
      <c r="AB7" s="1">
        <v>3</v>
      </c>
      <c r="AC7" s="1">
        <v>4</v>
      </c>
      <c r="AD7" s="1" t="s">
        <v>2027</v>
      </c>
      <c r="AE7" s="1" t="s">
        <v>2027</v>
      </c>
      <c r="AF7" s="1" t="s">
        <v>2027</v>
      </c>
      <c r="AG7" s="1" t="s">
        <v>2027</v>
      </c>
      <c r="AH7" s="1" t="s">
        <v>2027</v>
      </c>
      <c r="AI7" s="1" t="s">
        <v>2027</v>
      </c>
      <c r="AJ7" s="1" t="s">
        <v>2027</v>
      </c>
      <c r="AK7" s="1" t="s">
        <v>2027</v>
      </c>
      <c r="AL7" s="1" t="s">
        <v>2027</v>
      </c>
      <c r="AM7" s="1" t="s">
        <v>2027</v>
      </c>
      <c r="AN7" s="1" t="s">
        <v>2027</v>
      </c>
      <c r="AO7" s="31" t="s">
        <v>2027</v>
      </c>
      <c r="AP7" s="1" t="s">
        <v>2054</v>
      </c>
      <c r="AQ7" s="1">
        <v>3</v>
      </c>
      <c r="AR7" s="32">
        <v>0.61</v>
      </c>
      <c r="AS7" s="45">
        <v>1300000</v>
      </c>
      <c r="AT7" s="9">
        <f>($O$3*(L7-$O$1)/$O$2+$P$3*(M7-$P$1)/$P$2+$Q$3*(N7-$P$1)/$Q$2)/SUM($O$3:$Q$3)</f>
        <v>-1.7250660477382029</v>
      </c>
      <c r="AU7" s="9">
        <f>($O$3*(O7-$O$1)/$O$2+$P$3*(P7-$P$1)/$P$2+$Q$3*(Q7-$Q$1)/$Q$2)/SUM($O$3:$Q$3)</f>
        <v>1.5863013962744461</v>
      </c>
      <c r="AV7">
        <f>COUNT(R7:AO7)/2</f>
        <v>3</v>
      </c>
      <c r="AW7">
        <f>COUNTIF(R7:AO7,"&gt;5")/2</f>
        <v>1</v>
      </c>
      <c r="AX7" s="6">
        <f>VLOOKUP(AP7,COND!$A$10:$B$31,2,FALSE)</f>
        <v>1</v>
      </c>
      <c r="AY7" s="9">
        <f>($AT$3*AT7+$AU$3*AU7+$AV$3*AV7+$AW$3*AW7)*AX7*IF(AQ7&lt;5,0.95,IF(AQ7&lt;7,0.975,1))+$J$3*VLOOKUP(J7,[1]Con!$A$2:$C$7,2,FALSE)+$K$3*VLOOKUP(K7,[1]Con!$A$2:$C$7,3,FALSE)+IF(BA7="SP",$BA$3,0)</f>
        <v>63.17446398014421</v>
      </c>
      <c r="AZ7" s="37">
        <f>STANDARDIZE(AY7,AVERAGE($AY$5:$AY$1116),STDEVP($AY$5:$AY$1116))</f>
        <v>2.3223130891854082</v>
      </c>
      <c r="BA7" t="str">
        <f>IF(OR(AND(AQ7&gt;7,AW7&gt;1),AND(AQ7&gt;4,AV7&gt;2)),"SP","RP")</f>
        <v>RP</v>
      </c>
      <c r="BB7">
        <v>3</v>
      </c>
      <c r="BC7">
        <f>VLOOKUP($A7,'Draft List'!$A$4:$V$530,22,FALSE)</f>
        <v>0</v>
      </c>
      <c r="BD7" t="s">
        <v>17</v>
      </c>
      <c r="BE7" t="str">
        <f>IF(AVERAGE($O7:$Q7)&gt;=6,"Likely",IF(AVERAGE($O7:$Q7)&gt;=4,"Possible","Unlikely"))</f>
        <v>Likely</v>
      </c>
      <c r="BG7" t="str">
        <f>IF(VLOOKUP($B7,'Draft List'!$D$4:$AB$2598,BG$3,FALSE)&lt;&gt;0,VLOOKUP($B7,'Draft List'!$D$4:$AB$2598,BG$3,FALSE),"")</f>
        <v/>
      </c>
      <c r="BH7" t="str">
        <f>IF(VLOOKUP($B7,'Draft List'!$D$4:$AB$2598,BH$3,FALSE)&lt;&gt;0,VLOOKUP($B7,'Draft List'!$D$4:$AB$2598,BH$3,FALSE),"")</f>
        <v/>
      </c>
      <c r="BI7" t="str">
        <f>IF(VLOOKUP($B7,'Draft List'!$D$4:$AB$2598,BI$3,FALSE)&lt;&gt;0,VLOOKUP($B7,'Draft List'!$D$4:$AB$2598,BI$3,FALSE),"")</f>
        <v/>
      </c>
      <c r="BJ7" t="str">
        <f>IF(OR(C7="SP",C7="MR",C7="CL"),"P",VLOOKUP($A7,Bat!$A$4:$AP$1287,42,FALSE))</f>
        <v>P</v>
      </c>
    </row>
    <row r="8" spans="1:62">
      <c r="A8" t="str">
        <f>C8&amp;D8&amp;E8</f>
        <v>CLEric Castle21</v>
      </c>
      <c r="B8">
        <f>VLOOKUP($A8,draft_listing_pitchers_stats!$A$1:$B$1324,2,FALSE)</f>
        <v>6007</v>
      </c>
      <c r="C8" s="1" t="s">
        <v>2032</v>
      </c>
      <c r="D8" s="1" t="s">
        <v>1271</v>
      </c>
      <c r="E8" s="1">
        <v>21</v>
      </c>
      <c r="F8" s="1" t="s">
        <v>2022</v>
      </c>
      <c r="G8" s="1" t="s">
        <v>2022</v>
      </c>
      <c r="H8" s="1" t="s">
        <v>2033</v>
      </c>
      <c r="I8" s="31" t="s">
        <v>2043</v>
      </c>
      <c r="J8" s="1" t="s">
        <v>2025</v>
      </c>
      <c r="K8" s="31" t="s">
        <v>2026</v>
      </c>
      <c r="L8" s="1">
        <v>6</v>
      </c>
      <c r="M8" s="1">
        <v>6</v>
      </c>
      <c r="N8" s="31">
        <v>2</v>
      </c>
      <c r="O8" s="1">
        <v>9</v>
      </c>
      <c r="P8" s="1">
        <v>8</v>
      </c>
      <c r="Q8" s="31">
        <v>5</v>
      </c>
      <c r="R8" s="1">
        <v>7</v>
      </c>
      <c r="S8" s="1">
        <v>9</v>
      </c>
      <c r="T8" s="1" t="s">
        <v>2027</v>
      </c>
      <c r="U8" s="1" t="s">
        <v>2027</v>
      </c>
      <c r="V8" s="1" t="s">
        <v>2027</v>
      </c>
      <c r="W8" s="1" t="s">
        <v>2027</v>
      </c>
      <c r="X8" s="1" t="s">
        <v>2027</v>
      </c>
      <c r="Y8" s="1" t="s">
        <v>2027</v>
      </c>
      <c r="Z8" s="1" t="s">
        <v>2027</v>
      </c>
      <c r="AA8" s="1" t="s">
        <v>2027</v>
      </c>
      <c r="AB8" s="1">
        <v>6</v>
      </c>
      <c r="AC8" s="1">
        <v>8</v>
      </c>
      <c r="AD8" s="1" t="s">
        <v>2027</v>
      </c>
      <c r="AE8" s="1" t="s">
        <v>2027</v>
      </c>
      <c r="AF8" s="1" t="s">
        <v>2027</v>
      </c>
      <c r="AG8" s="1" t="s">
        <v>2027</v>
      </c>
      <c r="AH8" s="1" t="s">
        <v>2027</v>
      </c>
      <c r="AI8" s="1" t="s">
        <v>2027</v>
      </c>
      <c r="AJ8" s="1" t="s">
        <v>2027</v>
      </c>
      <c r="AK8" s="1" t="s">
        <v>2027</v>
      </c>
      <c r="AL8" s="1" t="s">
        <v>2027</v>
      </c>
      <c r="AM8" s="1" t="s">
        <v>2027</v>
      </c>
      <c r="AN8" s="1" t="s">
        <v>2027</v>
      </c>
      <c r="AO8" s="31" t="s">
        <v>2027</v>
      </c>
      <c r="AP8" s="1" t="s">
        <v>2031</v>
      </c>
      <c r="AQ8" s="1">
        <v>5</v>
      </c>
      <c r="AR8" s="32">
        <v>0.59</v>
      </c>
      <c r="AS8" s="45" t="s">
        <v>2029</v>
      </c>
      <c r="AT8" s="9">
        <f>($O$3*(L8-$O$1)/$O$2+$P$3*(M8-$P$1)/$P$2+$Q$3*(N8-$P$1)/$Q$2)/SUM($O$3:$Q$3)</f>
        <v>-0.50854846721734304</v>
      </c>
      <c r="AU8" s="9">
        <f>($O$3*(O8-$O$1)/$O$2+$P$3*(P8-$P$1)/$P$2+$Q$3*(Q8-$Q$1)/$Q$2)/SUM($O$3:$Q$3)</f>
        <v>1.6388453880696914</v>
      </c>
      <c r="AV8">
        <f>COUNT(R8:AO8)/2</f>
        <v>2</v>
      </c>
      <c r="AW8">
        <f>COUNTIF(R8:AO8,"&gt;5")/2</f>
        <v>2</v>
      </c>
      <c r="AX8" s="6">
        <f>VLOOKUP(AP8,COND!$A$10:$B$31,2,FALSE)</f>
        <v>1.05</v>
      </c>
      <c r="AY8" s="9">
        <f>($AT$3*AT8+$AU$3*AU8+$AV$3*AV8+$AW$3*AW8)*AX8*IF(AQ8&lt;5,0.95,IF(AQ8&lt;7,0.975,1))+$J$3*VLOOKUP(J8,[1]Con!$A$2:$C$7,2,FALSE)+$K$3*VLOOKUP(K8,[1]Con!$A$2:$C$7,3,FALSE)+IF(BA8="SP",$BA$3,0)</f>
        <v>66.284359022064194</v>
      </c>
      <c r="AZ8" s="37">
        <f>STANDARDIZE(AY8,AVERAGE($AY$5:$AY$1116),STDEVP($AY$5:$AY$1116))</f>
        <v>2.5691968974879056</v>
      </c>
      <c r="BA8" t="str">
        <f>IF(OR(AND(AQ8&gt;7,AW8&gt;1),AND(AQ8&gt;4,AV8&gt;2)),"SP","RP")</f>
        <v>RP</v>
      </c>
      <c r="BB8">
        <v>4</v>
      </c>
      <c r="BC8">
        <f>VLOOKUP($A8,'Draft List'!$A$4:$V$530,22,FALSE)</f>
        <v>0</v>
      </c>
      <c r="BD8" t="s">
        <v>20</v>
      </c>
      <c r="BE8" t="str">
        <f>IF(AVERAGE($O8:$Q8)&gt;=6,"Likely",IF(AVERAGE($O8:$Q8)&gt;=4,"Possible","Unlikely"))</f>
        <v>Likely</v>
      </c>
      <c r="BG8" t="str">
        <f>IF(VLOOKUP($B8,'Draft List'!$D$4:$AB$2598,BG$3,FALSE)&lt;&gt;0,VLOOKUP($B8,'Draft List'!$D$4:$AB$2598,BG$3,FALSE),"")</f>
        <v/>
      </c>
      <c r="BH8" t="str">
        <f>IF(VLOOKUP($B8,'Draft List'!$D$4:$AB$2598,BH$3,FALSE)&lt;&gt;0,VLOOKUP($B8,'Draft List'!$D$4:$AB$2598,BH$3,FALSE),"")</f>
        <v/>
      </c>
      <c r="BI8" t="str">
        <f>IF(VLOOKUP($B8,'Draft List'!$D$4:$AB$2598,BI$3,FALSE)&lt;&gt;0,VLOOKUP($B8,'Draft List'!$D$4:$AB$2598,BI$3,FALSE),"")</f>
        <v/>
      </c>
      <c r="BJ8" t="str">
        <f>IF(OR(C8="SP",C8="MR",C8="CL"),"P",VLOOKUP($A8,Bat!$A$4:$AP$1287,42,FALSE))</f>
        <v>P</v>
      </c>
    </row>
    <row r="9" spans="1:62">
      <c r="A9" t="str">
        <f>C9&amp;D9&amp;E9</f>
        <v>SPBartolo Esquivel22</v>
      </c>
      <c r="B9">
        <f>VLOOKUP($A9,draft_listing_pitchers_stats!$A$1:$B$1324,2,FALSE)</f>
        <v>2522</v>
      </c>
      <c r="C9" s="1" t="s">
        <v>2003</v>
      </c>
      <c r="D9" s="1" t="s">
        <v>2045</v>
      </c>
      <c r="E9" s="1">
        <v>22</v>
      </c>
      <c r="F9" s="1" t="s">
        <v>2022</v>
      </c>
      <c r="G9" s="1" t="s">
        <v>2022</v>
      </c>
      <c r="H9" s="1" t="s">
        <v>2023</v>
      </c>
      <c r="I9" s="31" t="s">
        <v>2043</v>
      </c>
      <c r="J9" s="1" t="s">
        <v>2025</v>
      </c>
      <c r="K9" s="31" t="s">
        <v>2026</v>
      </c>
      <c r="L9" s="1">
        <v>7</v>
      </c>
      <c r="M9" s="1">
        <v>5</v>
      </c>
      <c r="N9" s="31">
        <v>3</v>
      </c>
      <c r="O9" s="1">
        <v>8</v>
      </c>
      <c r="P9" s="1">
        <v>6</v>
      </c>
      <c r="Q9" s="31">
        <v>5</v>
      </c>
      <c r="R9" s="1">
        <v>8</v>
      </c>
      <c r="S9" s="1">
        <v>8</v>
      </c>
      <c r="T9" s="1">
        <v>7</v>
      </c>
      <c r="U9" s="1">
        <v>7</v>
      </c>
      <c r="V9" s="1">
        <v>5</v>
      </c>
      <c r="W9" s="1">
        <v>7</v>
      </c>
      <c r="X9" s="1" t="s">
        <v>2027</v>
      </c>
      <c r="Y9" s="1" t="s">
        <v>2027</v>
      </c>
      <c r="Z9" s="1" t="s">
        <v>2027</v>
      </c>
      <c r="AA9" s="1" t="s">
        <v>2027</v>
      </c>
      <c r="AB9" s="1" t="s">
        <v>2027</v>
      </c>
      <c r="AC9" s="1" t="s">
        <v>2027</v>
      </c>
      <c r="AD9" s="1" t="s">
        <v>2027</v>
      </c>
      <c r="AE9" s="1" t="s">
        <v>2027</v>
      </c>
      <c r="AF9" s="1">
        <v>7</v>
      </c>
      <c r="AG9" s="1">
        <v>8</v>
      </c>
      <c r="AH9" s="1" t="s">
        <v>2027</v>
      </c>
      <c r="AI9" s="1" t="s">
        <v>2027</v>
      </c>
      <c r="AJ9" s="1" t="s">
        <v>2027</v>
      </c>
      <c r="AK9" s="1" t="s">
        <v>2027</v>
      </c>
      <c r="AL9" s="1" t="s">
        <v>2027</v>
      </c>
      <c r="AM9" s="1" t="s">
        <v>2027</v>
      </c>
      <c r="AN9" s="1" t="s">
        <v>2027</v>
      </c>
      <c r="AO9" s="31" t="s">
        <v>2027</v>
      </c>
      <c r="AP9" s="1" t="s">
        <v>2046</v>
      </c>
      <c r="AQ9" s="1">
        <v>9</v>
      </c>
      <c r="AR9" s="32">
        <v>0.56000000000000005</v>
      </c>
      <c r="AS9" s="45">
        <v>2400000</v>
      </c>
      <c r="AT9" s="9">
        <f>($O$3*(L9-$O$1)/$O$2+$P$3*(M9-$P$1)/$P$2+$Q$3*(N9-$P$1)/$Q$2)/SUM($O$3:$Q$3)</f>
        <v>-0.26696829308411463</v>
      </c>
      <c r="AU9" s="9">
        <f>($O$3*(O9-$O$1)/$O$2+$P$3*(P9-$P$1)/$P$2+$Q$3*(Q9-$Q$1)/$Q$2)/SUM($O$3:$Q$3)</f>
        <v>1.0532906307004066</v>
      </c>
      <c r="AV9">
        <f>COUNT(R9:AO9)/2</f>
        <v>4</v>
      </c>
      <c r="AW9">
        <f>COUNTIF(R9:AO9,"&gt;5")/2</f>
        <v>3.5</v>
      </c>
      <c r="AX9" s="6">
        <f>VLOOKUP(AP9,COND!$A$10:$B$31,2,FALSE)</f>
        <v>1.075</v>
      </c>
      <c r="AY9" s="9">
        <f>($AT$3*AT9+$AU$3*AU9+$AV$3*AV9+$AW$3*AW9)*AX9*IF(AQ9&lt;5,0.95,IF(AQ9&lt;7,0.975,1))+$J$3*VLOOKUP(J9,[1]Con!$A$2:$C$7,2,FALSE)+$K$3*VLOOKUP(K9,[1]Con!$A$2:$C$7,3,FALSE)+IF(BA9="SP",$BA$3,0)</f>
        <v>60.691475377045656</v>
      </c>
      <c r="AZ9" s="37">
        <f>STANDARDIZE(AY9,AVERAGE($AY$5:$AY$1116),STDEVP($AY$5:$AY$1116))</f>
        <v>2.1251972141987689</v>
      </c>
      <c r="BA9" t="str">
        <f>IF(OR(AND(AQ9&gt;7,AW9&gt;1),AND(AQ9&gt;4,AV9&gt;2)),"SP","RP")</f>
        <v>SP</v>
      </c>
      <c r="BB9">
        <v>5</v>
      </c>
      <c r="BC9">
        <f>VLOOKUP($A9,'Draft List'!$A$4:$V$530,22,FALSE)</f>
        <v>0</v>
      </c>
      <c r="BD9" t="s">
        <v>156</v>
      </c>
      <c r="BE9" t="str">
        <f>IF(AVERAGE($O9:$Q9)&gt;=6,"Likely",IF(AVERAGE($O9:$Q9)&gt;=4,"Possible","Unlikely"))</f>
        <v>Likely</v>
      </c>
      <c r="BG9" t="str">
        <f>IF(VLOOKUP($B9,'Draft List'!$D$4:$AB$2598,BG$3,FALSE)&lt;&gt;0,VLOOKUP($B9,'Draft List'!$D$4:$AB$2598,BG$3,FALSE),"")</f>
        <v/>
      </c>
      <c r="BH9" t="str">
        <f>IF(VLOOKUP($B9,'Draft List'!$D$4:$AB$2598,BH$3,FALSE)&lt;&gt;0,VLOOKUP($B9,'Draft List'!$D$4:$AB$2598,BH$3,FALSE),"")</f>
        <v/>
      </c>
      <c r="BI9" t="str">
        <f>IF(VLOOKUP($B9,'Draft List'!$D$4:$AB$2598,BI$3,FALSE)&lt;&gt;0,VLOOKUP($B9,'Draft List'!$D$4:$AB$2598,BI$3,FALSE),"")</f>
        <v/>
      </c>
      <c r="BJ9" t="str">
        <f>IF(OR(C9="SP",C9="MR",C9="CL"),"P",VLOOKUP($A9,Bat!$A$4:$AP$1287,42,FALSE))</f>
        <v>P</v>
      </c>
    </row>
    <row r="10" spans="1:62">
      <c r="A10" t="str">
        <f>C10&amp;D10&amp;E10</f>
        <v>SPJoshua Hall18</v>
      </c>
      <c r="B10">
        <f>VLOOKUP($A10,draft_listing_pitchers_stats!$A$1:$B$1324,2,FALSE)</f>
        <v>1627</v>
      </c>
      <c r="C10" s="1" t="s">
        <v>2003</v>
      </c>
      <c r="D10" s="1" t="s">
        <v>1272</v>
      </c>
      <c r="E10" s="1">
        <v>18</v>
      </c>
      <c r="F10" s="1" t="s">
        <v>2022</v>
      </c>
      <c r="G10" s="1" t="s">
        <v>2022</v>
      </c>
      <c r="H10" s="1" t="s">
        <v>2033</v>
      </c>
      <c r="I10" s="31" t="s">
        <v>2043</v>
      </c>
      <c r="J10" s="1" t="s">
        <v>2025</v>
      </c>
      <c r="K10" s="31" t="s">
        <v>2040</v>
      </c>
      <c r="L10" s="1">
        <v>3</v>
      </c>
      <c r="M10" s="1">
        <v>5</v>
      </c>
      <c r="N10" s="31">
        <v>1</v>
      </c>
      <c r="O10" s="1">
        <v>6</v>
      </c>
      <c r="P10" s="1">
        <v>8</v>
      </c>
      <c r="Q10" s="31">
        <v>5</v>
      </c>
      <c r="R10" s="1">
        <v>4</v>
      </c>
      <c r="S10" s="1">
        <v>9</v>
      </c>
      <c r="T10" s="1" t="s">
        <v>2027</v>
      </c>
      <c r="U10" s="1" t="s">
        <v>2027</v>
      </c>
      <c r="V10" s="1" t="s">
        <v>2027</v>
      </c>
      <c r="W10" s="1" t="s">
        <v>2027</v>
      </c>
      <c r="X10" s="1">
        <v>3</v>
      </c>
      <c r="Y10" s="1">
        <v>6</v>
      </c>
      <c r="Z10" s="1" t="s">
        <v>2027</v>
      </c>
      <c r="AA10" s="1" t="s">
        <v>2027</v>
      </c>
      <c r="AB10" s="1" t="s">
        <v>2027</v>
      </c>
      <c r="AC10" s="1" t="s">
        <v>2027</v>
      </c>
      <c r="AD10" s="1" t="s">
        <v>2027</v>
      </c>
      <c r="AE10" s="1" t="s">
        <v>2027</v>
      </c>
      <c r="AF10" s="1" t="s">
        <v>2027</v>
      </c>
      <c r="AG10" s="1" t="s">
        <v>2027</v>
      </c>
      <c r="AH10" s="1" t="s">
        <v>2027</v>
      </c>
      <c r="AI10" s="1" t="s">
        <v>2027</v>
      </c>
      <c r="AJ10" s="1" t="s">
        <v>2027</v>
      </c>
      <c r="AK10" s="1" t="s">
        <v>2027</v>
      </c>
      <c r="AL10" s="1" t="s">
        <v>2027</v>
      </c>
      <c r="AM10" s="1" t="s">
        <v>2027</v>
      </c>
      <c r="AN10" s="1" t="s">
        <v>2027</v>
      </c>
      <c r="AO10" s="31" t="s">
        <v>2027</v>
      </c>
      <c r="AP10" s="1" t="s">
        <v>2044</v>
      </c>
      <c r="AQ10" s="1">
        <v>9</v>
      </c>
      <c r="AR10" s="32">
        <v>0.6</v>
      </c>
      <c r="AS10" s="45">
        <v>2000000</v>
      </c>
      <c r="AT10" s="9">
        <f>($O$3*(L10-$O$1)/$O$2+$P$3*(M10-$P$1)/$P$2+$Q$3*(N10-$P$1)/$Q$2)/SUM($O$3:$Q$3)</f>
        <v>-1.5303747232290292</v>
      </c>
      <c r="AU10" s="9">
        <f>($O$3*(O10-$O$1)/$O$2+$P$3*(P10-$P$1)/$P$2+$Q$3*(Q10-$Q$1)/$Q$2)/SUM($O$3:$Q$3)</f>
        <v>1.0547714145421705</v>
      </c>
      <c r="AV10">
        <f>COUNT(R10:AO10)/2</f>
        <v>2</v>
      </c>
      <c r="AW10">
        <f>COUNTIF(R10:AO10,"&gt;5")/2</f>
        <v>1</v>
      </c>
      <c r="AX10" s="6">
        <f>VLOOKUP(AP10,COND!$A$10:$B$31,2,FALSE)</f>
        <v>1</v>
      </c>
      <c r="AY10" s="9">
        <f>($AT$3*AT10+$AU$3*AU10+$AV$3*AV10+$AW$3*AW10)*AX10*IF(AQ10&lt;5,0.95,IF(AQ10&lt;7,0.975,1))+$J$3*VLOOKUP(J10,[1]Con!$A$2:$C$7,2,FALSE)+$K$3*VLOOKUP(K10,[1]Con!$A$2:$C$7,3,FALSE)+IF(BA10="SP",$BA$3,0)</f>
        <v>50.039353346197601</v>
      </c>
      <c r="AZ10" s="37">
        <f>STANDARDIZE(AY10,AVERAGE($AY$5:$AY$1116),STDEVP($AY$5:$AY$1116))</f>
        <v>1.2795620985341929</v>
      </c>
      <c r="BA10" t="str">
        <f>IF(OR(AND(AQ10&gt;7,AW10&gt;1),AND(AQ10&gt;4,AV10&gt;2)),"SP","RP")</f>
        <v>RP</v>
      </c>
      <c r="BB10">
        <v>6</v>
      </c>
      <c r="BC10">
        <f>VLOOKUP($A10,'Draft List'!$A$4:$V$530,22,FALSE)</f>
        <v>0</v>
      </c>
      <c r="BD10" t="s">
        <v>7</v>
      </c>
      <c r="BE10" t="str">
        <f>IF(AVERAGE($O10:$Q10)&gt;=6,"Likely",IF(AVERAGE($O10:$Q10)&gt;=4,"Possible","Unlikely"))</f>
        <v>Likely</v>
      </c>
      <c r="BG10" t="str">
        <f>IF(VLOOKUP($B10,'Draft List'!$D$4:$AB$2598,BG$3,FALSE)&lt;&gt;0,VLOOKUP($B10,'Draft List'!$D$4:$AB$2598,BG$3,FALSE),"")</f>
        <v/>
      </c>
      <c r="BH10" t="str">
        <f>IF(VLOOKUP($B10,'Draft List'!$D$4:$AB$2598,BH$3,FALSE)&lt;&gt;0,VLOOKUP($B10,'Draft List'!$D$4:$AB$2598,BH$3,FALSE),"")</f>
        <v/>
      </c>
      <c r="BI10" t="str">
        <f>IF(VLOOKUP($B10,'Draft List'!$D$4:$AB$2598,BI$3,FALSE)&lt;&gt;0,VLOOKUP($B10,'Draft List'!$D$4:$AB$2598,BI$3,FALSE),"")</f>
        <v/>
      </c>
      <c r="BJ10" t="str">
        <f>IF(OR(C10="SP",C10="MR",C10="CL"),"P",VLOOKUP($A10,Bat!$A$4:$AP$1287,42,FALSE))</f>
        <v>P</v>
      </c>
    </row>
    <row r="11" spans="1:62">
      <c r="A11" t="str">
        <f>C11&amp;D11&amp;E11</f>
        <v>SPMark Hickey18</v>
      </c>
      <c r="B11">
        <f>VLOOKUP($A11,draft_listing_pitchers_stats!$A$1:$B$1324,2,FALSE)</f>
        <v>703</v>
      </c>
      <c r="C11" s="1" t="s">
        <v>2003</v>
      </c>
      <c r="D11" s="1" t="s">
        <v>1273</v>
      </c>
      <c r="E11" s="1">
        <v>18</v>
      </c>
      <c r="F11" s="1" t="s">
        <v>2022</v>
      </c>
      <c r="G11" s="1" t="s">
        <v>2022</v>
      </c>
      <c r="H11" s="1" t="s">
        <v>2033</v>
      </c>
      <c r="I11" s="31" t="s">
        <v>2043</v>
      </c>
      <c r="J11" s="1" t="s">
        <v>2025</v>
      </c>
      <c r="K11" s="31" t="s">
        <v>2025</v>
      </c>
      <c r="L11" s="1">
        <v>2</v>
      </c>
      <c r="M11" s="1">
        <v>6</v>
      </c>
      <c r="N11" s="31">
        <v>1</v>
      </c>
      <c r="O11" s="1">
        <v>4</v>
      </c>
      <c r="P11" s="1">
        <v>9</v>
      </c>
      <c r="Q11" s="31">
        <v>9</v>
      </c>
      <c r="R11" s="1" t="s">
        <v>2027</v>
      </c>
      <c r="S11" s="1" t="s">
        <v>2027</v>
      </c>
      <c r="T11" s="1">
        <v>2</v>
      </c>
      <c r="U11" s="1">
        <v>5</v>
      </c>
      <c r="V11" s="1">
        <v>2</v>
      </c>
      <c r="W11" s="1">
        <v>5</v>
      </c>
      <c r="X11" s="1" t="s">
        <v>2027</v>
      </c>
      <c r="Y11" s="1" t="s">
        <v>2027</v>
      </c>
      <c r="Z11" s="1">
        <v>4</v>
      </c>
      <c r="AA11" s="1">
        <v>7</v>
      </c>
      <c r="AB11" s="1" t="s">
        <v>2027</v>
      </c>
      <c r="AC11" s="1" t="s">
        <v>2027</v>
      </c>
      <c r="AD11" s="1" t="s">
        <v>2027</v>
      </c>
      <c r="AE11" s="1" t="s">
        <v>2027</v>
      </c>
      <c r="AF11" s="1" t="s">
        <v>2027</v>
      </c>
      <c r="AG11" s="1" t="s">
        <v>2027</v>
      </c>
      <c r="AH11" s="1" t="s">
        <v>2027</v>
      </c>
      <c r="AI11" s="1" t="s">
        <v>2027</v>
      </c>
      <c r="AJ11" s="1" t="s">
        <v>2027</v>
      </c>
      <c r="AK11" s="1" t="s">
        <v>2027</v>
      </c>
      <c r="AL11" s="1" t="s">
        <v>2027</v>
      </c>
      <c r="AM11" s="1" t="s">
        <v>2027</v>
      </c>
      <c r="AN11" s="1" t="s">
        <v>2027</v>
      </c>
      <c r="AO11" s="31" t="s">
        <v>2027</v>
      </c>
      <c r="AP11" s="1" t="s">
        <v>2034</v>
      </c>
      <c r="AQ11" s="1">
        <v>4</v>
      </c>
      <c r="AR11" s="32">
        <v>0.71</v>
      </c>
      <c r="AS11" s="45">
        <v>2200000</v>
      </c>
      <c r="AT11" s="9">
        <f>($O$3*(L11-$O$1)/$O$2+$P$3*(M11-$P$1)/$P$2+$Q$3*(N11-$P$1)/$Q$2)/SUM($O$3:$Q$3)</f>
        <v>-1.5296343313081475</v>
      </c>
      <c r="AU11" s="9">
        <f>($O$3*(O11-$O$1)/$O$2+$P$3*(P11-$P$1)/$P$2+$Q$3*(Q11-$Q$1)/$Q$2)/SUM($O$3:$Q$3)</f>
        <v>1.8301027461703205</v>
      </c>
      <c r="AV11">
        <f>COUNT(R11:AO11)/2</f>
        <v>3</v>
      </c>
      <c r="AW11">
        <f>COUNTIF(R11:AO11,"&gt;5")/2</f>
        <v>0.5</v>
      </c>
      <c r="AX11" s="6">
        <f>VLOOKUP(AP11,COND!$A$10:$B$31,2,FALSE)</f>
        <v>1</v>
      </c>
      <c r="AY11" s="9">
        <f>($AT$3*AT11+$AU$3*AU11+$AV$3*AV11+$AW$3*AW11)*AX11*IF(AQ11&lt;5,0.95,IF(AQ11&lt;7,0.975,1))+$J$3*VLOOKUP(J11,[1]Con!$A$2:$C$7,2,FALSE)+$K$3*VLOOKUP(K11,[1]Con!$A$2:$C$7,3,FALSE)+IF(BA11="SP",$BA$3,0)</f>
        <v>66.500071654287552</v>
      </c>
      <c r="AZ11" s="37">
        <f>STANDARDIZE(AY11,AVERAGE($AY$5:$AY$1116),STDEVP($AY$5:$AY$1116))</f>
        <v>2.5863215770749632</v>
      </c>
      <c r="BA11" t="str">
        <f>IF(OR(AND(AQ11&gt;7,AW11&gt;1),AND(AQ11&gt;4,AV11&gt;2)),"SP","RP")</f>
        <v>RP</v>
      </c>
      <c r="BB11">
        <v>7</v>
      </c>
      <c r="BC11">
        <f>VLOOKUP($A11,'Draft List'!$A$4:$V$530,22,FALSE)</f>
        <v>0</v>
      </c>
      <c r="BD11" t="s">
        <v>157</v>
      </c>
      <c r="BE11" t="str">
        <f>IF(AVERAGE($O11:$Q11)&gt;=6,"Likely",IF(AVERAGE($O11:$Q11)&gt;=4,"Possible","Unlikely"))</f>
        <v>Likely</v>
      </c>
      <c r="BG11" t="str">
        <f>IF(VLOOKUP($B11,'Draft List'!$D$4:$AB$2598,BG$3,FALSE)&lt;&gt;0,VLOOKUP($B11,'Draft List'!$D$4:$AB$2598,BG$3,FALSE),"")</f>
        <v/>
      </c>
      <c r="BH11" t="str">
        <f>IF(VLOOKUP($B11,'Draft List'!$D$4:$AB$2598,BH$3,FALSE)&lt;&gt;0,VLOOKUP($B11,'Draft List'!$D$4:$AB$2598,BH$3,FALSE),"")</f>
        <v/>
      </c>
      <c r="BI11" t="str">
        <f>IF(VLOOKUP($B11,'Draft List'!$D$4:$AB$2598,BI$3,FALSE)&lt;&gt;0,VLOOKUP($B11,'Draft List'!$D$4:$AB$2598,BI$3,FALSE),"")</f>
        <v/>
      </c>
      <c r="BJ11" t="str">
        <f>IF(OR(C11="SP",C11="MR",C11="CL"),"P",VLOOKUP($A11,Bat!$A$4:$AP$1287,42,FALSE))</f>
        <v>P</v>
      </c>
    </row>
    <row r="12" spans="1:62">
      <c r="A12" t="str">
        <f>C12&amp;D12&amp;E12</f>
        <v>MRDave Kirkpatrick18</v>
      </c>
      <c r="B12">
        <f>VLOOKUP($A12,draft_listing_pitchers_stats!$A$1:$B$1324,2,FALSE)</f>
        <v>1703</v>
      </c>
      <c r="C12" s="1" t="s">
        <v>2021</v>
      </c>
      <c r="D12" s="1" t="s">
        <v>1274</v>
      </c>
      <c r="E12" s="1">
        <v>18</v>
      </c>
      <c r="F12" s="1" t="s">
        <v>2022</v>
      </c>
      <c r="G12" s="1" t="s">
        <v>2022</v>
      </c>
      <c r="H12" s="1" t="s">
        <v>2033</v>
      </c>
      <c r="I12" s="31" t="s">
        <v>2043</v>
      </c>
      <c r="J12" s="1" t="s">
        <v>2026</v>
      </c>
      <c r="K12" s="31" t="s">
        <v>2030</v>
      </c>
      <c r="L12" s="1">
        <v>3</v>
      </c>
      <c r="M12" s="1">
        <v>4</v>
      </c>
      <c r="N12" s="31">
        <v>1</v>
      </c>
      <c r="O12" s="1">
        <v>6</v>
      </c>
      <c r="P12" s="1">
        <v>6</v>
      </c>
      <c r="Q12" s="31">
        <v>9</v>
      </c>
      <c r="R12" s="1">
        <v>4</v>
      </c>
      <c r="S12" s="1">
        <v>5</v>
      </c>
      <c r="T12" s="1" t="s">
        <v>2027</v>
      </c>
      <c r="U12" s="1" t="s">
        <v>2027</v>
      </c>
      <c r="V12" s="1" t="s">
        <v>2027</v>
      </c>
      <c r="W12" s="1" t="s">
        <v>2027</v>
      </c>
      <c r="X12" s="1" t="s">
        <v>2027</v>
      </c>
      <c r="Y12" s="1" t="s">
        <v>2027</v>
      </c>
      <c r="Z12" s="1" t="s">
        <v>2027</v>
      </c>
      <c r="AA12" s="1" t="s">
        <v>2027</v>
      </c>
      <c r="AB12" s="1">
        <v>4</v>
      </c>
      <c r="AC12" s="1">
        <v>6</v>
      </c>
      <c r="AD12" s="1" t="s">
        <v>2027</v>
      </c>
      <c r="AE12" s="1" t="s">
        <v>2027</v>
      </c>
      <c r="AF12" s="1" t="s">
        <v>2027</v>
      </c>
      <c r="AG12" s="1" t="s">
        <v>2027</v>
      </c>
      <c r="AH12" s="1" t="s">
        <v>2027</v>
      </c>
      <c r="AI12" s="1" t="s">
        <v>2027</v>
      </c>
      <c r="AJ12" s="1" t="s">
        <v>2027</v>
      </c>
      <c r="AK12" s="1" t="s">
        <v>2027</v>
      </c>
      <c r="AL12" s="1" t="s">
        <v>2027</v>
      </c>
      <c r="AM12" s="1" t="s">
        <v>2027</v>
      </c>
      <c r="AN12" s="1" t="s">
        <v>2027</v>
      </c>
      <c r="AO12" s="31" t="s">
        <v>2027</v>
      </c>
      <c r="AP12" s="1" t="s">
        <v>2041</v>
      </c>
      <c r="AQ12" s="1">
        <v>5</v>
      </c>
      <c r="AR12" s="32">
        <v>0.56000000000000005</v>
      </c>
      <c r="AS12" s="45">
        <v>2600000</v>
      </c>
      <c r="AT12" s="9">
        <f>($O$3*(L12-$O$1)/$O$2+$P$3*(M12-$P$1)/$P$2+$Q$3*(N12-$P$1)/$Q$2)/SUM($O$3:$Q$3)</f>
        <v>-1.7258064396590846</v>
      </c>
      <c r="AU12" s="9">
        <f>($O$3*(O12-$O$1)/$O$2+$P$3*(P12-$P$1)/$P$2+$Q$3*(Q12-$Q$1)/$Q$2)/SUM($O$3:$Q$3)</f>
        <v>1.633190245898501</v>
      </c>
      <c r="AV12">
        <f>COUNT(R12:AO12)/2</f>
        <v>2</v>
      </c>
      <c r="AW12">
        <f>COUNTIF(R12:AO12,"&gt;5")/2</f>
        <v>0.5</v>
      </c>
      <c r="AX12" s="6">
        <f>VLOOKUP(AP12,COND!$A$10:$B$31,2,FALSE)</f>
        <v>1</v>
      </c>
      <c r="AY12" s="9">
        <f>($AT$3*AT12+$AU$3*AU12+$AV$3*AV12+$AW$3*AW12)*AX12*IF(AQ12&lt;5,0.95,IF(AQ12&lt;7,0.975,1))+$J$3*VLOOKUP(J12,[1]Con!$A$2:$C$7,2,FALSE)+$K$3*VLOOKUP(K12,[1]Con!$A$2:$C$7,3,FALSE)+IF(BA12="SP",$BA$3,0)</f>
        <v>63.095052539287245</v>
      </c>
      <c r="AZ12" s="37">
        <f>STANDARDIZE(AY12,AVERAGE($AY$5:$AY$1116),STDEVP($AY$5:$AY$1116))</f>
        <v>2.3160088896297051</v>
      </c>
      <c r="BA12" t="str">
        <f>IF(OR(AND(AQ12&gt;7,AW12&gt;1),AND(AQ12&gt;4,AV12&gt;2)),"SP","RP")</f>
        <v>RP</v>
      </c>
      <c r="BB12">
        <v>8</v>
      </c>
      <c r="BC12">
        <f>VLOOKUP($A12,'Draft List'!$A$4:$V$530,22,FALSE)</f>
        <v>0</v>
      </c>
      <c r="BD12" t="s">
        <v>0</v>
      </c>
      <c r="BE12" t="str">
        <f>IF(AVERAGE($O12:$Q12)&gt;=6,"Likely",IF(AVERAGE($O12:$Q12)&gt;=4,"Possible","Unlikely"))</f>
        <v>Likely</v>
      </c>
      <c r="BG12" t="str">
        <f>IF(VLOOKUP($B12,'Draft List'!$D$4:$AB$2598,BG$3,FALSE)&lt;&gt;0,VLOOKUP($B12,'Draft List'!$D$4:$AB$2598,BG$3,FALSE),"")</f>
        <v/>
      </c>
      <c r="BH12" t="str">
        <f>IF(VLOOKUP($B12,'Draft List'!$D$4:$AB$2598,BH$3,FALSE)&lt;&gt;0,VLOOKUP($B12,'Draft List'!$D$4:$AB$2598,BH$3,FALSE),"")</f>
        <v/>
      </c>
      <c r="BI12" t="str">
        <f>IF(VLOOKUP($B12,'Draft List'!$D$4:$AB$2598,BI$3,FALSE)&lt;&gt;0,VLOOKUP($B12,'Draft List'!$D$4:$AB$2598,BI$3,FALSE),"")</f>
        <v/>
      </c>
      <c r="BJ12" t="str">
        <f>IF(OR(C12="SP",C12="MR",C12="CL"),"P",VLOOKUP($A12,Bat!$A$4:$AP$1287,42,FALSE))</f>
        <v>P</v>
      </c>
    </row>
    <row r="13" spans="1:62">
      <c r="A13" t="str">
        <f>C13&amp;D13&amp;E13</f>
        <v>SPMelvin McNeal18</v>
      </c>
      <c r="B13">
        <f>VLOOKUP($A13,draft_listing_pitchers_stats!$A$1:$B$1324,2,FALSE)</f>
        <v>13743</v>
      </c>
      <c r="C13" s="1" t="s">
        <v>2003</v>
      </c>
      <c r="D13" s="1" t="s">
        <v>1275</v>
      </c>
      <c r="E13" s="1">
        <v>18</v>
      </c>
      <c r="F13" s="1" t="s">
        <v>2022</v>
      </c>
      <c r="G13" s="1" t="s">
        <v>2038</v>
      </c>
      <c r="H13" s="1" t="s">
        <v>2033</v>
      </c>
      <c r="I13" s="31" t="s">
        <v>2043</v>
      </c>
      <c r="J13" s="1" t="s">
        <v>2036</v>
      </c>
      <c r="K13" s="31" t="s">
        <v>2025</v>
      </c>
      <c r="L13" s="1">
        <v>2</v>
      </c>
      <c r="M13" s="1">
        <v>6</v>
      </c>
      <c r="N13" s="31">
        <v>1</v>
      </c>
      <c r="O13" s="1">
        <v>4</v>
      </c>
      <c r="P13" s="1">
        <v>9</v>
      </c>
      <c r="Q13" s="31">
        <v>7</v>
      </c>
      <c r="R13" s="1" t="s">
        <v>2027</v>
      </c>
      <c r="S13" s="1" t="s">
        <v>2027</v>
      </c>
      <c r="T13" s="1">
        <v>1</v>
      </c>
      <c r="U13" s="1">
        <v>3</v>
      </c>
      <c r="V13" s="1">
        <v>2</v>
      </c>
      <c r="W13" s="1">
        <v>5</v>
      </c>
      <c r="X13" s="1">
        <v>2</v>
      </c>
      <c r="Y13" s="1">
        <v>3</v>
      </c>
      <c r="Z13" s="1">
        <v>4</v>
      </c>
      <c r="AA13" s="1">
        <v>6</v>
      </c>
      <c r="AB13" s="1" t="s">
        <v>2027</v>
      </c>
      <c r="AC13" s="1" t="s">
        <v>2027</v>
      </c>
      <c r="AD13" s="1" t="s">
        <v>2027</v>
      </c>
      <c r="AE13" s="1" t="s">
        <v>2027</v>
      </c>
      <c r="AF13" s="1">
        <v>3</v>
      </c>
      <c r="AG13" s="1">
        <v>4</v>
      </c>
      <c r="AH13" s="1" t="s">
        <v>2027</v>
      </c>
      <c r="AI13" s="1" t="s">
        <v>2027</v>
      </c>
      <c r="AJ13" s="1" t="s">
        <v>2027</v>
      </c>
      <c r="AK13" s="1" t="s">
        <v>2027</v>
      </c>
      <c r="AL13" s="1" t="s">
        <v>2027</v>
      </c>
      <c r="AM13" s="1" t="s">
        <v>2027</v>
      </c>
      <c r="AN13" s="1" t="s">
        <v>2027</v>
      </c>
      <c r="AO13" s="31" t="s">
        <v>2027</v>
      </c>
      <c r="AP13" s="1" t="s">
        <v>2054</v>
      </c>
      <c r="AQ13" s="1">
        <v>7</v>
      </c>
      <c r="AR13" s="32">
        <v>0.73</v>
      </c>
      <c r="AS13" s="45">
        <v>1900000</v>
      </c>
      <c r="AT13" s="9">
        <f>($O$3*(L13-$O$1)/$O$2+$P$3*(M13-$P$1)/$P$2+$Q$3*(N13-$P$1)/$Q$2)/SUM($O$3:$Q$3)</f>
        <v>-1.5296343313081475</v>
      </c>
      <c r="AU13" s="9">
        <f>($O$3*(O13-$O$1)/$O$2+$P$3*(P13-$P$1)/$P$2+$Q$3*(Q13-$Q$1)/$Q$2)/SUM($O$3:$Q$3)</f>
        <v>1.3454616140620996</v>
      </c>
      <c r="AV13">
        <f>COUNT(R13:AO13)/2</f>
        <v>5</v>
      </c>
      <c r="AW13">
        <f>COUNTIF(R13:AO13,"&gt;5")/2</f>
        <v>0.5</v>
      </c>
      <c r="AX13" s="6">
        <f>VLOOKUP(AP13,COND!$A$10:$B$31,2,FALSE)</f>
        <v>1</v>
      </c>
      <c r="AY13" s="9">
        <f>($AT$3*AT13+$AU$3*AU13+$AV$3*AV13+$AW$3*AW13)*AX13*IF(AQ13&lt;5,0.95,IF(AQ13&lt;7,0.975,1))+$J$3*VLOOKUP(J13,[1]Con!$A$2:$C$7,2,FALSE)+$K$3*VLOOKUP(K13,[1]Con!$A$2:$C$7,3,FALSE)+IF(BA13="SP",$BA$3,0)</f>
        <v>62.778305414980366</v>
      </c>
      <c r="AZ13" s="37">
        <f>STANDARDIZE(AY13,AVERAGE($AY$5:$AY$1116),STDEVP($AY$5:$AY$1116))</f>
        <v>2.2908634312577507</v>
      </c>
      <c r="BA13" t="str">
        <f>IF(OR(AND(AQ13&gt;7,AW13&gt;1),AND(AQ13&gt;4,AV13&gt;2)),"SP","RP")</f>
        <v>SP</v>
      </c>
      <c r="BB13">
        <v>9</v>
      </c>
      <c r="BC13">
        <f>VLOOKUP($A13,'Draft List'!$A$4:$V$530,22,FALSE)</f>
        <v>0</v>
      </c>
      <c r="BD13" t="s">
        <v>9</v>
      </c>
      <c r="BE13" t="str">
        <f>IF(AVERAGE($O13:$Q13)&gt;=6,"Likely",IF(AVERAGE($O13:$Q13)&gt;=4,"Possible","Unlikely"))</f>
        <v>Likely</v>
      </c>
      <c r="BG13" t="str">
        <f>IF(VLOOKUP($B13,'Draft List'!$D$4:$AB$2598,BG$3,FALSE)&lt;&gt;0,VLOOKUP($B13,'Draft List'!$D$4:$AB$2598,BG$3,FALSE),"")</f>
        <v/>
      </c>
      <c r="BH13" t="str">
        <f>IF(VLOOKUP($B13,'Draft List'!$D$4:$AB$2598,BH$3,FALSE)&lt;&gt;0,VLOOKUP($B13,'Draft List'!$D$4:$AB$2598,BH$3,FALSE),"")</f>
        <v/>
      </c>
      <c r="BI13" t="str">
        <f>IF(VLOOKUP($B13,'Draft List'!$D$4:$AB$2598,BI$3,FALSE)&lt;&gt;0,VLOOKUP($B13,'Draft List'!$D$4:$AB$2598,BI$3,FALSE),"")</f>
        <v/>
      </c>
      <c r="BJ13" t="str">
        <f>IF(OR(C13="SP",C13="MR",C13="CL"),"P",VLOOKUP($A13,Bat!$A$4:$AP$1287,42,FALSE))</f>
        <v>P</v>
      </c>
    </row>
    <row r="14" spans="1:62">
      <c r="A14" t="str">
        <f>C14&amp;D14&amp;E14</f>
        <v>SPMiguel Angel Romero21</v>
      </c>
      <c r="B14">
        <f>VLOOKUP($A14,draft_listing_pitchers_stats!$A$1:$B$1324,2,FALSE)</f>
        <v>2478</v>
      </c>
      <c r="C14" s="1" t="s">
        <v>2003</v>
      </c>
      <c r="D14" s="1" t="s">
        <v>1276</v>
      </c>
      <c r="E14" s="1">
        <v>21</v>
      </c>
      <c r="F14" s="1" t="s">
        <v>2022</v>
      </c>
      <c r="G14" s="1" t="s">
        <v>2022</v>
      </c>
      <c r="H14" s="1" t="s">
        <v>2033</v>
      </c>
      <c r="I14" s="31" t="s">
        <v>2043</v>
      </c>
      <c r="J14" s="1" t="s">
        <v>2040</v>
      </c>
      <c r="K14" s="31" t="s">
        <v>2025</v>
      </c>
      <c r="L14" s="1">
        <v>5</v>
      </c>
      <c r="M14" s="1">
        <v>6</v>
      </c>
      <c r="N14" s="31">
        <v>3</v>
      </c>
      <c r="O14" s="1">
        <v>6</v>
      </c>
      <c r="P14" s="1">
        <v>7</v>
      </c>
      <c r="Q14" s="31">
        <v>8</v>
      </c>
      <c r="R14" s="1">
        <v>6</v>
      </c>
      <c r="S14" s="1">
        <v>7</v>
      </c>
      <c r="T14" s="1">
        <v>1</v>
      </c>
      <c r="U14" s="1">
        <v>5</v>
      </c>
      <c r="V14" s="1">
        <v>4</v>
      </c>
      <c r="W14" s="1">
        <v>6</v>
      </c>
      <c r="X14" s="1">
        <v>4</v>
      </c>
      <c r="Y14" s="1">
        <v>6</v>
      </c>
      <c r="Z14" s="1" t="s">
        <v>2027</v>
      </c>
      <c r="AA14" s="1" t="s">
        <v>2027</v>
      </c>
      <c r="AB14" s="1" t="s">
        <v>2027</v>
      </c>
      <c r="AC14" s="1" t="s">
        <v>2027</v>
      </c>
      <c r="AD14" s="1" t="s">
        <v>2027</v>
      </c>
      <c r="AE14" s="1" t="s">
        <v>2027</v>
      </c>
      <c r="AF14" s="1" t="s">
        <v>2027</v>
      </c>
      <c r="AG14" s="1" t="s">
        <v>2027</v>
      </c>
      <c r="AH14" s="1" t="s">
        <v>2027</v>
      </c>
      <c r="AI14" s="1" t="s">
        <v>2027</v>
      </c>
      <c r="AJ14" s="1" t="s">
        <v>2027</v>
      </c>
      <c r="AK14" s="1" t="s">
        <v>2027</v>
      </c>
      <c r="AL14" s="1" t="s">
        <v>2027</v>
      </c>
      <c r="AM14" s="1" t="s">
        <v>2027</v>
      </c>
      <c r="AN14" s="1" t="s">
        <v>2027</v>
      </c>
      <c r="AO14" s="31" t="s">
        <v>2027</v>
      </c>
      <c r="AP14" s="1" t="s">
        <v>2031</v>
      </c>
      <c r="AQ14" s="1">
        <v>10</v>
      </c>
      <c r="AR14" s="32">
        <v>0.56999999999999995</v>
      </c>
      <c r="AS14" s="45">
        <v>2200000</v>
      </c>
      <c r="AT14" s="9">
        <f>($O$3*(L14-$O$1)/$O$2+$P$3*(M14-$P$1)/$P$2+$Q$3*(N14-$P$1)/$Q$2)/SUM($O$3:$Q$3)</f>
        <v>-0.46091922567240617</v>
      </c>
      <c r="AU14" s="9">
        <f>($O$3*(O14-$O$1)/$O$2+$P$3*(P14-$P$1)/$P$2+$Q$3*(Q14-$Q$1)/$Q$2)/SUM($O$3:$Q$3)</f>
        <v>1.5863013962744461</v>
      </c>
      <c r="AV14">
        <f>COUNT(R14:AO14)/2</f>
        <v>4</v>
      </c>
      <c r="AW14">
        <f>COUNTIF(R14:AO14,"&gt;5")/2</f>
        <v>2</v>
      </c>
      <c r="AX14" s="6">
        <f>VLOOKUP(AP14,COND!$A$10:$B$31,2,FALSE)</f>
        <v>1.05</v>
      </c>
      <c r="AY14" s="9">
        <f>($AT$3*AT14+$AU$3*AU14+$AV$3*AV14+$AW$3*AW14)*AX14*IF(AQ14&lt;5,0.95,IF(AQ14&lt;7,0.975,1))+$J$3*VLOOKUP(J14,[1]Con!$A$2:$C$7,2,FALSE)+$K$3*VLOOKUP(K14,[1]Con!$A$2:$C$7,3,FALSE)+IF(BA14="SP",$BA$3,0)</f>
        <v>66.940536284372158</v>
      </c>
      <c r="AZ14" s="37">
        <f>STANDARDIZE(AY14,AVERAGE($AY$5:$AY$1116),STDEVP($AY$5:$AY$1116))</f>
        <v>2.6212885402142407</v>
      </c>
      <c r="BA14" t="str">
        <f>IF(OR(AND(AQ14&gt;7,AW14&gt;1),AND(AQ14&gt;4,AV14&gt;2)),"SP","RP")</f>
        <v>SP</v>
      </c>
      <c r="BB14">
        <v>10</v>
      </c>
      <c r="BC14">
        <f>VLOOKUP($A14,'Draft List'!$A$4:$V$530,22,FALSE)</f>
        <v>0</v>
      </c>
      <c r="BD14" t="s">
        <v>2</v>
      </c>
      <c r="BE14" t="str">
        <f>IF(AVERAGE($O14:$Q14)&gt;=6,"Likely",IF(AVERAGE($O14:$Q14)&gt;=4,"Possible","Unlikely"))</f>
        <v>Likely</v>
      </c>
      <c r="BG14" t="str">
        <f>IF(VLOOKUP($B14,'Draft List'!$D$4:$AB$2598,BG$3,FALSE)&lt;&gt;0,VLOOKUP($B14,'Draft List'!$D$4:$AB$2598,BG$3,FALSE),"")</f>
        <v/>
      </c>
      <c r="BH14" t="str">
        <f>IF(VLOOKUP($B14,'Draft List'!$D$4:$AB$2598,BH$3,FALSE)&lt;&gt;0,VLOOKUP($B14,'Draft List'!$D$4:$AB$2598,BH$3,FALSE),"")</f>
        <v/>
      </c>
      <c r="BI14" t="str">
        <f>IF(VLOOKUP($B14,'Draft List'!$D$4:$AB$2598,BI$3,FALSE)&lt;&gt;0,VLOOKUP($B14,'Draft List'!$D$4:$AB$2598,BI$3,FALSE),"")</f>
        <v/>
      </c>
      <c r="BJ14" t="str">
        <f>IF(OR(C14="SP",C14="MR",C14="CL"),"P",VLOOKUP($A14,Bat!$A$4:$AP$1287,42,FALSE))</f>
        <v>P</v>
      </c>
    </row>
    <row r="15" spans="1:62">
      <c r="A15" t="str">
        <f>C15&amp;D15&amp;E15</f>
        <v>SPOtto Coleman18</v>
      </c>
      <c r="B15">
        <f>VLOOKUP($A15,draft_listing_pitchers_stats!$A$1:$B$1324,2,FALSE)</f>
        <v>13742</v>
      </c>
      <c r="C15" s="1" t="s">
        <v>2003</v>
      </c>
      <c r="D15" s="1" t="s">
        <v>1280</v>
      </c>
      <c r="E15" s="1">
        <v>18</v>
      </c>
      <c r="F15" s="1" t="s">
        <v>2022</v>
      </c>
      <c r="G15" s="1" t="s">
        <v>2038</v>
      </c>
      <c r="H15" s="1" t="s">
        <v>2033</v>
      </c>
      <c r="I15" s="31" t="s">
        <v>2043</v>
      </c>
      <c r="J15" s="1" t="s">
        <v>2030</v>
      </c>
      <c r="K15" s="31" t="s">
        <v>2030</v>
      </c>
      <c r="L15" s="1">
        <v>2</v>
      </c>
      <c r="M15" s="1">
        <v>5</v>
      </c>
      <c r="N15" s="31">
        <v>2</v>
      </c>
      <c r="O15" s="1">
        <v>5</v>
      </c>
      <c r="P15" s="1">
        <v>7</v>
      </c>
      <c r="Q15" s="31">
        <v>8</v>
      </c>
      <c r="R15" s="1">
        <v>3</v>
      </c>
      <c r="S15" s="1">
        <v>5</v>
      </c>
      <c r="T15" s="1">
        <v>2</v>
      </c>
      <c r="U15" s="1">
        <v>6</v>
      </c>
      <c r="V15" s="1" t="s">
        <v>2027</v>
      </c>
      <c r="W15" s="1" t="s">
        <v>2027</v>
      </c>
      <c r="X15" s="1">
        <v>2</v>
      </c>
      <c r="Y15" s="1">
        <v>6</v>
      </c>
      <c r="Z15" s="1" t="s">
        <v>2027</v>
      </c>
      <c r="AA15" s="1" t="s">
        <v>2027</v>
      </c>
      <c r="AB15" s="1" t="s">
        <v>2027</v>
      </c>
      <c r="AC15" s="1" t="s">
        <v>2027</v>
      </c>
      <c r="AD15" s="1" t="s">
        <v>2027</v>
      </c>
      <c r="AE15" s="1" t="s">
        <v>2027</v>
      </c>
      <c r="AF15" s="1" t="s">
        <v>2027</v>
      </c>
      <c r="AG15" s="1" t="s">
        <v>2027</v>
      </c>
      <c r="AH15" s="1" t="s">
        <v>2027</v>
      </c>
      <c r="AI15" s="1" t="s">
        <v>2027</v>
      </c>
      <c r="AJ15" s="1" t="s">
        <v>2027</v>
      </c>
      <c r="AK15" s="1" t="s">
        <v>2027</v>
      </c>
      <c r="AL15" s="1" t="s">
        <v>2027</v>
      </c>
      <c r="AM15" s="1" t="s">
        <v>2027</v>
      </c>
      <c r="AN15" s="1" t="s">
        <v>2027</v>
      </c>
      <c r="AO15" s="31" t="s">
        <v>2027</v>
      </c>
      <c r="AP15" s="1" t="s">
        <v>2034</v>
      </c>
      <c r="AQ15" s="1">
        <v>8</v>
      </c>
      <c r="AR15" s="32">
        <v>0.56000000000000005</v>
      </c>
      <c r="AS15" s="45">
        <v>1400000</v>
      </c>
      <c r="AT15" s="9">
        <f>($O$3*(L15-$O$1)/$O$2+$P$3*(M15-$P$1)/$P$2+$Q$3*(N15-$P$1)/$Q$2)/SUM($O$3:$Q$3)</f>
        <v>-1.4827454816840926</v>
      </c>
      <c r="AU15" s="9">
        <f>($O$3*(O15-$O$1)/$O$2+$P$3*(P15-$P$1)/$P$2+$Q$3*(Q15-$Q$1)/$Q$2)/SUM($O$3:$Q$3)</f>
        <v>1.3916100717652726</v>
      </c>
      <c r="AV15">
        <f>COUNT(R15:AO15)/2</f>
        <v>3</v>
      </c>
      <c r="AW15">
        <f>COUNTIF(R15:AO15,"&gt;5")/2</f>
        <v>1</v>
      </c>
      <c r="AX15" s="6">
        <f>VLOOKUP(AP15,COND!$A$10:$B$31,2,FALSE)</f>
        <v>1</v>
      </c>
      <c r="AY15" s="9">
        <f>($AT$3*AT15+$AU$3*AU15+$AV$3*AV15+$AW$3*AW15)*AX15*IF(AQ15&lt;5,0.95,IF(AQ15&lt;7,0.975,1))+$J$3*VLOOKUP(J15,[1]Con!$A$2:$C$7,2,FALSE)+$K$3*VLOOKUP(K15,[1]Con!$A$2:$C$7,3,FALSE)+IF(BA15="SP",$BA$3,0)</f>
        <v>63.785652338968632</v>
      </c>
      <c r="AZ15" s="37">
        <f>STANDARDIZE(AY15,AVERAGE($AY$5:$AY$1116),STDEVP($AY$5:$AY$1116))</f>
        <v>2.3708332185089911</v>
      </c>
      <c r="BA15" t="str">
        <f>IF(OR(AND(AQ15&gt;7,AW15&gt;1),AND(AQ15&gt;4,AV15&gt;2)),"SP","RP")</f>
        <v>SP</v>
      </c>
      <c r="BC15">
        <f>VLOOKUP($A15,'Draft List'!$A$4:$V$530,22,FALSE)</f>
        <v>0</v>
      </c>
      <c r="BD15" t="s">
        <v>13</v>
      </c>
      <c r="BE15" t="str">
        <f>IF(AVERAGE($O15:$Q15)&gt;=6,"Likely",IF(AVERAGE($O15:$Q15)&gt;=4,"Possible","Unlikely"))</f>
        <v>Likely</v>
      </c>
      <c r="BG15" t="str">
        <f>IF(VLOOKUP($B15,'Draft List'!$D$4:$AB$2598,BG$3,FALSE)&lt;&gt;0,VLOOKUP($B15,'Draft List'!$D$4:$AB$2598,BG$3,FALSE),"")</f>
        <v/>
      </c>
      <c r="BH15" t="str">
        <f>IF(VLOOKUP($B15,'Draft List'!$D$4:$AB$2598,BH$3,FALSE)&lt;&gt;0,VLOOKUP($B15,'Draft List'!$D$4:$AB$2598,BH$3,FALSE),"")</f>
        <v/>
      </c>
      <c r="BI15" t="str">
        <f>IF(VLOOKUP($B15,'Draft List'!$D$4:$AB$2598,BI$3,FALSE)&lt;&gt;0,VLOOKUP($B15,'Draft List'!$D$4:$AB$2598,BI$3,FALSE),"")</f>
        <v/>
      </c>
      <c r="BJ15" t="str">
        <f>IF(OR(C15="SP",C15="MR",C15="CL"),"P",VLOOKUP($A15,Bat!$A$4:$AP$1287,42,FALSE))</f>
        <v>P</v>
      </c>
    </row>
    <row r="16" spans="1:62">
      <c r="A16" t="str">
        <f>C16&amp;D16&amp;E16</f>
        <v>SPTom Hill22</v>
      </c>
      <c r="B16">
        <f>VLOOKUP($A16,draft_listing_pitchers_stats!$A$1:$B$1324,2,FALSE)</f>
        <v>3215</v>
      </c>
      <c r="C16" s="1" t="s">
        <v>2003</v>
      </c>
      <c r="D16" s="1" t="s">
        <v>2053</v>
      </c>
      <c r="E16" s="1">
        <v>22</v>
      </c>
      <c r="F16" s="1" t="s">
        <v>2038</v>
      </c>
      <c r="G16" s="1" t="s">
        <v>2022</v>
      </c>
      <c r="H16" s="1" t="s">
        <v>2023</v>
      </c>
      <c r="I16" s="31" t="s">
        <v>2052</v>
      </c>
      <c r="J16" s="1" t="s">
        <v>2025</v>
      </c>
      <c r="K16" s="31" t="s">
        <v>2030</v>
      </c>
      <c r="L16" s="1">
        <v>4</v>
      </c>
      <c r="M16" s="1">
        <v>5</v>
      </c>
      <c r="N16" s="31">
        <v>5</v>
      </c>
      <c r="O16" s="1">
        <v>5</v>
      </c>
      <c r="P16" s="1">
        <v>6</v>
      </c>
      <c r="Q16" s="31">
        <v>8</v>
      </c>
      <c r="R16" s="1">
        <v>6</v>
      </c>
      <c r="S16" s="1">
        <v>6</v>
      </c>
      <c r="T16" s="1">
        <v>5</v>
      </c>
      <c r="U16" s="1">
        <v>5</v>
      </c>
      <c r="V16" s="1" t="s">
        <v>2027</v>
      </c>
      <c r="W16" s="1" t="s">
        <v>2027</v>
      </c>
      <c r="X16" s="1">
        <v>5</v>
      </c>
      <c r="Y16" s="1">
        <v>6</v>
      </c>
      <c r="Z16" s="1" t="s">
        <v>2027</v>
      </c>
      <c r="AA16" s="1" t="s">
        <v>2027</v>
      </c>
      <c r="AB16" s="1" t="s">
        <v>2027</v>
      </c>
      <c r="AC16" s="1" t="s">
        <v>2027</v>
      </c>
      <c r="AD16" s="1" t="s">
        <v>2027</v>
      </c>
      <c r="AE16" s="1" t="s">
        <v>2027</v>
      </c>
      <c r="AF16" s="1" t="s">
        <v>2027</v>
      </c>
      <c r="AG16" s="1" t="s">
        <v>2027</v>
      </c>
      <c r="AH16" s="1" t="s">
        <v>2027</v>
      </c>
      <c r="AI16" s="1" t="s">
        <v>2027</v>
      </c>
      <c r="AJ16" s="1" t="s">
        <v>2027</v>
      </c>
      <c r="AK16" s="1" t="s">
        <v>2027</v>
      </c>
      <c r="AL16" s="1" t="s">
        <v>2027</v>
      </c>
      <c r="AM16" s="1" t="s">
        <v>2027</v>
      </c>
      <c r="AN16" s="1" t="s">
        <v>2027</v>
      </c>
      <c r="AO16" s="31" t="s">
        <v>2027</v>
      </c>
      <c r="AP16" s="1" t="s">
        <v>2031</v>
      </c>
      <c r="AQ16" s="1">
        <v>5</v>
      </c>
      <c r="AR16" s="32">
        <v>0.51</v>
      </c>
      <c r="AS16" s="45" t="s">
        <v>2029</v>
      </c>
      <c r="AT16" s="9">
        <f>($O$3*(L16-$O$1)/$O$2+$P$3*(M16-$P$1)/$P$2+$Q$3*(N16-$P$1)/$Q$2)/SUM($O$3:$Q$3)</f>
        <v>-0.36640113450341422</v>
      </c>
      <c r="AU16" s="9">
        <f>($O$3*(O16-$O$1)/$O$2+$P$3*(P16-$P$1)/$P$2+$Q$3*(Q16-$Q$1)/$Q$2)/SUM($O$3:$Q$3)</f>
        <v>1.196178355335217</v>
      </c>
      <c r="AV16">
        <f>COUNT(R16:AO16)/2</f>
        <v>3</v>
      </c>
      <c r="AW16">
        <f>COUNTIF(R16:AO16,"&gt;5")/2</f>
        <v>1.5</v>
      </c>
      <c r="AX16" s="6">
        <f>VLOOKUP(AP16,COND!$A$10:$B$31,2,FALSE)</f>
        <v>1.05</v>
      </c>
      <c r="AY16" s="9">
        <f>($AT$3*AT16+$AU$3*AU16+$AV$3*AV16+$AW$3*AW16)*AX16*IF(AQ16&lt;5,0.95,IF(AQ16&lt;7,0.975,1))+$J$3*VLOOKUP(J16,[1]Con!$A$2:$C$7,2,FALSE)+$K$3*VLOOKUP(K16,[1]Con!$A$2:$C$7,3,FALSE)+IF(BA16="SP",$BA$3,0)</f>
        <v>60.621887443198993</v>
      </c>
      <c r="AZ16" s="37">
        <f>STANDARDIZE(AY16,AVERAGE($AY$5:$AY$1116),STDEVP($AY$5:$AY$1116))</f>
        <v>2.1196728688789479</v>
      </c>
      <c r="BA16" t="str">
        <f>IF(OR(AND(AQ16&gt;7,AW16&gt;1),AND(AQ16&gt;4,AV16&gt;2)),"SP","RP")</f>
        <v>SP</v>
      </c>
      <c r="BC16">
        <f>VLOOKUP($A16,'Draft List'!$A$4:$V$530,22,FALSE)</f>
        <v>0</v>
      </c>
      <c r="BD16" t="s">
        <v>21</v>
      </c>
      <c r="BE16" t="str">
        <f>IF(AVERAGE($O16:$Q16)&gt;=6,"Likely",IF(AVERAGE($O16:$Q16)&gt;=4,"Possible","Unlikely"))</f>
        <v>Likely</v>
      </c>
      <c r="BG16" t="str">
        <f>IF(VLOOKUP($B16,'Draft List'!$D$4:$AB$2598,BG$3,FALSE)&lt;&gt;0,VLOOKUP($B16,'Draft List'!$D$4:$AB$2598,BG$3,FALSE),"")</f>
        <v/>
      </c>
      <c r="BH16" t="str">
        <f>IF(VLOOKUP($B16,'Draft List'!$D$4:$AB$2598,BH$3,FALSE)&lt;&gt;0,VLOOKUP($B16,'Draft List'!$D$4:$AB$2598,BH$3,FALSE),"")</f>
        <v/>
      </c>
      <c r="BI16" t="str">
        <f>IF(VLOOKUP($B16,'Draft List'!$D$4:$AB$2598,BI$3,FALSE)&lt;&gt;0,VLOOKUP($B16,'Draft List'!$D$4:$AB$2598,BI$3,FALSE),"")</f>
        <v/>
      </c>
      <c r="BJ16" t="str">
        <f>IF(OR(C16="SP",C16="MR",C16="CL"),"P",VLOOKUP($A16,Bat!$A$4:$AP$1287,42,FALSE))</f>
        <v>P</v>
      </c>
    </row>
    <row r="17" spans="1:62">
      <c r="A17" t="str">
        <f>C17&amp;D17&amp;E17</f>
        <v>SPBartolo Cruz21</v>
      </c>
      <c r="B17">
        <f>VLOOKUP($A17,draft_listing_pitchers_stats!$A$1:$B$1324,2,FALSE)</f>
        <v>4295</v>
      </c>
      <c r="C17" s="1" t="s">
        <v>2003</v>
      </c>
      <c r="D17" s="1" t="s">
        <v>1286</v>
      </c>
      <c r="E17" s="1">
        <v>21</v>
      </c>
      <c r="F17" s="1" t="s">
        <v>2022</v>
      </c>
      <c r="G17" s="1" t="s">
        <v>2022</v>
      </c>
      <c r="H17" s="1" t="s">
        <v>2033</v>
      </c>
      <c r="I17" s="31" t="s">
        <v>2052</v>
      </c>
      <c r="J17" s="1" t="s">
        <v>2026</v>
      </c>
      <c r="K17" s="31" t="s">
        <v>2030</v>
      </c>
      <c r="L17" s="1">
        <v>5</v>
      </c>
      <c r="M17" s="1">
        <v>6</v>
      </c>
      <c r="N17" s="31">
        <v>3</v>
      </c>
      <c r="O17" s="1">
        <v>6</v>
      </c>
      <c r="P17" s="1">
        <v>6</v>
      </c>
      <c r="Q17" s="31">
        <v>7</v>
      </c>
      <c r="R17" s="1">
        <v>5</v>
      </c>
      <c r="S17" s="1">
        <v>6</v>
      </c>
      <c r="T17" s="1">
        <v>6</v>
      </c>
      <c r="U17" s="1">
        <v>6</v>
      </c>
      <c r="V17" s="1" t="s">
        <v>2027</v>
      </c>
      <c r="W17" s="1" t="s">
        <v>2027</v>
      </c>
      <c r="X17" s="1">
        <v>5</v>
      </c>
      <c r="Y17" s="1">
        <v>6</v>
      </c>
      <c r="Z17" s="1" t="s">
        <v>2027</v>
      </c>
      <c r="AA17" s="1" t="s">
        <v>2027</v>
      </c>
      <c r="AB17" s="1">
        <v>4</v>
      </c>
      <c r="AC17" s="1">
        <v>4</v>
      </c>
      <c r="AD17" s="1" t="s">
        <v>2027</v>
      </c>
      <c r="AE17" s="1" t="s">
        <v>2027</v>
      </c>
      <c r="AF17" s="1" t="s">
        <v>2027</v>
      </c>
      <c r="AG17" s="1" t="s">
        <v>2027</v>
      </c>
      <c r="AH17" s="1" t="s">
        <v>2027</v>
      </c>
      <c r="AI17" s="1" t="s">
        <v>2027</v>
      </c>
      <c r="AJ17" s="1" t="s">
        <v>2027</v>
      </c>
      <c r="AK17" s="1" t="s">
        <v>2027</v>
      </c>
      <c r="AL17" s="1" t="s">
        <v>2027</v>
      </c>
      <c r="AM17" s="1" t="s">
        <v>2027</v>
      </c>
      <c r="AN17" s="1" t="s">
        <v>2027</v>
      </c>
      <c r="AO17" s="31" t="s">
        <v>2027</v>
      </c>
      <c r="AP17" s="1" t="s">
        <v>2044</v>
      </c>
      <c r="AQ17" s="1">
        <v>7</v>
      </c>
      <c r="AR17" s="32">
        <v>0.54</v>
      </c>
      <c r="AS17" s="45" t="s">
        <v>2029</v>
      </c>
      <c r="AT17" s="9">
        <f>($O$3*(L17-$O$1)/$O$2+$P$3*(M17-$P$1)/$P$2+$Q$3*(N17-$P$1)/$Q$2)/SUM($O$3:$Q$3)</f>
        <v>-0.46091922567240617</v>
      </c>
      <c r="AU17" s="9">
        <f>($O$3*(O17-$O$1)/$O$2+$P$3*(P17-$P$1)/$P$2+$Q$3*(Q17-$Q$1)/$Q$2)/SUM($O$3:$Q$3)</f>
        <v>1.1485491137902806</v>
      </c>
      <c r="AV17">
        <f>COUNT(R17:AO17)/2</f>
        <v>4</v>
      </c>
      <c r="AW17">
        <f>COUNTIF(R17:AO17,"&gt;5")/2</f>
        <v>2</v>
      </c>
      <c r="AX17" s="6">
        <f>VLOOKUP(AP17,COND!$A$10:$B$31,2,FALSE)</f>
        <v>1</v>
      </c>
      <c r="AY17" s="9">
        <f>($AT$3*AT17+$AU$3*AU17+$AV$3*AV17+$AW$3*AW17)*AX17*IF(AQ17&lt;5,0.95,IF(AQ17&lt;7,0.975,1))+$J$3*VLOOKUP(J17,[1]Con!$A$2:$C$7,2,FALSE)+$K$3*VLOOKUP(K17,[1]Con!$A$2:$C$7,3,FALSE)+IF(BA17="SP",$BA$3,0)</f>
        <v>59.378798430671125</v>
      </c>
      <c r="AZ17" s="37">
        <f>STANDARDIZE(AY17,AVERAGE($AY$5:$AY$1116),STDEVP($AY$5:$AY$1116))</f>
        <v>2.0209883327981424</v>
      </c>
      <c r="BA17" t="str">
        <f>IF(OR(AND(AQ17&gt;7,AW17&gt;1),AND(AQ17&gt;4,AV17&gt;2)),"SP","RP")</f>
        <v>SP</v>
      </c>
      <c r="BC17">
        <f>VLOOKUP($A17,'Draft List'!$A$4:$V$530,22,FALSE)</f>
        <v>0</v>
      </c>
      <c r="BD17" t="s">
        <v>22</v>
      </c>
      <c r="BE17" t="str">
        <f>IF(AVERAGE($O17:$Q17)&gt;=6,"Likely",IF(AVERAGE($O17:$Q17)&gt;=4,"Possible","Unlikely"))</f>
        <v>Likely</v>
      </c>
      <c r="BG17" t="str">
        <f>IF(VLOOKUP($B17,'Draft List'!$D$4:$AB$2598,BG$3,FALSE)&lt;&gt;0,VLOOKUP($B17,'Draft List'!$D$4:$AB$2598,BG$3,FALSE),"")</f>
        <v/>
      </c>
      <c r="BH17" t="str">
        <f>IF(VLOOKUP($B17,'Draft List'!$D$4:$AB$2598,BH$3,FALSE)&lt;&gt;0,VLOOKUP($B17,'Draft List'!$D$4:$AB$2598,BH$3,FALSE),"")</f>
        <v/>
      </c>
      <c r="BI17" t="str">
        <f>IF(VLOOKUP($B17,'Draft List'!$D$4:$AB$2598,BI$3,FALSE)&lt;&gt;0,VLOOKUP($B17,'Draft List'!$D$4:$AB$2598,BI$3,FALSE),"")</f>
        <v/>
      </c>
      <c r="BJ17" t="str">
        <f>IF(OR(C17="SP",C17="MR",C17="CL"),"P",VLOOKUP($A17,Bat!$A$4:$AP$1287,42,FALSE))</f>
        <v>P</v>
      </c>
    </row>
    <row r="18" spans="1:62">
      <c r="A18" t="str">
        <f>C18&amp;D18&amp;E18</f>
        <v>SPRich Phillips21</v>
      </c>
      <c r="B18">
        <f>VLOOKUP($A18,draft_listing_pitchers_stats!$A$1:$B$1324,2,FALSE)</f>
        <v>8543</v>
      </c>
      <c r="C18" s="1" t="s">
        <v>2003</v>
      </c>
      <c r="D18" s="1" t="s">
        <v>1281</v>
      </c>
      <c r="E18" s="1">
        <v>21</v>
      </c>
      <c r="F18" s="1" t="s">
        <v>2038</v>
      </c>
      <c r="G18" s="1" t="s">
        <v>2038</v>
      </c>
      <c r="H18" s="1" t="s">
        <v>2033</v>
      </c>
      <c r="I18" s="31" t="s">
        <v>2052</v>
      </c>
      <c r="J18" s="1" t="s">
        <v>2025</v>
      </c>
      <c r="K18" s="31" t="s">
        <v>2030</v>
      </c>
      <c r="L18" s="1">
        <v>3</v>
      </c>
      <c r="M18" s="1">
        <v>6</v>
      </c>
      <c r="N18" s="31">
        <v>3</v>
      </c>
      <c r="O18" s="1">
        <v>5</v>
      </c>
      <c r="P18" s="1">
        <v>8</v>
      </c>
      <c r="Q18" s="31">
        <v>7</v>
      </c>
      <c r="R18" s="1">
        <v>5</v>
      </c>
      <c r="S18" s="1">
        <v>6</v>
      </c>
      <c r="T18" s="1" t="s">
        <v>2027</v>
      </c>
      <c r="U18" s="1" t="s">
        <v>2027</v>
      </c>
      <c r="V18" s="1" t="s">
        <v>2027</v>
      </c>
      <c r="W18" s="1" t="s">
        <v>2027</v>
      </c>
      <c r="X18" s="1">
        <v>4</v>
      </c>
      <c r="Y18" s="1">
        <v>8</v>
      </c>
      <c r="Z18" s="1" t="s">
        <v>2027</v>
      </c>
      <c r="AA18" s="1" t="s">
        <v>2027</v>
      </c>
      <c r="AB18" s="1" t="s">
        <v>2027</v>
      </c>
      <c r="AC18" s="1" t="s">
        <v>2027</v>
      </c>
      <c r="AD18" s="1" t="s">
        <v>2027</v>
      </c>
      <c r="AE18" s="1" t="s">
        <v>2027</v>
      </c>
      <c r="AF18" s="1" t="s">
        <v>2027</v>
      </c>
      <c r="AG18" s="1" t="s">
        <v>2027</v>
      </c>
      <c r="AH18" s="1" t="s">
        <v>2027</v>
      </c>
      <c r="AI18" s="1" t="s">
        <v>2027</v>
      </c>
      <c r="AJ18" s="1" t="s">
        <v>2027</v>
      </c>
      <c r="AK18" s="1" t="s">
        <v>2027</v>
      </c>
      <c r="AL18" s="1" t="s">
        <v>2027</v>
      </c>
      <c r="AM18" s="1" t="s">
        <v>2027</v>
      </c>
      <c r="AN18" s="1" t="s">
        <v>2027</v>
      </c>
      <c r="AO18" s="31" t="s">
        <v>2027</v>
      </c>
      <c r="AP18" s="1" t="s">
        <v>2042</v>
      </c>
      <c r="AQ18" s="1">
        <v>5</v>
      </c>
      <c r="AR18" s="32">
        <v>0.6</v>
      </c>
      <c r="AS18" s="45" t="s">
        <v>2029</v>
      </c>
      <c r="AT18" s="9">
        <f>($O$3*(L18-$O$1)/$O$2+$P$3*(M18-$P$1)/$P$2+$Q$3*(N18-$P$1)/$Q$2)/SUM($O$3:$Q$3)</f>
        <v>-0.85030187469075325</v>
      </c>
      <c r="AU18" s="9">
        <f>($O$3*(O18-$O$1)/$O$2+$P$3*(P18-$P$1)/$P$2+$Q$3*(Q18-$Q$1)/$Q$2)/SUM($O$3:$Q$3)</f>
        <v>1.3447212221412179</v>
      </c>
      <c r="AV18">
        <f>COUNT(R18:AO18)/2</f>
        <v>2</v>
      </c>
      <c r="AW18">
        <f>COUNTIF(R18:AO18,"&gt;5")/2</f>
        <v>1</v>
      </c>
      <c r="AX18" s="6">
        <f>VLOOKUP(AP18,COND!$A$10:$B$31,2,FALSE)</f>
        <v>1</v>
      </c>
      <c r="AY18" s="9">
        <f>($AT$3*AT18+$AU$3*AU18+$AV$3*AV18+$AW$3*AW18)*AX18*IF(AQ18&lt;5,0.95,IF(AQ18&lt;7,0.975,1))+$J$3*VLOOKUP(J18,[1]Con!$A$2:$C$7,2,FALSE)+$K$3*VLOOKUP(K18,[1]Con!$A$2:$C$7,3,FALSE)+IF(BA18="SP",$BA$3,0)</f>
        <v>59.000004966189053</v>
      </c>
      <c r="AZ18" s="37">
        <f>STANDARDIZE(AY18,AVERAGE($AY$5:$AY$1116),STDEVP($AY$5:$AY$1116))</f>
        <v>1.9909172301368465</v>
      </c>
      <c r="BA18" t="str">
        <f>IF(OR(AND(AQ18&gt;7,AW18&gt;1),AND(AQ18&gt;4,AV18&gt;2)),"SP","RP")</f>
        <v>RP</v>
      </c>
      <c r="BC18">
        <f>VLOOKUP($A18,'Draft List'!$A$4:$V$530,22,FALSE)</f>
        <v>0</v>
      </c>
      <c r="BD18" t="s">
        <v>23</v>
      </c>
      <c r="BE18" t="str">
        <f>IF(AVERAGE($O18:$Q18)&gt;=6,"Likely",IF(AVERAGE($O18:$Q18)&gt;=4,"Possible","Unlikely"))</f>
        <v>Likely</v>
      </c>
      <c r="BG18" t="str">
        <f>IF(VLOOKUP($B18,'Draft List'!$D$4:$AB$2598,BG$3,FALSE)&lt;&gt;0,VLOOKUP($B18,'Draft List'!$D$4:$AB$2598,BG$3,FALSE),"")</f>
        <v/>
      </c>
      <c r="BH18" t="str">
        <f>IF(VLOOKUP($B18,'Draft List'!$D$4:$AB$2598,BH$3,FALSE)&lt;&gt;0,VLOOKUP($B18,'Draft List'!$D$4:$AB$2598,BH$3,FALSE),"")</f>
        <v/>
      </c>
      <c r="BI18" t="str">
        <f>IF(VLOOKUP($B18,'Draft List'!$D$4:$AB$2598,BI$3,FALSE)&lt;&gt;0,VLOOKUP($B18,'Draft List'!$D$4:$AB$2598,BI$3,FALSE),"")</f>
        <v/>
      </c>
      <c r="BJ18" t="str">
        <f>IF(OR(C18="SP",C18="MR",C18="CL"),"P",VLOOKUP($A18,Bat!$A$4:$AP$1287,42,FALSE))</f>
        <v>P</v>
      </c>
    </row>
    <row r="19" spans="1:62">
      <c r="A19" t="str">
        <f>C19&amp;D19&amp;E19</f>
        <v>SPLuis Reyes18</v>
      </c>
      <c r="B19">
        <f>VLOOKUP($A19,draft_listing_pitchers_stats!$A$1:$B$1324,2,FALSE)</f>
        <v>13798</v>
      </c>
      <c r="C19" s="1" t="s">
        <v>2003</v>
      </c>
      <c r="D19" s="1" t="s">
        <v>1282</v>
      </c>
      <c r="E19" s="1">
        <v>18</v>
      </c>
      <c r="F19" s="1" t="s">
        <v>2038</v>
      </c>
      <c r="G19" s="1" t="s">
        <v>2022</v>
      </c>
      <c r="H19" s="1" t="s">
        <v>2033</v>
      </c>
      <c r="I19" s="31" t="s">
        <v>2052</v>
      </c>
      <c r="J19" s="1" t="s">
        <v>2025</v>
      </c>
      <c r="K19" s="31" t="s">
        <v>2025</v>
      </c>
      <c r="L19" s="1">
        <v>2</v>
      </c>
      <c r="M19" s="1">
        <v>4</v>
      </c>
      <c r="N19" s="31">
        <v>2</v>
      </c>
      <c r="O19" s="1">
        <v>5</v>
      </c>
      <c r="P19" s="1">
        <v>6</v>
      </c>
      <c r="Q19" s="31">
        <v>8</v>
      </c>
      <c r="R19" s="1">
        <v>4</v>
      </c>
      <c r="S19" s="1">
        <v>4</v>
      </c>
      <c r="T19" s="1">
        <v>1</v>
      </c>
      <c r="U19" s="1">
        <v>7</v>
      </c>
      <c r="V19" s="1">
        <v>2</v>
      </c>
      <c r="W19" s="1">
        <v>4</v>
      </c>
      <c r="X19" s="1">
        <v>2</v>
      </c>
      <c r="Y19" s="1">
        <v>5</v>
      </c>
      <c r="Z19" s="1" t="s">
        <v>2027</v>
      </c>
      <c r="AA19" s="1" t="s">
        <v>2027</v>
      </c>
      <c r="AB19" s="1">
        <v>3</v>
      </c>
      <c r="AC19" s="1">
        <v>4</v>
      </c>
      <c r="AD19" s="1" t="s">
        <v>2027</v>
      </c>
      <c r="AE19" s="1" t="s">
        <v>2027</v>
      </c>
      <c r="AF19" s="1" t="s">
        <v>2027</v>
      </c>
      <c r="AG19" s="1" t="s">
        <v>2027</v>
      </c>
      <c r="AH19" s="1" t="s">
        <v>2027</v>
      </c>
      <c r="AI19" s="1" t="s">
        <v>2027</v>
      </c>
      <c r="AJ19" s="1" t="s">
        <v>2027</v>
      </c>
      <c r="AK19" s="1" t="s">
        <v>2027</v>
      </c>
      <c r="AL19" s="1" t="s">
        <v>2027</v>
      </c>
      <c r="AM19" s="1" t="s">
        <v>2027</v>
      </c>
      <c r="AN19" s="1" t="s">
        <v>2027</v>
      </c>
      <c r="AO19" s="31" t="s">
        <v>2027</v>
      </c>
      <c r="AP19" s="1" t="s">
        <v>2042</v>
      </c>
      <c r="AQ19" s="1">
        <v>8</v>
      </c>
      <c r="AR19" s="32">
        <v>0.5</v>
      </c>
      <c r="AS19" s="45">
        <v>2200000</v>
      </c>
      <c r="AT19" s="9">
        <f>($O$3*(L19-$O$1)/$O$2+$P$3*(M19-$P$1)/$P$2+$Q$3*(N19-$P$1)/$Q$2)/SUM($O$3:$Q$3)</f>
        <v>-1.6781771981141478</v>
      </c>
      <c r="AU19" s="9">
        <f>($O$3*(O19-$O$1)/$O$2+$P$3*(P19-$P$1)/$P$2+$Q$3*(Q19-$Q$1)/$Q$2)/SUM($O$3:$Q$3)</f>
        <v>1.196178355335217</v>
      </c>
      <c r="AV19">
        <f>COUNT(R19:AO19)/2</f>
        <v>5</v>
      </c>
      <c r="AW19">
        <f>COUNTIF(R19:AO19,"&gt;5")/2</f>
        <v>0.5</v>
      </c>
      <c r="AX19" s="6">
        <f>VLOOKUP(AP19,COND!$A$10:$B$31,2,FALSE)</f>
        <v>1</v>
      </c>
      <c r="AY19" s="9">
        <f>($AT$3*AT19+$AU$3*AU19+$AV$3*AV19+$AW$3*AW19)*AX19*IF(AQ19&lt;5,0.95,IF(AQ19&lt;7,0.975,1))+$J$3*VLOOKUP(J19,[1]Con!$A$2:$C$7,2,FALSE)+$K$3*VLOOKUP(K19,[1]Con!$A$2:$C$7,3,FALSE)+IF(BA19="SP",$BA$3,0)</f>
        <v>58.712931667081506</v>
      </c>
      <c r="AZ19" s="37">
        <f>STANDARDIZE(AY19,AVERAGE($AY$5:$AY$1116),STDEVP($AY$5:$AY$1116))</f>
        <v>1.9681274740871126</v>
      </c>
      <c r="BA19" t="str">
        <f>IF(OR(AND(AQ19&gt;7,AW19&gt;1),AND(AQ19&gt;4,AV19&gt;2)),"SP","RP")</f>
        <v>SP</v>
      </c>
      <c r="BC19">
        <f>VLOOKUP($A19,'Draft List'!$A$4:$V$530,22,FALSE)</f>
        <v>0</v>
      </c>
      <c r="BD19" t="s">
        <v>155</v>
      </c>
      <c r="BE19" t="str">
        <f>IF(AVERAGE($O19:$Q19)&gt;=6,"Likely",IF(AVERAGE($O19:$Q19)&gt;=4,"Possible","Unlikely"))</f>
        <v>Likely</v>
      </c>
      <c r="BG19" t="str">
        <f>IF(VLOOKUP($B19,'Draft List'!$D$4:$AB$2598,BG$3,FALSE)&lt;&gt;0,VLOOKUP($B19,'Draft List'!$D$4:$AB$2598,BG$3,FALSE),"")</f>
        <v/>
      </c>
      <c r="BH19" t="str">
        <f>IF(VLOOKUP($B19,'Draft List'!$D$4:$AB$2598,BH$3,FALSE)&lt;&gt;0,VLOOKUP($B19,'Draft List'!$D$4:$AB$2598,BH$3,FALSE),"")</f>
        <v/>
      </c>
      <c r="BI19" t="str">
        <f>IF(VLOOKUP($B19,'Draft List'!$D$4:$AB$2598,BI$3,FALSE)&lt;&gt;0,VLOOKUP($B19,'Draft List'!$D$4:$AB$2598,BI$3,FALSE),"")</f>
        <v/>
      </c>
      <c r="BJ19" t="str">
        <f>IF(OR(C19="SP",C19="MR",C19="CL"),"P",VLOOKUP($A19,Bat!$A$4:$AP$1287,42,FALSE))</f>
        <v>P</v>
      </c>
    </row>
    <row r="20" spans="1:62">
      <c r="A20" t="str">
        <f>C20&amp;D20&amp;E20</f>
        <v>SPEddy McBride21</v>
      </c>
      <c r="B20">
        <f>VLOOKUP($A20,draft_listing_pitchers_stats!$A$1:$B$1324,2,FALSE)</f>
        <v>2620</v>
      </c>
      <c r="C20" s="1" t="s">
        <v>2003</v>
      </c>
      <c r="D20" s="1" t="s">
        <v>1289</v>
      </c>
      <c r="E20" s="1">
        <v>21</v>
      </c>
      <c r="F20" s="1" t="s">
        <v>2038</v>
      </c>
      <c r="G20" s="1" t="s">
        <v>2022</v>
      </c>
      <c r="H20" s="1" t="s">
        <v>2033</v>
      </c>
      <c r="I20" s="31" t="s">
        <v>2052</v>
      </c>
      <c r="J20" s="1" t="s">
        <v>2030</v>
      </c>
      <c r="K20" s="31" t="s">
        <v>2026</v>
      </c>
      <c r="L20" s="1">
        <v>4</v>
      </c>
      <c r="M20" s="1">
        <v>6</v>
      </c>
      <c r="N20" s="31">
        <v>5</v>
      </c>
      <c r="O20" s="1">
        <v>5</v>
      </c>
      <c r="P20" s="1">
        <v>7</v>
      </c>
      <c r="Q20" s="31">
        <v>7</v>
      </c>
      <c r="R20" s="1">
        <v>5</v>
      </c>
      <c r="S20" s="1">
        <v>6</v>
      </c>
      <c r="T20" s="1">
        <v>3</v>
      </c>
      <c r="U20" s="1">
        <v>6</v>
      </c>
      <c r="V20" s="1" t="s">
        <v>2027</v>
      </c>
      <c r="W20" s="1" t="s">
        <v>2027</v>
      </c>
      <c r="X20" s="1" t="s">
        <v>2027</v>
      </c>
      <c r="Y20" s="1" t="s">
        <v>2027</v>
      </c>
      <c r="Z20" s="1" t="s">
        <v>2027</v>
      </c>
      <c r="AA20" s="1" t="s">
        <v>2027</v>
      </c>
      <c r="AB20" s="1">
        <v>5</v>
      </c>
      <c r="AC20" s="1">
        <v>6</v>
      </c>
      <c r="AD20" s="1" t="s">
        <v>2027</v>
      </c>
      <c r="AE20" s="1" t="s">
        <v>2027</v>
      </c>
      <c r="AF20" s="1" t="s">
        <v>2027</v>
      </c>
      <c r="AG20" s="1" t="s">
        <v>2027</v>
      </c>
      <c r="AH20" s="1" t="s">
        <v>2027</v>
      </c>
      <c r="AI20" s="1" t="s">
        <v>2027</v>
      </c>
      <c r="AJ20" s="1" t="s">
        <v>2027</v>
      </c>
      <c r="AK20" s="1" t="s">
        <v>2027</v>
      </c>
      <c r="AL20" s="1" t="s">
        <v>2027</v>
      </c>
      <c r="AM20" s="1" t="s">
        <v>2027</v>
      </c>
      <c r="AN20" s="1" t="s">
        <v>2027</v>
      </c>
      <c r="AO20" s="31" t="s">
        <v>2027</v>
      </c>
      <c r="AP20" s="1" t="s">
        <v>2041</v>
      </c>
      <c r="AQ20" s="1">
        <v>7</v>
      </c>
      <c r="AR20" s="32">
        <v>0.56000000000000005</v>
      </c>
      <c r="AS20" s="45">
        <v>1200000</v>
      </c>
      <c r="AT20" s="9">
        <f>($O$3*(L20-$O$1)/$O$2+$P$3*(M20-$P$1)/$P$2+$Q$3*(N20-$P$1)/$Q$2)/SUM($O$3:$Q$3)</f>
        <v>-0.17096941807335886</v>
      </c>
      <c r="AU20" s="9">
        <f>($O$3*(O20-$O$1)/$O$2+$P$3*(P20-$P$1)/$P$2+$Q$3*(Q20-$Q$1)/$Q$2)/SUM($O$3:$Q$3)</f>
        <v>1.1492895057111625</v>
      </c>
      <c r="AV20">
        <f>COUNT(R20:AO20)/2</f>
        <v>3</v>
      </c>
      <c r="AW20">
        <f>COUNTIF(R20:AO20,"&gt;5")/2</f>
        <v>1.5</v>
      </c>
      <c r="AX20" s="6">
        <f>VLOOKUP(AP20,COND!$A$10:$B$31,2,FALSE)</f>
        <v>1</v>
      </c>
      <c r="AY20" s="9">
        <f>($AT$3*AT20+$AU$3*AU20+$AV$3*AV20+$AW$3*AW20)*AX20*IF(AQ20&lt;5,0.95,IF(AQ20&lt;7,0.975,1))+$J$3*VLOOKUP(J20,[1]Con!$A$2:$C$7,2,FALSE)+$K$3*VLOOKUP(K20,[1]Con!$A$2:$C$7,3,FALSE)+IF(BA20="SP",$BA$3,0)</f>
        <v>58.326596230608573</v>
      </c>
      <c r="AZ20" s="37">
        <f>STANDARDIZE(AY20,AVERAGE($AY$5:$AY$1116),STDEVP($AY$5:$AY$1116))</f>
        <v>1.9374576403618693</v>
      </c>
      <c r="BA20" t="str">
        <f>IF(OR(AND(AQ20&gt;7,AW20&gt;1),AND(AQ20&gt;4,AV20&gt;2)),"SP","RP")</f>
        <v>SP</v>
      </c>
      <c r="BC20">
        <f>VLOOKUP($A20,'Draft List'!$A$4:$V$530,22,FALSE)</f>
        <v>0</v>
      </c>
      <c r="BD20" t="s">
        <v>18</v>
      </c>
      <c r="BE20" t="str">
        <f>IF(AVERAGE($O20:$Q20)&gt;=6,"Likely",IF(AVERAGE($O20:$Q20)&gt;=4,"Possible","Unlikely"))</f>
        <v>Likely</v>
      </c>
      <c r="BG20" t="str">
        <f>IF(VLOOKUP($B20,'Draft List'!$D$4:$AB$2598,BG$3,FALSE)&lt;&gt;0,VLOOKUP($B20,'Draft List'!$D$4:$AB$2598,BG$3,FALSE),"")</f>
        <v/>
      </c>
      <c r="BH20" t="str">
        <f>IF(VLOOKUP($B20,'Draft List'!$D$4:$AB$2598,BH$3,FALSE)&lt;&gt;0,VLOOKUP($B20,'Draft List'!$D$4:$AB$2598,BH$3,FALSE),"")</f>
        <v/>
      </c>
      <c r="BI20" t="str">
        <f>IF(VLOOKUP($B20,'Draft List'!$D$4:$AB$2598,BI$3,FALSE)&lt;&gt;0,VLOOKUP($B20,'Draft List'!$D$4:$AB$2598,BI$3,FALSE),"")</f>
        <v/>
      </c>
      <c r="BJ20" t="str">
        <f>IF(OR(C20="SP",C20="MR",C20="CL"),"P",VLOOKUP($A20,Bat!$A$4:$AP$1287,42,FALSE))</f>
        <v>P</v>
      </c>
    </row>
    <row r="21" spans="1:62">
      <c r="A21" t="str">
        <f>C21&amp;D21&amp;E21</f>
        <v>SPCurt Mills21</v>
      </c>
      <c r="B21">
        <f>VLOOKUP($A21,draft_listing_pitchers_stats!$A$1:$B$1324,2,FALSE)</f>
        <v>7297</v>
      </c>
      <c r="C21" s="1" t="s">
        <v>2003</v>
      </c>
      <c r="D21" s="1" t="s">
        <v>1290</v>
      </c>
      <c r="E21" s="1">
        <v>21</v>
      </c>
      <c r="F21" s="1" t="s">
        <v>2022</v>
      </c>
      <c r="G21" s="1" t="s">
        <v>2022</v>
      </c>
      <c r="H21" s="1" t="s">
        <v>2023</v>
      </c>
      <c r="I21" s="31" t="s">
        <v>2052</v>
      </c>
      <c r="J21" s="1" t="s">
        <v>2026</v>
      </c>
      <c r="K21" s="31" t="s">
        <v>2025</v>
      </c>
      <c r="L21" s="1">
        <v>4</v>
      </c>
      <c r="M21" s="1">
        <v>6</v>
      </c>
      <c r="N21" s="31">
        <v>4</v>
      </c>
      <c r="O21" s="1">
        <v>5</v>
      </c>
      <c r="P21" s="1">
        <v>7</v>
      </c>
      <c r="Q21" s="31">
        <v>7</v>
      </c>
      <c r="R21" s="1" t="s">
        <v>2027</v>
      </c>
      <c r="S21" s="1" t="s">
        <v>2027</v>
      </c>
      <c r="T21" s="1">
        <v>5</v>
      </c>
      <c r="U21" s="1">
        <v>5</v>
      </c>
      <c r="V21" s="1">
        <v>2</v>
      </c>
      <c r="W21" s="1">
        <v>2</v>
      </c>
      <c r="X21" s="1">
        <v>4</v>
      </c>
      <c r="Y21" s="1">
        <v>5</v>
      </c>
      <c r="Z21" s="1">
        <v>5</v>
      </c>
      <c r="AA21" s="1">
        <v>6</v>
      </c>
      <c r="AB21" s="1" t="s">
        <v>2027</v>
      </c>
      <c r="AC21" s="1" t="s">
        <v>2027</v>
      </c>
      <c r="AD21" s="1" t="s">
        <v>2027</v>
      </c>
      <c r="AE21" s="1" t="s">
        <v>2027</v>
      </c>
      <c r="AF21" s="1" t="s">
        <v>2027</v>
      </c>
      <c r="AG21" s="1" t="s">
        <v>2027</v>
      </c>
      <c r="AH21" s="1" t="s">
        <v>2027</v>
      </c>
      <c r="AI21" s="1" t="s">
        <v>2027</v>
      </c>
      <c r="AJ21" s="1" t="s">
        <v>2027</v>
      </c>
      <c r="AK21" s="1" t="s">
        <v>2027</v>
      </c>
      <c r="AL21" s="1" t="s">
        <v>2027</v>
      </c>
      <c r="AM21" s="1" t="s">
        <v>2027</v>
      </c>
      <c r="AN21" s="1" t="s">
        <v>2027</v>
      </c>
      <c r="AO21" s="31" t="s">
        <v>2027</v>
      </c>
      <c r="AP21" s="1" t="s">
        <v>2041</v>
      </c>
      <c r="AQ21" s="1">
        <v>9</v>
      </c>
      <c r="AR21" s="32">
        <v>0.55000000000000004</v>
      </c>
      <c r="AS21" s="45">
        <v>1500000</v>
      </c>
      <c r="AT21" s="9">
        <f>($O$3*(L21-$O$1)/$O$2+$P$3*(M21-$P$1)/$P$2+$Q$3*(N21-$P$1)/$Q$2)/SUM($O$3:$Q$3)</f>
        <v>-0.4132899841274692</v>
      </c>
      <c r="AU21" s="9">
        <f>($O$3*(O21-$O$1)/$O$2+$P$3*(P21-$P$1)/$P$2+$Q$3*(Q21-$Q$1)/$Q$2)/SUM($O$3:$Q$3)</f>
        <v>1.1492895057111625</v>
      </c>
      <c r="AV21">
        <f>COUNT(R21:AO21)/2</f>
        <v>4</v>
      </c>
      <c r="AW21">
        <f>COUNTIF(R21:AO21,"&gt;5")/2</f>
        <v>0.5</v>
      </c>
      <c r="AX21" s="6">
        <f>VLOOKUP(AP21,COND!$A$10:$B$31,2,FALSE)</f>
        <v>1</v>
      </c>
      <c r="AY21" s="9">
        <f>($AT$3*AT21+$AU$3*AU21+$AV$3*AV21+$AW$3*AW21)*AX21*IF(AQ21&lt;5,0.95,IF(AQ21&lt;7,0.975,1))+$J$3*VLOOKUP(J21,[1]Con!$A$2:$C$7,2,FALSE)+$K$3*VLOOKUP(K21,[1]Con!$A$2:$C$7,3,FALSE)+IF(BA21="SP",$BA$3,0)</f>
        <v>56.77813211739776</v>
      </c>
      <c r="AZ21" s="37">
        <f>STANDARDIZE(AY21,AVERAGE($AY$5:$AY$1116),STDEVP($AY$5:$AY$1116))</f>
        <v>1.8145304315216582</v>
      </c>
      <c r="BA21" t="str">
        <f>IF(OR(AND(AQ21&gt;7,AW21&gt;1),AND(AQ21&gt;4,AV21&gt;2)),"SP","RP")</f>
        <v>SP</v>
      </c>
      <c r="BC21">
        <f>VLOOKUP($A21,'Draft List'!$A$4:$V$530,22,FALSE)</f>
        <v>0</v>
      </c>
      <c r="BD21" t="s">
        <v>12</v>
      </c>
      <c r="BE21" t="str">
        <f>IF(AVERAGE($O21:$Q21)&gt;=6,"Likely",IF(AVERAGE($O21:$Q21)&gt;=4,"Possible","Unlikely"))</f>
        <v>Likely</v>
      </c>
      <c r="BG21" t="str">
        <f>IF(VLOOKUP($B21,'Draft List'!$D$4:$AB$2598,BG$3,FALSE)&lt;&gt;0,VLOOKUP($B21,'Draft List'!$D$4:$AB$2598,BG$3,FALSE),"")</f>
        <v/>
      </c>
      <c r="BH21" t="str">
        <f>IF(VLOOKUP($B21,'Draft List'!$D$4:$AB$2598,BH$3,FALSE)&lt;&gt;0,VLOOKUP($B21,'Draft List'!$D$4:$AB$2598,BH$3,FALSE),"")</f>
        <v/>
      </c>
      <c r="BI21" t="str">
        <f>IF(VLOOKUP($B21,'Draft List'!$D$4:$AB$2598,BI$3,FALSE)&lt;&gt;0,VLOOKUP($B21,'Draft List'!$D$4:$AB$2598,BI$3,FALSE),"")</f>
        <v/>
      </c>
      <c r="BJ21" t="str">
        <f>IF(OR(C21="SP",C21="MR",C21="CL"),"P",VLOOKUP($A21,Bat!$A$4:$AP$1287,42,FALSE))</f>
        <v>P</v>
      </c>
    </row>
    <row r="22" spans="1:62">
      <c r="A22" t="str">
        <f>C22&amp;D22&amp;E22</f>
        <v>SPMiguel Franco22</v>
      </c>
      <c r="B22">
        <f>VLOOKUP($A22,draft_listing_pitchers_stats!$A$1:$B$1324,2,FALSE)</f>
        <v>2392</v>
      </c>
      <c r="C22" s="1" t="s">
        <v>2003</v>
      </c>
      <c r="D22" s="1" t="s">
        <v>2051</v>
      </c>
      <c r="E22" s="1">
        <v>22</v>
      </c>
      <c r="F22" s="1" t="s">
        <v>2022</v>
      </c>
      <c r="G22" s="1" t="s">
        <v>2022</v>
      </c>
      <c r="H22" s="1" t="s">
        <v>2033</v>
      </c>
      <c r="I22" s="31" t="s">
        <v>2052</v>
      </c>
      <c r="J22" s="1" t="s">
        <v>2036</v>
      </c>
      <c r="K22" s="31" t="s">
        <v>2025</v>
      </c>
      <c r="L22" s="1">
        <v>5</v>
      </c>
      <c r="M22" s="1">
        <v>6</v>
      </c>
      <c r="N22" s="31">
        <v>4</v>
      </c>
      <c r="O22" s="1">
        <v>5</v>
      </c>
      <c r="P22" s="1">
        <v>6</v>
      </c>
      <c r="Q22" s="31">
        <v>7</v>
      </c>
      <c r="R22" s="1">
        <v>5</v>
      </c>
      <c r="S22" s="1">
        <v>6</v>
      </c>
      <c r="T22" s="1">
        <v>1</v>
      </c>
      <c r="U22" s="1">
        <v>4</v>
      </c>
      <c r="V22" s="1" t="s">
        <v>2027</v>
      </c>
      <c r="W22" s="1" t="s">
        <v>2027</v>
      </c>
      <c r="X22" s="1">
        <v>5</v>
      </c>
      <c r="Y22" s="1">
        <v>6</v>
      </c>
      <c r="Z22" s="1" t="s">
        <v>2027</v>
      </c>
      <c r="AA22" s="1" t="s">
        <v>2027</v>
      </c>
      <c r="AB22" s="1">
        <v>5</v>
      </c>
      <c r="AC22" s="1">
        <v>6</v>
      </c>
      <c r="AD22" s="1" t="s">
        <v>2027</v>
      </c>
      <c r="AE22" s="1" t="s">
        <v>2027</v>
      </c>
      <c r="AF22" s="1" t="s">
        <v>2027</v>
      </c>
      <c r="AG22" s="1" t="s">
        <v>2027</v>
      </c>
      <c r="AH22" s="1" t="s">
        <v>2027</v>
      </c>
      <c r="AI22" s="1" t="s">
        <v>2027</v>
      </c>
      <c r="AJ22" s="1" t="s">
        <v>2027</v>
      </c>
      <c r="AK22" s="1" t="s">
        <v>2027</v>
      </c>
      <c r="AL22" s="1" t="s">
        <v>2027</v>
      </c>
      <c r="AM22" s="1" t="s">
        <v>2027</v>
      </c>
      <c r="AN22" s="1" t="s">
        <v>2027</v>
      </c>
      <c r="AO22" s="31" t="s">
        <v>2027</v>
      </c>
      <c r="AP22" s="1" t="s">
        <v>2047</v>
      </c>
      <c r="AQ22" s="1">
        <v>6</v>
      </c>
      <c r="AR22" s="32">
        <v>0.61</v>
      </c>
      <c r="AS22" s="45" t="s">
        <v>2029</v>
      </c>
      <c r="AT22" s="9">
        <f>($O$3*(L22-$O$1)/$O$2+$P$3*(M22-$P$1)/$P$2+$Q$3*(N22-$P$1)/$Q$2)/SUM($O$3:$Q$3)</f>
        <v>-0.21859865961829567</v>
      </c>
      <c r="AU22" s="9">
        <f>($O$3*(O22-$O$1)/$O$2+$P$3*(P22-$P$1)/$P$2+$Q$3*(Q22-$Q$1)/$Q$2)/SUM($O$3:$Q$3)</f>
        <v>0.95385778928110709</v>
      </c>
      <c r="AV22">
        <f>COUNT(R22:AO22)/2</f>
        <v>4</v>
      </c>
      <c r="AW22">
        <f>COUNTIF(R22:AO22,"&gt;5")/2</f>
        <v>1.5</v>
      </c>
      <c r="AX22" s="6">
        <f>VLOOKUP(AP22,COND!$A$10:$B$31,2,FALSE)</f>
        <v>1.0249999999999999</v>
      </c>
      <c r="AY22" s="9">
        <f>($AT$3*AT22+$AU$3*AU22+$AV$3*AV22+$AW$3*AW22)*AX22*IF(AQ22&lt;5,0.95,IF(AQ22&lt;7,0.975,1))+$J$3*VLOOKUP(J22,[1]Con!$A$2:$C$7,2,FALSE)+$K$3*VLOOKUP(K22,[1]Con!$A$2:$C$7,3,FALSE)+IF(BA22="SP",$BA$3,0)</f>
        <v>55.944118281164918</v>
      </c>
      <c r="AZ22" s="37">
        <f>STANDARDIZE(AY22,AVERAGE($AY$5:$AY$1116),STDEVP($AY$5:$AY$1116))</f>
        <v>1.748320958439564</v>
      </c>
      <c r="BA22" t="str">
        <f>IF(OR(AND(AQ22&gt;7,AW22&gt;1),AND(AQ22&gt;4,AV22&gt;2)),"SP","RP")</f>
        <v>SP</v>
      </c>
      <c r="BC22">
        <f>VLOOKUP($A22,'Draft List'!$A$4:$V$530,22,FALSE)</f>
        <v>0</v>
      </c>
      <c r="BD22" t="s">
        <v>158</v>
      </c>
      <c r="BE22" t="str">
        <f>IF(AVERAGE($O22:$Q22)&gt;=6,"Likely",IF(AVERAGE($O22:$Q22)&gt;=4,"Possible","Unlikely"))</f>
        <v>Likely</v>
      </c>
      <c r="BG22" t="str">
        <f>IF(VLOOKUP($B22,'Draft List'!$D$4:$AB$2598,BG$3,FALSE)&lt;&gt;0,VLOOKUP($B22,'Draft List'!$D$4:$AB$2598,BG$3,FALSE),"")</f>
        <v/>
      </c>
      <c r="BH22" t="str">
        <f>IF(VLOOKUP($B22,'Draft List'!$D$4:$AB$2598,BH$3,FALSE)&lt;&gt;0,VLOOKUP($B22,'Draft List'!$D$4:$AB$2598,BH$3,FALSE),"")</f>
        <v/>
      </c>
      <c r="BI22" t="str">
        <f>IF(VLOOKUP($B22,'Draft List'!$D$4:$AB$2598,BI$3,FALSE)&lt;&gt;0,VLOOKUP($B22,'Draft List'!$D$4:$AB$2598,BI$3,FALSE),"")</f>
        <v/>
      </c>
      <c r="BJ22" t="str">
        <f>IF(OR(C22="SP",C22="MR",C22="CL"),"P",VLOOKUP($A22,Bat!$A$4:$AP$1287,42,FALSE))</f>
        <v>P</v>
      </c>
    </row>
    <row r="23" spans="1:62">
      <c r="A23" t="str">
        <f>C23&amp;D23&amp;E23</f>
        <v>SPAntónio Clemente21</v>
      </c>
      <c r="B23">
        <f>VLOOKUP($A23,draft_listing_pitchers_stats!$A$1:$B$1324,2,FALSE)</f>
        <v>2523</v>
      </c>
      <c r="C23" s="1" t="s">
        <v>2003</v>
      </c>
      <c r="D23" s="1" t="s">
        <v>1279</v>
      </c>
      <c r="E23" s="1">
        <v>21</v>
      </c>
      <c r="F23" s="1" t="s">
        <v>2049</v>
      </c>
      <c r="G23" s="1" t="s">
        <v>2022</v>
      </c>
      <c r="H23" s="1" t="s">
        <v>2033</v>
      </c>
      <c r="I23" s="31" t="s">
        <v>2043</v>
      </c>
      <c r="J23" s="1" t="s">
        <v>2036</v>
      </c>
      <c r="K23" s="31" t="s">
        <v>2025</v>
      </c>
      <c r="L23" s="1">
        <v>4</v>
      </c>
      <c r="M23" s="1">
        <v>5</v>
      </c>
      <c r="N23" s="31">
        <v>3</v>
      </c>
      <c r="O23" s="1">
        <v>6</v>
      </c>
      <c r="P23" s="1">
        <v>6</v>
      </c>
      <c r="Q23" s="31">
        <v>7</v>
      </c>
      <c r="R23" s="1">
        <v>5</v>
      </c>
      <c r="S23" s="1">
        <v>7</v>
      </c>
      <c r="T23" s="1" t="s">
        <v>2027</v>
      </c>
      <c r="U23" s="1" t="s">
        <v>2027</v>
      </c>
      <c r="V23" s="1">
        <v>5</v>
      </c>
      <c r="W23" s="1">
        <v>7</v>
      </c>
      <c r="X23" s="1" t="s">
        <v>2027</v>
      </c>
      <c r="Y23" s="1" t="s">
        <v>2027</v>
      </c>
      <c r="Z23" s="1">
        <v>5</v>
      </c>
      <c r="AA23" s="1">
        <v>6</v>
      </c>
      <c r="AB23" s="1" t="s">
        <v>2027</v>
      </c>
      <c r="AC23" s="1" t="s">
        <v>2027</v>
      </c>
      <c r="AD23" s="1" t="s">
        <v>2027</v>
      </c>
      <c r="AE23" s="1" t="s">
        <v>2027</v>
      </c>
      <c r="AF23" s="1" t="s">
        <v>2027</v>
      </c>
      <c r="AG23" s="1" t="s">
        <v>2027</v>
      </c>
      <c r="AH23" s="1" t="s">
        <v>2027</v>
      </c>
      <c r="AI23" s="1" t="s">
        <v>2027</v>
      </c>
      <c r="AJ23" s="1" t="s">
        <v>2027</v>
      </c>
      <c r="AK23" s="1" t="s">
        <v>2027</v>
      </c>
      <c r="AL23" s="1" t="s">
        <v>2027</v>
      </c>
      <c r="AM23" s="1" t="s">
        <v>2027</v>
      </c>
      <c r="AN23" s="1" t="s">
        <v>2027</v>
      </c>
      <c r="AO23" s="31" t="s">
        <v>2027</v>
      </c>
      <c r="AP23" s="1" t="s">
        <v>2044</v>
      </c>
      <c r="AQ23" s="1">
        <v>3</v>
      </c>
      <c r="AR23" s="32">
        <v>0.63</v>
      </c>
      <c r="AS23" s="45" t="s">
        <v>2029</v>
      </c>
      <c r="AT23" s="9">
        <f>($O$3*(L23-$O$1)/$O$2+$P$3*(M23-$P$1)/$P$2+$Q$3*(N23-$P$1)/$Q$2)/SUM($O$3:$Q$3)</f>
        <v>-0.85104226661163507</v>
      </c>
      <c r="AU23" s="9">
        <f>($O$3*(O23-$O$1)/$O$2+$P$3*(P23-$P$1)/$P$2+$Q$3*(Q23-$Q$1)/$Q$2)/SUM($O$3:$Q$3)</f>
        <v>1.1485491137902806</v>
      </c>
      <c r="AV23">
        <f>COUNT(R23:AO23)/2</f>
        <v>3</v>
      </c>
      <c r="AW23">
        <f>COUNTIF(R23:AO23,"&gt;5")/2</f>
        <v>1.5</v>
      </c>
      <c r="AX23" s="6">
        <f>VLOOKUP(AP23,COND!$A$10:$B$31,2,FALSE)</f>
        <v>1</v>
      </c>
      <c r="AY23" s="9">
        <f>($AT$3*AT23+$AU$3*AU23+$AV$3*AV23+$AW$3*AW23)*AX23*IF(AQ23&lt;5,0.95,IF(AQ23&lt;7,0.975,1))+$J$3*VLOOKUP(J23,[1]Con!$A$2:$C$7,2,FALSE)+$K$3*VLOOKUP(K23,[1]Con!$A$2:$C$7,3,FALSE)+IF(BA23="SP",$BA$3,0)</f>
        <v>55.91698513135912</v>
      </c>
      <c r="AZ23" s="37">
        <f>STANDARDIZE(AY23,AVERAGE($AY$5:$AY$1116),STDEVP($AY$5:$AY$1116))</f>
        <v>1.7461669515470479</v>
      </c>
      <c r="BA23" t="str">
        <f>IF(OR(AND(AQ23&gt;7,AW23&gt;1),AND(AQ23&gt;4,AV23&gt;2)),"SP","RP")</f>
        <v>RP</v>
      </c>
      <c r="BC23">
        <f>VLOOKUP($A23,'Draft List'!$A$4:$V$530,22,FALSE)</f>
        <v>0</v>
      </c>
      <c r="BD23" t="s">
        <v>24</v>
      </c>
      <c r="BE23" t="str">
        <f>IF(AVERAGE($O23:$Q23)&gt;=6,"Likely",IF(AVERAGE($O23:$Q23)&gt;=4,"Possible","Unlikely"))</f>
        <v>Likely</v>
      </c>
      <c r="BG23" t="str">
        <f>IF(VLOOKUP($B23,'Draft List'!$D$4:$AB$2598,BG$3,FALSE)&lt;&gt;0,VLOOKUP($B23,'Draft List'!$D$4:$AB$2598,BG$3,FALSE),"")</f>
        <v/>
      </c>
      <c r="BH23" t="str">
        <f>IF(VLOOKUP($B23,'Draft List'!$D$4:$AB$2598,BH$3,FALSE)&lt;&gt;0,VLOOKUP($B23,'Draft List'!$D$4:$AB$2598,BH$3,FALSE),"")</f>
        <v/>
      </c>
      <c r="BI23" t="str">
        <f>IF(VLOOKUP($B23,'Draft List'!$D$4:$AB$2598,BI$3,FALSE)&lt;&gt;0,VLOOKUP($B23,'Draft List'!$D$4:$AB$2598,BI$3,FALSE),"")</f>
        <v/>
      </c>
      <c r="BJ23" t="str">
        <f>IF(OR(C23="SP",C23="MR",C23="CL"),"P",VLOOKUP($A23,Bat!$A$4:$AP$1287,42,FALSE))</f>
        <v>P</v>
      </c>
    </row>
    <row r="24" spans="1:62">
      <c r="A24" t="str">
        <f>C24&amp;D24&amp;E24</f>
        <v>SPCurtis Fraser18</v>
      </c>
      <c r="B24">
        <f>VLOOKUP($A24,draft_listing_pitchers_stats!$A$1:$B$1324,2,FALSE)</f>
        <v>13835</v>
      </c>
      <c r="C24" s="1" t="s">
        <v>2003</v>
      </c>
      <c r="D24" s="1" t="s">
        <v>1287</v>
      </c>
      <c r="E24" s="1">
        <v>18</v>
      </c>
      <c r="F24" s="1" t="s">
        <v>2022</v>
      </c>
      <c r="G24" s="1" t="s">
        <v>2022</v>
      </c>
      <c r="H24" s="1" t="s">
        <v>2033</v>
      </c>
      <c r="I24" s="31" t="s">
        <v>2052</v>
      </c>
      <c r="J24" s="1" t="s">
        <v>2036</v>
      </c>
      <c r="K24" s="31" t="s">
        <v>2030</v>
      </c>
      <c r="L24" s="1">
        <v>1</v>
      </c>
      <c r="M24" s="1">
        <v>5</v>
      </c>
      <c r="N24" s="31">
        <v>1</v>
      </c>
      <c r="O24" s="1">
        <v>3</v>
      </c>
      <c r="P24" s="1">
        <v>8</v>
      </c>
      <c r="Q24" s="31">
        <v>8</v>
      </c>
      <c r="R24" s="1">
        <v>2</v>
      </c>
      <c r="S24" s="1">
        <v>4</v>
      </c>
      <c r="T24" s="1">
        <v>1</v>
      </c>
      <c r="U24" s="1">
        <v>2</v>
      </c>
      <c r="V24" s="1" t="s">
        <v>2027</v>
      </c>
      <c r="W24" s="1" t="s">
        <v>2027</v>
      </c>
      <c r="X24" s="1" t="s">
        <v>2027</v>
      </c>
      <c r="Y24" s="1" t="s">
        <v>2027</v>
      </c>
      <c r="Z24" s="1" t="s">
        <v>2027</v>
      </c>
      <c r="AA24" s="1" t="s">
        <v>2027</v>
      </c>
      <c r="AB24" s="1">
        <v>2</v>
      </c>
      <c r="AC24" s="1">
        <v>5</v>
      </c>
      <c r="AD24" s="1" t="s">
        <v>2027</v>
      </c>
      <c r="AE24" s="1" t="s">
        <v>2027</v>
      </c>
      <c r="AF24" s="1" t="s">
        <v>2027</v>
      </c>
      <c r="AG24" s="1" t="s">
        <v>2027</v>
      </c>
      <c r="AH24" s="1" t="s">
        <v>2027</v>
      </c>
      <c r="AI24" s="1" t="s">
        <v>2027</v>
      </c>
      <c r="AJ24" s="1" t="s">
        <v>2027</v>
      </c>
      <c r="AK24" s="1" t="s">
        <v>2027</v>
      </c>
      <c r="AL24" s="1">
        <v>2</v>
      </c>
      <c r="AM24" s="1">
        <v>6</v>
      </c>
      <c r="AN24" s="1" t="s">
        <v>2027</v>
      </c>
      <c r="AO24" s="31" t="s">
        <v>2027</v>
      </c>
      <c r="AP24" s="1" t="s">
        <v>2037</v>
      </c>
      <c r="AQ24" s="1">
        <v>5</v>
      </c>
      <c r="AR24" s="32">
        <v>0.6</v>
      </c>
      <c r="AS24" s="45" t="s">
        <v>2029</v>
      </c>
      <c r="AT24" s="9">
        <f>($O$3*(L24-$O$1)/$O$2+$P$3*(M24-$P$1)/$P$2+$Q$3*(N24-$P$1)/$Q$2)/SUM($O$3:$Q$3)</f>
        <v>-1.9197573722473762</v>
      </c>
      <c r="AU24" s="9">
        <f>($O$3*(O24-$O$1)/$O$2+$P$3*(P24-$P$1)/$P$2+$Q$3*(Q24-$Q$1)/$Q$2)/SUM($O$3:$Q$3)</f>
        <v>1.1976591391769811</v>
      </c>
      <c r="AV24">
        <f>COUNT(R24:AO24)/2</f>
        <v>4</v>
      </c>
      <c r="AW24">
        <f>COUNTIF(R24:AO24,"&gt;5")/2</f>
        <v>0.5</v>
      </c>
      <c r="AX24" s="6">
        <f>VLOOKUP(AP24,COND!$A$10:$B$31,2,FALSE)</f>
        <v>0.85</v>
      </c>
      <c r="AY24" s="9">
        <f>($AT$3*AT24+$AU$3*AU24+$AV$3*AV24+$AW$3*AW24)*AX24*IF(AQ24&lt;5,0.95,IF(AQ24&lt;7,0.975,1))+$J$3*VLOOKUP(J24,[1]Con!$A$2:$C$7,2,FALSE)+$K$3*VLOOKUP(K24,[1]Con!$A$2:$C$7,3,FALSE)+IF(BA24="SP",$BA$3,0)</f>
        <v>55.508469197408459</v>
      </c>
      <c r="AZ24" s="37">
        <f>STANDARDIZE(AY24,AVERAGE($AY$5:$AY$1116),STDEVP($AY$5:$AY$1116))</f>
        <v>1.713736284863286</v>
      </c>
      <c r="BA24" t="str">
        <f>IF(OR(AND(AQ24&gt;7,AW24&gt;1),AND(AQ24&gt;4,AV24&gt;2)),"SP","RP")</f>
        <v>SP</v>
      </c>
      <c r="BC24">
        <f>VLOOKUP($A24,'Draft List'!$A$4:$V$530,22,FALSE)</f>
        <v>0</v>
      </c>
      <c r="BD24" t="s">
        <v>16</v>
      </c>
      <c r="BE24" t="str">
        <f>IF(AVERAGE($O24:$Q24)&gt;=6,"Likely",IF(AVERAGE($O24:$Q24)&gt;=4,"Possible","Unlikely"))</f>
        <v>Likely</v>
      </c>
      <c r="BG24" t="str">
        <f>IF(VLOOKUP($B24,'Draft List'!$D$4:$AB$2598,BG$3,FALSE)&lt;&gt;0,VLOOKUP($B24,'Draft List'!$D$4:$AB$2598,BG$3,FALSE),"")</f>
        <v/>
      </c>
      <c r="BH24" t="str">
        <f>IF(VLOOKUP($B24,'Draft List'!$D$4:$AB$2598,BH$3,FALSE)&lt;&gt;0,VLOOKUP($B24,'Draft List'!$D$4:$AB$2598,BH$3,FALSE),"")</f>
        <v/>
      </c>
      <c r="BI24" t="str">
        <f>IF(VLOOKUP($B24,'Draft List'!$D$4:$AB$2598,BI$3,FALSE)&lt;&gt;0,VLOOKUP($B24,'Draft List'!$D$4:$AB$2598,BI$3,FALSE),"")</f>
        <v/>
      </c>
      <c r="BJ24" t="str">
        <f>IF(OR(C24="SP",C24="MR",C24="CL"),"P",VLOOKUP($A24,Bat!$A$4:$AP$1287,42,FALSE))</f>
        <v>P</v>
      </c>
    </row>
    <row r="25" spans="1:62">
      <c r="A25" t="str">
        <f>C25&amp;D25&amp;E25</f>
        <v>CLJorge Martínez21</v>
      </c>
      <c r="B25">
        <f>VLOOKUP($A25,draft_listing_pitchers_stats!$A$1:$B$1324,2,FALSE)</f>
        <v>3486</v>
      </c>
      <c r="C25" s="1" t="s">
        <v>2032</v>
      </c>
      <c r="D25" s="1" t="s">
        <v>1090</v>
      </c>
      <c r="E25" s="1">
        <v>21</v>
      </c>
      <c r="F25" s="1" t="s">
        <v>2022</v>
      </c>
      <c r="G25" s="1" t="s">
        <v>2022</v>
      </c>
      <c r="H25" s="1" t="s">
        <v>2033</v>
      </c>
      <c r="I25" s="31" t="s">
        <v>2023</v>
      </c>
      <c r="J25" s="1" t="s">
        <v>2036</v>
      </c>
      <c r="K25" s="31" t="s">
        <v>2025</v>
      </c>
      <c r="L25" s="1">
        <v>5</v>
      </c>
      <c r="M25" s="1">
        <v>5</v>
      </c>
      <c r="N25" s="31">
        <v>4</v>
      </c>
      <c r="O25" s="1">
        <v>5</v>
      </c>
      <c r="P25" s="1">
        <v>7</v>
      </c>
      <c r="Q25" s="31">
        <v>7</v>
      </c>
      <c r="R25" s="1" t="s">
        <v>2027</v>
      </c>
      <c r="S25" s="1" t="s">
        <v>2027</v>
      </c>
      <c r="T25" s="1">
        <v>6</v>
      </c>
      <c r="U25" s="1">
        <v>7</v>
      </c>
      <c r="V25" s="1" t="s">
        <v>2027</v>
      </c>
      <c r="W25" s="1" t="s">
        <v>2027</v>
      </c>
      <c r="X25" s="1" t="s">
        <v>2027</v>
      </c>
      <c r="Y25" s="1" t="s">
        <v>2027</v>
      </c>
      <c r="Z25" s="1" t="s">
        <v>2027</v>
      </c>
      <c r="AA25" s="1" t="s">
        <v>2027</v>
      </c>
      <c r="AB25" s="1">
        <v>4</v>
      </c>
      <c r="AC25" s="1">
        <v>5</v>
      </c>
      <c r="AD25" s="1">
        <v>4</v>
      </c>
      <c r="AE25" s="1">
        <v>5</v>
      </c>
      <c r="AF25" s="1" t="s">
        <v>2027</v>
      </c>
      <c r="AG25" s="1" t="s">
        <v>2027</v>
      </c>
      <c r="AH25" s="1" t="s">
        <v>2027</v>
      </c>
      <c r="AI25" s="1" t="s">
        <v>2027</v>
      </c>
      <c r="AJ25" s="1" t="s">
        <v>2027</v>
      </c>
      <c r="AK25" s="1" t="s">
        <v>2027</v>
      </c>
      <c r="AL25" s="1" t="s">
        <v>2027</v>
      </c>
      <c r="AM25" s="1" t="s">
        <v>2027</v>
      </c>
      <c r="AN25" s="1" t="s">
        <v>2027</v>
      </c>
      <c r="AO25" s="31" t="s">
        <v>2027</v>
      </c>
      <c r="AP25" s="1" t="s">
        <v>2054</v>
      </c>
      <c r="AQ25" s="1">
        <v>3</v>
      </c>
      <c r="AR25" s="32">
        <v>0.44</v>
      </c>
      <c r="AS25" s="45" t="s">
        <v>2029</v>
      </c>
      <c r="AT25" s="9">
        <f>($O$3*(L25-$O$1)/$O$2+$P$3*(M25-$P$1)/$P$2+$Q$3*(N25-$P$1)/$Q$2)/SUM($O$3:$Q$3)</f>
        <v>-0.41403037604835108</v>
      </c>
      <c r="AU25" s="9">
        <f>($O$3*(O25-$O$1)/$O$2+$P$3*(P25-$P$1)/$P$2+$Q$3*(Q25-$Q$1)/$Q$2)/SUM($O$3:$Q$3)</f>
        <v>1.1492895057111625</v>
      </c>
      <c r="AV25">
        <f>COUNT(R25:AO25)/2</f>
        <v>3</v>
      </c>
      <c r="AW25">
        <f>COUNTIF(R25:AO25,"&gt;5")/2</f>
        <v>1</v>
      </c>
      <c r="AX25" s="6">
        <f>VLOOKUP(AP25,COND!$A$10:$B$31,2,FALSE)</f>
        <v>1</v>
      </c>
      <c r="AY25" s="9">
        <f>($AT$3*AT25+$AU$3*AU25+$AV$3*AV25+$AW$3*AW25)*AX25*IF(AQ25&lt;5,0.95,IF(AQ25&lt;7,0.975,1))+$J$3*VLOOKUP(J25,[1]Con!$A$2:$C$7,2,FALSE)+$K$3*VLOOKUP(K25,[1]Con!$A$2:$C$7,3,FALSE)+IF(BA25="SP",$BA$3,0)</f>
        <v>55.420334837062896</v>
      </c>
      <c r="AZ25" s="37">
        <f>STANDARDIZE(AY25,AVERAGE($AY$5:$AY$1116),STDEVP($AY$5:$AY$1116))</f>
        <v>1.7067396029074269</v>
      </c>
      <c r="BA25" t="str">
        <f>IF(OR(AND(AQ25&gt;7,AW25&gt;1),AND(AQ25&gt;4,AV25&gt;2)),"SP","RP")</f>
        <v>RP</v>
      </c>
      <c r="BC25">
        <f>VLOOKUP($A25,'Draft List'!$A$4:$V$530,22,FALSE)</f>
        <v>0</v>
      </c>
      <c r="BD25" t="s">
        <v>155</v>
      </c>
      <c r="BE25" t="str">
        <f>IF(AVERAGE($O25:$Q25)&gt;=6,"Likely",IF(AVERAGE($O25:$Q25)&gt;=4,"Possible","Unlikely"))</f>
        <v>Likely</v>
      </c>
      <c r="BG25" t="str">
        <f>IF(VLOOKUP($B25,'Draft List'!$D$4:$AB$2598,BG$3,FALSE)&lt;&gt;0,VLOOKUP($B25,'Draft List'!$D$4:$AB$2598,BG$3,FALSE),"")</f>
        <v/>
      </c>
      <c r="BH25" t="str">
        <f>IF(VLOOKUP($B25,'Draft List'!$D$4:$AB$2598,BH$3,FALSE)&lt;&gt;0,VLOOKUP($B25,'Draft List'!$D$4:$AB$2598,BH$3,FALSE),"")</f>
        <v/>
      </c>
      <c r="BI25" t="str">
        <f>IF(VLOOKUP($B25,'Draft List'!$D$4:$AB$2598,BI$3,FALSE)&lt;&gt;0,VLOOKUP($B25,'Draft List'!$D$4:$AB$2598,BI$3,FALSE),"")</f>
        <v/>
      </c>
      <c r="BJ25" t="str">
        <f>IF(OR(C25="SP",C25="MR",C25="CL"),"P",VLOOKUP($A25,Bat!$A$4:$AP$1287,42,FALSE))</f>
        <v>P</v>
      </c>
    </row>
    <row r="26" spans="1:62">
      <c r="A26" t="str">
        <f>C26&amp;D26&amp;E26</f>
        <v>SPMichael Vincent18</v>
      </c>
      <c r="B26">
        <f>VLOOKUP($A26,draft_listing_pitchers_stats!$A$1:$B$1324,2,FALSE)</f>
        <v>13818</v>
      </c>
      <c r="C26" s="1" t="s">
        <v>2003</v>
      </c>
      <c r="D26" s="1" t="s">
        <v>1283</v>
      </c>
      <c r="E26" s="1">
        <v>18</v>
      </c>
      <c r="F26" s="1" t="s">
        <v>2022</v>
      </c>
      <c r="G26" s="1" t="s">
        <v>2022</v>
      </c>
      <c r="H26" s="1" t="s">
        <v>2033</v>
      </c>
      <c r="I26" s="31" t="s">
        <v>2052</v>
      </c>
      <c r="J26" s="1" t="s">
        <v>2036</v>
      </c>
      <c r="K26" s="31" t="s">
        <v>2040</v>
      </c>
      <c r="L26" s="1">
        <v>4</v>
      </c>
      <c r="M26" s="1">
        <v>5</v>
      </c>
      <c r="N26" s="31">
        <v>1</v>
      </c>
      <c r="O26" s="1">
        <v>8</v>
      </c>
      <c r="P26" s="1">
        <v>8</v>
      </c>
      <c r="Q26" s="31">
        <v>4</v>
      </c>
      <c r="R26" s="1">
        <v>7</v>
      </c>
      <c r="S26" s="1">
        <v>9</v>
      </c>
      <c r="T26" s="1" t="s">
        <v>2027</v>
      </c>
      <c r="U26" s="1" t="s">
        <v>2027</v>
      </c>
      <c r="V26" s="1" t="s">
        <v>2027</v>
      </c>
      <c r="W26" s="1" t="s">
        <v>2027</v>
      </c>
      <c r="X26" s="1" t="s">
        <v>2027</v>
      </c>
      <c r="Y26" s="1" t="s">
        <v>2027</v>
      </c>
      <c r="Z26" s="1" t="s">
        <v>2027</v>
      </c>
      <c r="AA26" s="1" t="s">
        <v>2027</v>
      </c>
      <c r="AB26" s="1" t="s">
        <v>2027</v>
      </c>
      <c r="AC26" s="1" t="s">
        <v>2027</v>
      </c>
      <c r="AD26" s="1" t="s">
        <v>2027</v>
      </c>
      <c r="AE26" s="1" t="s">
        <v>2027</v>
      </c>
      <c r="AF26" s="1" t="s">
        <v>2027</v>
      </c>
      <c r="AG26" s="1" t="s">
        <v>2027</v>
      </c>
      <c r="AH26" s="1">
        <v>2</v>
      </c>
      <c r="AI26" s="1">
        <v>10</v>
      </c>
      <c r="AJ26" s="1" t="s">
        <v>2027</v>
      </c>
      <c r="AK26" s="1" t="s">
        <v>2027</v>
      </c>
      <c r="AL26" s="1" t="s">
        <v>2027</v>
      </c>
      <c r="AM26" s="1" t="s">
        <v>2027</v>
      </c>
      <c r="AN26" s="1" t="s">
        <v>2027</v>
      </c>
      <c r="AO26" s="31" t="s">
        <v>2027</v>
      </c>
      <c r="AP26" s="1" t="s">
        <v>2050</v>
      </c>
      <c r="AQ26" s="1">
        <v>4</v>
      </c>
      <c r="AR26" s="32">
        <v>0.55000000000000004</v>
      </c>
      <c r="AS26" s="45" t="s">
        <v>2029</v>
      </c>
      <c r="AT26" s="9">
        <f>($O$3*(L26-$O$1)/$O$2+$P$3*(M26-$P$1)/$P$2+$Q$3*(N26-$P$1)/$Q$2)/SUM($O$3:$Q$3)</f>
        <v>-1.3356833987198555</v>
      </c>
      <c r="AU26" s="9">
        <f>($O$3*(O26-$O$1)/$O$2+$P$3*(P26-$P$1)/$P$2+$Q$3*(Q26-$Q$1)/$Q$2)/SUM($O$3:$Q$3)</f>
        <v>1.2018334975064073</v>
      </c>
      <c r="AV26">
        <f>COUNT(R26:AO26)/2</f>
        <v>2</v>
      </c>
      <c r="AW26">
        <f>COUNTIF(R26:AO26,"&gt;5")/2</f>
        <v>1.5</v>
      </c>
      <c r="AX26" s="6">
        <f>VLOOKUP(AP26,COND!$A$10:$B$31,2,FALSE)</f>
        <v>1.075</v>
      </c>
      <c r="AY26" s="9">
        <f>($AT$3*AT26+$AU$3*AU26+$AV$3*AV26+$AW$3*AW26)*AX26*IF(AQ26&lt;5,0.95,IF(AQ26&lt;7,0.975,1))+$J$3*VLOOKUP(J26,[1]Con!$A$2:$C$7,2,FALSE)+$K$3*VLOOKUP(K26,[1]Con!$A$2:$C$7,3,FALSE)+IF(BA26="SP",$BA$3,0)</f>
        <v>55.26072960237984</v>
      </c>
      <c r="AZ26" s="37">
        <f>STANDARDIZE(AY26,AVERAGE($AY$5:$AY$1116),STDEVP($AY$5:$AY$1116))</f>
        <v>1.6940690955004505</v>
      </c>
      <c r="BA26" t="str">
        <f>IF(OR(AND(AQ26&gt;7,AW26&gt;1),AND(AQ26&gt;4,AV26&gt;2)),"SP","RP")</f>
        <v>RP</v>
      </c>
      <c r="BC26">
        <f>VLOOKUP($A26,'Draft List'!$A$4:$V$530,22,FALSE)</f>
        <v>0</v>
      </c>
      <c r="BD26" t="s">
        <v>25</v>
      </c>
      <c r="BE26" t="str">
        <f>IF(AVERAGE($O26:$Q26)&gt;=6,"Likely",IF(AVERAGE($O26:$Q26)&gt;=4,"Possible","Unlikely"))</f>
        <v>Likely</v>
      </c>
      <c r="BG26" t="str">
        <f>IF(VLOOKUP($B26,'Draft List'!$D$4:$AB$2598,BG$3,FALSE)&lt;&gt;0,VLOOKUP($B26,'Draft List'!$D$4:$AB$2598,BG$3,FALSE),"")</f>
        <v/>
      </c>
      <c r="BH26" t="str">
        <f>IF(VLOOKUP($B26,'Draft List'!$D$4:$AB$2598,BH$3,FALSE)&lt;&gt;0,VLOOKUP($B26,'Draft List'!$D$4:$AB$2598,BH$3,FALSE),"")</f>
        <v/>
      </c>
      <c r="BI26" t="str">
        <f>IF(VLOOKUP($B26,'Draft List'!$D$4:$AB$2598,BI$3,FALSE)&lt;&gt;0,VLOOKUP($B26,'Draft List'!$D$4:$AB$2598,BI$3,FALSE),"")</f>
        <v/>
      </c>
      <c r="BJ26" t="str">
        <f>IF(OR(C26="SP",C26="MR",C26="CL"),"P",VLOOKUP($A26,Bat!$A$4:$AP$1287,42,FALSE))</f>
        <v>P</v>
      </c>
    </row>
    <row r="27" spans="1:62">
      <c r="A27" t="str">
        <f>C27&amp;D27&amp;E27</f>
        <v>SPAnthony Thompson21</v>
      </c>
      <c r="B27">
        <f>VLOOKUP($A27,draft_listing_pitchers_stats!$A$1:$B$1324,2,FALSE)</f>
        <v>4284</v>
      </c>
      <c r="C27" s="1" t="s">
        <v>2003</v>
      </c>
      <c r="D27" s="1" t="s">
        <v>1092</v>
      </c>
      <c r="E27" s="1">
        <v>21</v>
      </c>
      <c r="F27" s="1" t="s">
        <v>2022</v>
      </c>
      <c r="G27" s="1" t="s">
        <v>2022</v>
      </c>
      <c r="H27" s="1" t="s">
        <v>2033</v>
      </c>
      <c r="I27" s="31" t="s">
        <v>2023</v>
      </c>
      <c r="J27" s="1" t="s">
        <v>2025</v>
      </c>
      <c r="K27" s="31" t="s">
        <v>2030</v>
      </c>
      <c r="L27" s="1">
        <v>5</v>
      </c>
      <c r="M27" s="1">
        <v>6</v>
      </c>
      <c r="N27" s="31">
        <v>3</v>
      </c>
      <c r="O27" s="1">
        <v>5</v>
      </c>
      <c r="P27" s="1">
        <v>7</v>
      </c>
      <c r="Q27" s="31">
        <v>6</v>
      </c>
      <c r="R27" s="1" t="s">
        <v>2027</v>
      </c>
      <c r="S27" s="1" t="s">
        <v>2027</v>
      </c>
      <c r="T27" s="1">
        <v>4</v>
      </c>
      <c r="U27" s="1">
        <v>4</v>
      </c>
      <c r="V27" s="1">
        <v>5</v>
      </c>
      <c r="W27" s="1">
        <v>5</v>
      </c>
      <c r="X27" s="1">
        <v>5</v>
      </c>
      <c r="Y27" s="1">
        <v>5</v>
      </c>
      <c r="Z27" s="1" t="s">
        <v>2027</v>
      </c>
      <c r="AA27" s="1" t="s">
        <v>2027</v>
      </c>
      <c r="AB27" s="1" t="s">
        <v>2027</v>
      </c>
      <c r="AC27" s="1" t="s">
        <v>2027</v>
      </c>
      <c r="AD27" s="1">
        <v>6</v>
      </c>
      <c r="AE27" s="1">
        <v>6</v>
      </c>
      <c r="AF27" s="1" t="s">
        <v>2027</v>
      </c>
      <c r="AG27" s="1" t="s">
        <v>2027</v>
      </c>
      <c r="AH27" s="1" t="s">
        <v>2027</v>
      </c>
      <c r="AI27" s="1" t="s">
        <v>2027</v>
      </c>
      <c r="AJ27" s="1" t="s">
        <v>2027</v>
      </c>
      <c r="AK27" s="1" t="s">
        <v>2027</v>
      </c>
      <c r="AL27" s="1" t="s">
        <v>2027</v>
      </c>
      <c r="AM27" s="1" t="s">
        <v>2027</v>
      </c>
      <c r="AN27" s="1" t="s">
        <v>2027</v>
      </c>
      <c r="AO27" s="31" t="s">
        <v>2027</v>
      </c>
      <c r="AP27" s="1" t="s">
        <v>2031</v>
      </c>
      <c r="AQ27" s="1">
        <v>10</v>
      </c>
      <c r="AR27" s="32">
        <v>0.56000000000000005</v>
      </c>
      <c r="AS27" s="45" t="s">
        <v>2029</v>
      </c>
      <c r="AT27" s="9">
        <f>($O$3*(L27-$O$1)/$O$2+$P$3*(M27-$P$1)/$P$2+$Q$3*(N27-$P$1)/$Q$2)/SUM($O$3:$Q$3)</f>
        <v>-0.46091922567240617</v>
      </c>
      <c r="AU27" s="9">
        <f>($O$3*(O27-$O$1)/$O$2+$P$3*(P27-$P$1)/$P$2+$Q$3*(Q27-$Q$1)/$Q$2)/SUM($O$3:$Q$3)</f>
        <v>0.90696893965705205</v>
      </c>
      <c r="AV27">
        <f>COUNT(R27:AO27)/2</f>
        <v>4</v>
      </c>
      <c r="AW27">
        <f>COUNTIF(R27:AO27,"&gt;5")/2</f>
        <v>1</v>
      </c>
      <c r="AX27" s="6">
        <f>VLOOKUP(AP27,COND!$A$10:$B$31,2,FALSE)</f>
        <v>1.05</v>
      </c>
      <c r="AY27" s="9">
        <f>($AT$3*AT27+$AU$3*AU27+$AV$3*AV27+$AW$3*AW27)*AX27*IF(AQ27&lt;5,0.95,IF(AQ27&lt;7,0.975,1))+$J$3*VLOOKUP(J27,[1]Con!$A$2:$C$7,2,FALSE)+$K$3*VLOOKUP(K27,[1]Con!$A$2:$C$7,3,FALSE)+IF(BA27="SP",$BA$3,0)</f>
        <v>55.11205469540689</v>
      </c>
      <c r="AZ27" s="37">
        <f>STANDARDIZE(AY27,AVERAGE($AY$5:$AY$1116),STDEVP($AY$5:$AY$1116))</f>
        <v>1.682266308995527</v>
      </c>
      <c r="BA27" t="str">
        <f>IF(OR(AND(AQ27&gt;7,AW27&gt;1),AND(AQ27&gt;4,AV27&gt;2)),"SP","RP")</f>
        <v>SP</v>
      </c>
      <c r="BC27">
        <f>VLOOKUP($A27,'Draft List'!$A$4:$V$530,22,FALSE)</f>
        <v>0</v>
      </c>
      <c r="BD27" t="s">
        <v>27</v>
      </c>
      <c r="BE27" t="str">
        <f>IF(AVERAGE($O27:$Q27)&gt;=6,"Likely",IF(AVERAGE($O27:$Q27)&gt;=4,"Possible","Unlikely"))</f>
        <v>Likely</v>
      </c>
      <c r="BG27" t="str">
        <f>IF(VLOOKUP($B27,'Draft List'!$D$4:$AB$2598,BG$3,FALSE)&lt;&gt;0,VLOOKUP($B27,'Draft List'!$D$4:$AB$2598,BG$3,FALSE),"")</f>
        <v/>
      </c>
      <c r="BH27" t="str">
        <f>IF(VLOOKUP($B27,'Draft List'!$D$4:$AB$2598,BH$3,FALSE)&lt;&gt;0,VLOOKUP($B27,'Draft List'!$D$4:$AB$2598,BH$3,FALSE),"")</f>
        <v/>
      </c>
      <c r="BI27" t="str">
        <f>IF(VLOOKUP($B27,'Draft List'!$D$4:$AB$2598,BI$3,FALSE)&lt;&gt;0,VLOOKUP($B27,'Draft List'!$D$4:$AB$2598,BI$3,FALSE),"")</f>
        <v/>
      </c>
      <c r="BJ27" t="str">
        <f>IF(OR(C27="SP",C27="MR",C27="CL"),"P",VLOOKUP($A27,Bat!$A$4:$AP$1287,42,FALSE))</f>
        <v>P</v>
      </c>
    </row>
    <row r="28" spans="1:62">
      <c r="A28" t="str">
        <f>C28&amp;D28&amp;E28</f>
        <v>SPRaymond Wilson21</v>
      </c>
      <c r="B28">
        <f>VLOOKUP($A28,draft_listing_pitchers_stats!$A$1:$B$1324,2,FALSE)</f>
        <v>8688</v>
      </c>
      <c r="C28" s="1" t="s">
        <v>2003</v>
      </c>
      <c r="D28" s="1" t="s">
        <v>1095</v>
      </c>
      <c r="E28" s="1">
        <v>21</v>
      </c>
      <c r="F28" s="1" t="s">
        <v>2038</v>
      </c>
      <c r="G28" s="1" t="s">
        <v>2038</v>
      </c>
      <c r="H28" s="1" t="s">
        <v>2033</v>
      </c>
      <c r="I28" s="31" t="s">
        <v>2023</v>
      </c>
      <c r="J28" s="1" t="s">
        <v>2026</v>
      </c>
      <c r="K28" s="31" t="s">
        <v>2030</v>
      </c>
      <c r="L28" s="1">
        <v>5</v>
      </c>
      <c r="M28" s="1">
        <v>6</v>
      </c>
      <c r="N28" s="31">
        <v>2</v>
      </c>
      <c r="O28" s="1">
        <v>6</v>
      </c>
      <c r="P28" s="1">
        <v>7</v>
      </c>
      <c r="Q28" s="31">
        <v>5</v>
      </c>
      <c r="R28" s="1">
        <v>6</v>
      </c>
      <c r="S28" s="1">
        <v>7</v>
      </c>
      <c r="T28" s="1" t="s">
        <v>2027</v>
      </c>
      <c r="U28" s="1" t="s">
        <v>2027</v>
      </c>
      <c r="V28" s="1">
        <v>2</v>
      </c>
      <c r="W28" s="1">
        <v>3</v>
      </c>
      <c r="X28" s="1">
        <v>5</v>
      </c>
      <c r="Y28" s="1">
        <v>6</v>
      </c>
      <c r="Z28" s="1" t="s">
        <v>2027</v>
      </c>
      <c r="AA28" s="1" t="s">
        <v>2027</v>
      </c>
      <c r="AB28" s="1">
        <v>6</v>
      </c>
      <c r="AC28" s="1">
        <v>7</v>
      </c>
      <c r="AD28" s="1" t="s">
        <v>2027</v>
      </c>
      <c r="AE28" s="1" t="s">
        <v>2027</v>
      </c>
      <c r="AF28" s="1" t="s">
        <v>2027</v>
      </c>
      <c r="AG28" s="1" t="s">
        <v>2027</v>
      </c>
      <c r="AH28" s="1" t="s">
        <v>2027</v>
      </c>
      <c r="AI28" s="1" t="s">
        <v>2027</v>
      </c>
      <c r="AJ28" s="1" t="s">
        <v>2027</v>
      </c>
      <c r="AK28" s="1" t="s">
        <v>2027</v>
      </c>
      <c r="AL28" s="1" t="s">
        <v>2027</v>
      </c>
      <c r="AM28" s="1" t="s">
        <v>2027</v>
      </c>
      <c r="AN28" s="1" t="s">
        <v>2027</v>
      </c>
      <c r="AO28" s="31" t="s">
        <v>2027</v>
      </c>
      <c r="AP28" s="1" t="s">
        <v>2031</v>
      </c>
      <c r="AQ28" s="1">
        <v>5</v>
      </c>
      <c r="AR28" s="32">
        <v>0.6</v>
      </c>
      <c r="AS28" s="45" t="s">
        <v>2029</v>
      </c>
      <c r="AT28" s="9">
        <f>($O$3*(L28-$O$1)/$O$2+$P$3*(M28-$P$1)/$P$2+$Q$3*(N28-$P$1)/$Q$2)/SUM($O$3:$Q$3)</f>
        <v>-0.70323979172651652</v>
      </c>
      <c r="AU28" s="9">
        <f>($O$3*(O28-$O$1)/$O$2+$P$3*(P28-$P$1)/$P$2+$Q$3*(Q28-$Q$1)/$Q$2)/SUM($O$3:$Q$3)</f>
        <v>0.85933969811211519</v>
      </c>
      <c r="AV28">
        <f>COUNT(R28:AO28)/2</f>
        <v>4</v>
      </c>
      <c r="AW28">
        <f>COUNTIF(R28:AO28,"&gt;5")/2</f>
        <v>2.5</v>
      </c>
      <c r="AX28" s="6">
        <f>VLOOKUP(AP28,COND!$A$10:$B$31,2,FALSE)</f>
        <v>1.05</v>
      </c>
      <c r="AY28" s="9">
        <f>($AT$3*AT28+$AU$3*AU28+$AV$3*AV28+$AW$3*AW28)*AX28*IF(AQ28&lt;5,0.95,IF(AQ28&lt;7,0.975,1))+$J$3*VLOOKUP(J28,[1]Con!$A$2:$C$7,2,FALSE)+$K$3*VLOOKUP(K28,[1]Con!$A$2:$C$7,3,FALSE)+IF(BA28="SP",$BA$3,0)</f>
        <v>54.697710721489557</v>
      </c>
      <c r="AZ28" s="37">
        <f>STANDARDIZE(AY28,AVERAGE($AY$5:$AY$1116),STDEVP($AY$5:$AY$1116))</f>
        <v>1.649372974381653</v>
      </c>
      <c r="BA28" t="str">
        <f>IF(OR(AND(AQ28&gt;7,AW28&gt;1),AND(AQ28&gt;4,AV28&gt;2)),"SP","RP")</f>
        <v>SP</v>
      </c>
      <c r="BC28">
        <f>VLOOKUP($A28,'Draft List'!$A$4:$V$530,22,FALSE)</f>
        <v>0</v>
      </c>
      <c r="BD28" t="s">
        <v>28</v>
      </c>
      <c r="BE28" t="str">
        <f>IF(AVERAGE($O28:$Q28)&gt;=6,"Likely",IF(AVERAGE($O28:$Q28)&gt;=4,"Possible","Unlikely"))</f>
        <v>Likely</v>
      </c>
      <c r="BG28" t="str">
        <f>IF(VLOOKUP($B28,'Draft List'!$D$4:$AB$2598,BG$3,FALSE)&lt;&gt;0,VLOOKUP($B28,'Draft List'!$D$4:$AB$2598,BG$3,FALSE),"")</f>
        <v/>
      </c>
      <c r="BH28" t="str">
        <f>IF(VLOOKUP($B28,'Draft List'!$D$4:$AB$2598,BH$3,FALSE)&lt;&gt;0,VLOOKUP($B28,'Draft List'!$D$4:$AB$2598,BH$3,FALSE),"")</f>
        <v/>
      </c>
      <c r="BI28" t="str">
        <f>IF(VLOOKUP($B28,'Draft List'!$D$4:$AB$2598,BI$3,FALSE)&lt;&gt;0,VLOOKUP($B28,'Draft List'!$D$4:$AB$2598,BI$3,FALSE),"")</f>
        <v/>
      </c>
      <c r="BJ28" t="str">
        <f>IF(OR(C28="SP",C28="MR",C28="CL"),"P",VLOOKUP($A28,Bat!$A$4:$AP$1287,42,FALSE))</f>
        <v>P</v>
      </c>
    </row>
    <row r="29" spans="1:62">
      <c r="A29" t="str">
        <f>C29&amp;D29&amp;E29</f>
        <v>MRRoy Benson21</v>
      </c>
      <c r="B29">
        <f>VLOOKUP($A29,draft_listing_pitchers_stats!$A$1:$B$1324,2,FALSE)</f>
        <v>7511</v>
      </c>
      <c r="C29" s="1" t="s">
        <v>2021</v>
      </c>
      <c r="D29" s="1" t="s">
        <v>1277</v>
      </c>
      <c r="E29" s="1">
        <v>21</v>
      </c>
      <c r="F29" s="1" t="s">
        <v>2049</v>
      </c>
      <c r="G29" s="1" t="s">
        <v>2038</v>
      </c>
      <c r="H29" s="1" t="s">
        <v>2033</v>
      </c>
      <c r="I29" s="31" t="s">
        <v>2043</v>
      </c>
      <c r="J29" s="1" t="s">
        <v>2030</v>
      </c>
      <c r="K29" s="31" t="s">
        <v>2025</v>
      </c>
      <c r="L29" s="1">
        <v>8</v>
      </c>
      <c r="M29" s="1">
        <v>4</v>
      </c>
      <c r="N29" s="31">
        <v>1</v>
      </c>
      <c r="O29" s="1">
        <v>10</v>
      </c>
      <c r="P29" s="1">
        <v>5</v>
      </c>
      <c r="Q29" s="31">
        <v>4</v>
      </c>
      <c r="R29" s="1">
        <v>9</v>
      </c>
      <c r="S29" s="1">
        <v>10</v>
      </c>
      <c r="T29" s="1" t="s">
        <v>2027</v>
      </c>
      <c r="U29" s="1" t="s">
        <v>2027</v>
      </c>
      <c r="V29" s="1">
        <v>6</v>
      </c>
      <c r="W29" s="1">
        <v>9</v>
      </c>
      <c r="X29" s="1" t="s">
        <v>2027</v>
      </c>
      <c r="Y29" s="1" t="s">
        <v>2027</v>
      </c>
      <c r="Z29" s="1" t="s">
        <v>2027</v>
      </c>
      <c r="AA29" s="1" t="s">
        <v>2027</v>
      </c>
      <c r="AB29" s="1" t="s">
        <v>2027</v>
      </c>
      <c r="AC29" s="1" t="s">
        <v>2027</v>
      </c>
      <c r="AD29" s="1" t="s">
        <v>2027</v>
      </c>
      <c r="AE29" s="1" t="s">
        <v>2027</v>
      </c>
      <c r="AF29" s="1" t="s">
        <v>2027</v>
      </c>
      <c r="AG29" s="1" t="s">
        <v>2027</v>
      </c>
      <c r="AH29" s="1" t="s">
        <v>2027</v>
      </c>
      <c r="AI29" s="1" t="s">
        <v>2027</v>
      </c>
      <c r="AJ29" s="1" t="s">
        <v>2027</v>
      </c>
      <c r="AK29" s="1" t="s">
        <v>2027</v>
      </c>
      <c r="AL29" s="1" t="s">
        <v>2027</v>
      </c>
      <c r="AM29" s="1" t="s">
        <v>2027</v>
      </c>
      <c r="AN29" s="1" t="s">
        <v>2027</v>
      </c>
      <c r="AO29" s="31" t="s">
        <v>2027</v>
      </c>
      <c r="AP29" s="1" t="s">
        <v>2046</v>
      </c>
      <c r="AQ29" s="1">
        <v>3</v>
      </c>
      <c r="AR29" s="32">
        <v>0.48</v>
      </c>
      <c r="AS29" s="45" t="s">
        <v>2029</v>
      </c>
      <c r="AT29" s="9">
        <f>($O$3*(L29-$O$1)/$O$2+$P$3*(M29-$P$1)/$P$2+$Q$3*(N29-$P$1)/$Q$2)/SUM($O$3:$Q$3)</f>
        <v>-0.75234981711321713</v>
      </c>
      <c r="AU29" s="9">
        <f>($O$3*(O29-$O$1)/$O$2+$P$3*(P29-$P$1)/$P$2+$Q$3*(Q29-$Q$1)/$Q$2)/SUM($O$3:$Q$3)</f>
        <v>1.0049209972345881</v>
      </c>
      <c r="AV29">
        <f>COUNT(R29:AO29)/2</f>
        <v>2</v>
      </c>
      <c r="AW29">
        <f>COUNTIF(R29:AO29,"&gt;5")/2</f>
        <v>2</v>
      </c>
      <c r="AX29" s="6">
        <f>VLOOKUP(AP29,COND!$A$10:$B$31,2,FALSE)</f>
        <v>1.075</v>
      </c>
      <c r="AY29" s="9">
        <f>($AT$3*AT29+$AU$3*AU29+$AV$3*AV29+$AW$3*AW29)*AX29*IF(AQ29&lt;5,0.95,IF(AQ29&lt;7,0.975,1))+$J$3*VLOOKUP(J29,[1]Con!$A$2:$C$7,2,FALSE)+$K$3*VLOOKUP(K29,[1]Con!$A$2:$C$7,3,FALSE)+IF(BA29="SP",$BA$3,0)</f>
        <v>54.696218918371088</v>
      </c>
      <c r="AZ29" s="37">
        <f>STANDARDIZE(AY29,AVERAGE($AY$5:$AY$1116),STDEVP($AY$5:$AY$1116))</f>
        <v>1.6492545452931595</v>
      </c>
      <c r="BA29" t="str">
        <f>IF(OR(AND(AQ29&gt;7,AW29&gt;1),AND(AQ29&gt;4,AV29&gt;2)),"SP","RP")</f>
        <v>RP</v>
      </c>
      <c r="BC29">
        <f>VLOOKUP($A29,'Draft List'!$A$4:$V$530,22,FALSE)</f>
        <v>0</v>
      </c>
      <c r="BD29" t="s">
        <v>155</v>
      </c>
      <c r="BE29" t="str">
        <f>IF(AVERAGE($O29:$Q29)&gt;=6,"Likely",IF(AVERAGE($O29:$Q29)&gt;=4,"Possible","Unlikely"))</f>
        <v>Likely</v>
      </c>
      <c r="BG29" t="str">
        <f>IF(VLOOKUP($B29,'Draft List'!$D$4:$AB$2598,BG$3,FALSE)&lt;&gt;0,VLOOKUP($B29,'Draft List'!$D$4:$AB$2598,BG$3,FALSE),"")</f>
        <v/>
      </c>
      <c r="BH29" t="str">
        <f>IF(VLOOKUP($B29,'Draft List'!$D$4:$AB$2598,BH$3,FALSE)&lt;&gt;0,VLOOKUP($B29,'Draft List'!$D$4:$AB$2598,BH$3,FALSE),"")</f>
        <v/>
      </c>
      <c r="BI29" t="str">
        <f>IF(VLOOKUP($B29,'Draft List'!$D$4:$AB$2598,BI$3,FALSE)&lt;&gt;0,VLOOKUP($B29,'Draft List'!$D$4:$AB$2598,BI$3,FALSE),"")</f>
        <v/>
      </c>
      <c r="BJ29" t="str">
        <f>IF(OR(C29="SP",C29="MR",C29="CL"),"P",VLOOKUP($A29,Bat!$A$4:$AP$1287,42,FALSE))</f>
        <v>P</v>
      </c>
    </row>
    <row r="30" spans="1:62">
      <c r="A30" t="str">
        <f>C30&amp;D30&amp;E30</f>
        <v>CLMichael Campbell21</v>
      </c>
      <c r="B30">
        <f>VLOOKUP($A30,draft_listing_pitchers_stats!$A$1:$B$1324,2,FALSE)</f>
        <v>7613</v>
      </c>
      <c r="C30" s="1" t="s">
        <v>2032</v>
      </c>
      <c r="D30" s="1" t="s">
        <v>1278</v>
      </c>
      <c r="E30" s="1">
        <v>21</v>
      </c>
      <c r="F30" s="1" t="s">
        <v>2038</v>
      </c>
      <c r="G30" s="1" t="s">
        <v>2022</v>
      </c>
      <c r="H30" s="1" t="s">
        <v>2033</v>
      </c>
      <c r="I30" s="31" t="s">
        <v>2043</v>
      </c>
      <c r="J30" s="1" t="s">
        <v>2030</v>
      </c>
      <c r="K30" s="31" t="s">
        <v>2025</v>
      </c>
      <c r="L30" s="1">
        <v>7</v>
      </c>
      <c r="M30" s="1">
        <v>5</v>
      </c>
      <c r="N30" s="31">
        <v>2</v>
      </c>
      <c r="O30" s="1">
        <v>10</v>
      </c>
      <c r="P30" s="1">
        <v>5</v>
      </c>
      <c r="Q30" s="31">
        <v>4</v>
      </c>
      <c r="R30" s="1">
        <v>6</v>
      </c>
      <c r="S30" s="1">
        <v>8</v>
      </c>
      <c r="T30" s="1" t="s">
        <v>2027</v>
      </c>
      <c r="U30" s="1" t="s">
        <v>2027</v>
      </c>
      <c r="V30" s="1" t="s">
        <v>2027</v>
      </c>
      <c r="W30" s="1" t="s">
        <v>2027</v>
      </c>
      <c r="X30" s="1" t="s">
        <v>2027</v>
      </c>
      <c r="Y30" s="1" t="s">
        <v>2027</v>
      </c>
      <c r="Z30" s="1" t="s">
        <v>2027</v>
      </c>
      <c r="AA30" s="1" t="s">
        <v>2027</v>
      </c>
      <c r="AB30" s="1">
        <v>7</v>
      </c>
      <c r="AC30" s="1">
        <v>9</v>
      </c>
      <c r="AD30" s="1" t="s">
        <v>2027</v>
      </c>
      <c r="AE30" s="1" t="s">
        <v>2027</v>
      </c>
      <c r="AF30" s="1" t="s">
        <v>2027</v>
      </c>
      <c r="AG30" s="1" t="s">
        <v>2027</v>
      </c>
      <c r="AH30" s="1" t="s">
        <v>2027</v>
      </c>
      <c r="AI30" s="1" t="s">
        <v>2027</v>
      </c>
      <c r="AJ30" s="1" t="s">
        <v>2027</v>
      </c>
      <c r="AK30" s="1" t="s">
        <v>2027</v>
      </c>
      <c r="AL30" s="1" t="s">
        <v>2027</v>
      </c>
      <c r="AM30" s="1" t="s">
        <v>2027</v>
      </c>
      <c r="AN30" s="1" t="s">
        <v>2027</v>
      </c>
      <c r="AO30" s="31" t="s">
        <v>2027</v>
      </c>
      <c r="AP30" s="1" t="s">
        <v>2048</v>
      </c>
      <c r="AQ30" s="1">
        <v>3</v>
      </c>
      <c r="AR30" s="32">
        <v>0.5</v>
      </c>
      <c r="AS30" s="45" t="s">
        <v>2029</v>
      </c>
      <c r="AT30" s="9">
        <f>($O$3*(L30-$O$1)/$O$2+$P$3*(M30-$P$1)/$P$2+$Q$3*(N30-$P$1)/$Q$2)/SUM($O$3:$Q$3)</f>
        <v>-0.50928885913822497</v>
      </c>
      <c r="AU30" s="9">
        <f>($O$3*(O30-$O$1)/$O$2+$P$3*(P30-$P$1)/$P$2+$Q$3*(Q30-$Q$1)/$Q$2)/SUM($O$3:$Q$3)</f>
        <v>1.0049209972345881</v>
      </c>
      <c r="AV30">
        <f>COUNT(R30:AO30)/2</f>
        <v>2</v>
      </c>
      <c r="AW30">
        <f>COUNTIF(R30:AO30,"&gt;5")/2</f>
        <v>2</v>
      </c>
      <c r="AX30" s="6">
        <f>VLOOKUP(AP30,COND!$A$10:$B$31,2,FALSE)</f>
        <v>1.05</v>
      </c>
      <c r="AY30" s="9">
        <f>($AT$3*AT30+$AU$3*AU30+$AV$3*AV30+$AW$3*AW30)*AX30*IF(AQ30&lt;5,0.95,IF(AQ30&lt;7,0.975,1))+$J$3*VLOOKUP(J30,[1]Con!$A$2:$C$7,2,FALSE)+$K$3*VLOOKUP(K30,[1]Con!$A$2:$C$7,3,FALSE)+IF(BA30="SP",$BA$3,0)</f>
        <v>54.187820767431958</v>
      </c>
      <c r="AZ30" s="37">
        <f>STANDARDIZE(AY30,AVERAGE($AY$5:$AY$1116),STDEVP($AY$5:$AY$1116))</f>
        <v>1.6088945749578554</v>
      </c>
      <c r="BA30" t="str">
        <f>IF(OR(AND(AQ30&gt;7,AW30&gt;1),AND(AQ30&gt;4,AV30&gt;2)),"SP","RP")</f>
        <v>RP</v>
      </c>
      <c r="BC30">
        <f>VLOOKUP($A30,'Draft List'!$A$4:$V$530,22,FALSE)</f>
        <v>0</v>
      </c>
      <c r="BD30" t="s">
        <v>26</v>
      </c>
      <c r="BE30" t="str">
        <f>IF(AVERAGE($O30:$Q30)&gt;=6,"Likely",IF(AVERAGE($O30:$Q30)&gt;=4,"Possible","Unlikely"))</f>
        <v>Likely</v>
      </c>
      <c r="BG30" t="str">
        <f>IF(VLOOKUP($B30,'Draft List'!$D$4:$AB$2598,BG$3,FALSE)&lt;&gt;0,VLOOKUP($B30,'Draft List'!$D$4:$AB$2598,BG$3,FALSE),"")</f>
        <v/>
      </c>
      <c r="BH30" t="str">
        <f>IF(VLOOKUP($B30,'Draft List'!$D$4:$AB$2598,BH$3,FALSE)&lt;&gt;0,VLOOKUP($B30,'Draft List'!$D$4:$AB$2598,BH$3,FALSE),"")</f>
        <v/>
      </c>
      <c r="BI30" t="str">
        <f>IF(VLOOKUP($B30,'Draft List'!$D$4:$AB$2598,BI$3,FALSE)&lt;&gt;0,VLOOKUP($B30,'Draft List'!$D$4:$AB$2598,BI$3,FALSE),"")</f>
        <v/>
      </c>
      <c r="BJ30" t="str">
        <f>IF(OR(C30="SP",C30="MR",C30="CL"),"P",VLOOKUP($A30,Bat!$A$4:$AP$1287,42,FALSE))</f>
        <v>P</v>
      </c>
    </row>
    <row r="31" spans="1:62">
      <c r="A31" t="str">
        <f>C31&amp;D31&amp;E31</f>
        <v>SPWill Montero21</v>
      </c>
      <c r="B31">
        <f>VLOOKUP($A31,draft_listing_pitchers_stats!$A$1:$B$1324,2,FALSE)</f>
        <v>9315</v>
      </c>
      <c r="C31" s="1" t="s">
        <v>2003</v>
      </c>
      <c r="D31" s="1" t="s">
        <v>1091</v>
      </c>
      <c r="E31" s="1">
        <v>21</v>
      </c>
      <c r="F31" s="1" t="s">
        <v>2022</v>
      </c>
      <c r="G31" s="1" t="s">
        <v>2022</v>
      </c>
      <c r="H31" s="1" t="s">
        <v>2023</v>
      </c>
      <c r="I31" s="31" t="s">
        <v>2023</v>
      </c>
      <c r="J31" s="1" t="s">
        <v>2036</v>
      </c>
      <c r="K31" s="31" t="s">
        <v>2025</v>
      </c>
      <c r="L31" s="1">
        <v>4</v>
      </c>
      <c r="M31" s="1">
        <v>4</v>
      </c>
      <c r="N31" s="31">
        <v>8</v>
      </c>
      <c r="O31" s="1">
        <v>4</v>
      </c>
      <c r="P31" s="1">
        <v>4</v>
      </c>
      <c r="Q31" s="31">
        <v>10</v>
      </c>
      <c r="R31" s="1">
        <v>4</v>
      </c>
      <c r="S31" s="1">
        <v>4</v>
      </c>
      <c r="T31" s="1">
        <v>5</v>
      </c>
      <c r="U31" s="1">
        <v>5</v>
      </c>
      <c r="V31" s="1">
        <v>3</v>
      </c>
      <c r="W31" s="1">
        <v>4</v>
      </c>
      <c r="X31" s="1" t="s">
        <v>2027</v>
      </c>
      <c r="Y31" s="1" t="s">
        <v>2027</v>
      </c>
      <c r="Z31" s="1" t="s">
        <v>2027</v>
      </c>
      <c r="AA31" s="1" t="s">
        <v>2027</v>
      </c>
      <c r="AB31" s="1" t="s">
        <v>2027</v>
      </c>
      <c r="AC31" s="1" t="s">
        <v>2027</v>
      </c>
      <c r="AD31" s="1" t="s">
        <v>2027</v>
      </c>
      <c r="AE31" s="1" t="s">
        <v>2027</v>
      </c>
      <c r="AF31" s="1">
        <v>4</v>
      </c>
      <c r="AG31" s="1">
        <v>4</v>
      </c>
      <c r="AH31" s="1" t="s">
        <v>2027</v>
      </c>
      <c r="AI31" s="1" t="s">
        <v>2027</v>
      </c>
      <c r="AJ31" s="1" t="s">
        <v>2027</v>
      </c>
      <c r="AK31" s="1" t="s">
        <v>2027</v>
      </c>
      <c r="AL31" s="1" t="s">
        <v>2027</v>
      </c>
      <c r="AM31" s="1" t="s">
        <v>2027</v>
      </c>
      <c r="AN31" s="1" t="s">
        <v>2027</v>
      </c>
      <c r="AO31" s="31" t="s">
        <v>2027</v>
      </c>
      <c r="AP31" s="1" t="s">
        <v>2034</v>
      </c>
      <c r="AQ31" s="1">
        <v>4</v>
      </c>
      <c r="AR31" s="32">
        <v>0.42</v>
      </c>
      <c r="AS31" s="45" t="s">
        <v>2029</v>
      </c>
      <c r="AT31" s="9">
        <f>($O$3*(L31-$O$1)/$O$2+$P$3*(M31-$P$1)/$P$2+$Q$3*(N31-$P$1)/$Q$2)/SUM($O$3:$Q$3)</f>
        <v>0.16512884722886131</v>
      </c>
      <c r="AU31" s="9">
        <f>($O$3*(O31-$O$1)/$O$2+$P$3*(P31-$P$1)/$P$2+$Q$3*(Q31-$Q$1)/$Q$2)/SUM($O$3:$Q$3)</f>
        <v>1.0952647300741536</v>
      </c>
      <c r="AV31">
        <f>COUNT(R31:AO31)/2</f>
        <v>4</v>
      </c>
      <c r="AW31">
        <f>COUNTIF(R31:AO31,"&gt;5")/2</f>
        <v>0</v>
      </c>
      <c r="AX31" s="6">
        <f>VLOOKUP(AP31,COND!$A$10:$B$31,2,FALSE)</f>
        <v>1</v>
      </c>
      <c r="AY31" s="9">
        <f>($AT$3*AT31+$AU$3*AU31+$AV$3*AV31+$AW$3*AW31)*AX31*IF(AQ31&lt;5,0.95,IF(AQ31&lt;7,0.975,1))+$J$3*VLOOKUP(J31,[1]Con!$A$2:$C$7,2,FALSE)+$K$3*VLOOKUP(K31,[1]Con!$A$2:$C$7,3,FALSE)+IF(BA31="SP",$BA$3,0)</f>
        <v>53.791404352382401</v>
      </c>
      <c r="AZ31" s="37">
        <f>STANDARDIZE(AY31,AVERAGE($AY$5:$AY$1116),STDEVP($AY$5:$AY$1116))</f>
        <v>1.5774244472198349</v>
      </c>
      <c r="BA31" t="str">
        <f>IF(OR(AND(AQ31&gt;7,AW31&gt;1),AND(AQ31&gt;4,AV31&gt;2)),"SP","RP")</f>
        <v>RP</v>
      </c>
      <c r="BC31">
        <f>VLOOKUP($A31,'Draft List'!$A$4:$V$530,22,FALSE)</f>
        <v>0</v>
      </c>
      <c r="BD31" t="s">
        <v>29</v>
      </c>
      <c r="BE31" t="str">
        <f>IF(AVERAGE($O31:$Q31)&gt;=6,"Likely",IF(AVERAGE($O31:$Q31)&gt;=4,"Possible","Unlikely"))</f>
        <v>Likely</v>
      </c>
      <c r="BG31" t="str">
        <f>IF(VLOOKUP($B31,'Draft List'!$D$4:$AB$2598,BG$3,FALSE)&lt;&gt;0,VLOOKUP($B31,'Draft List'!$D$4:$AB$2598,BG$3,FALSE),"")</f>
        <v/>
      </c>
      <c r="BH31" t="str">
        <f>IF(VLOOKUP($B31,'Draft List'!$D$4:$AB$2598,BH$3,FALSE)&lt;&gt;0,VLOOKUP($B31,'Draft List'!$D$4:$AB$2598,BH$3,FALSE),"")</f>
        <v/>
      </c>
      <c r="BI31" t="str">
        <f>IF(VLOOKUP($B31,'Draft List'!$D$4:$AB$2598,BI$3,FALSE)&lt;&gt;0,VLOOKUP($B31,'Draft List'!$D$4:$AB$2598,BI$3,FALSE),"")</f>
        <v/>
      </c>
      <c r="BJ31" t="str">
        <f>IF(OR(C31="SP",C31="MR",C31="CL"),"P",VLOOKUP($A31,Bat!$A$4:$AP$1287,42,FALSE))</f>
        <v>P</v>
      </c>
    </row>
    <row r="32" spans="1:62">
      <c r="A32" t="str">
        <f>C32&amp;D32&amp;E32</f>
        <v>SPDan Boorman18</v>
      </c>
      <c r="B32">
        <f>VLOOKUP($A32,draft_listing_pitchers_stats!$A$1:$B$1324,2,FALSE)</f>
        <v>13777</v>
      </c>
      <c r="C32" s="1" t="s">
        <v>2003</v>
      </c>
      <c r="D32" s="1" t="s">
        <v>1284</v>
      </c>
      <c r="E32" s="1">
        <v>18</v>
      </c>
      <c r="F32" s="1" t="s">
        <v>2022</v>
      </c>
      <c r="G32" s="1" t="s">
        <v>2022</v>
      </c>
      <c r="H32" s="1" t="s">
        <v>2033</v>
      </c>
      <c r="I32" s="31" t="s">
        <v>2052</v>
      </c>
      <c r="J32" s="1" t="s">
        <v>2025</v>
      </c>
      <c r="K32" s="31" t="s">
        <v>2036</v>
      </c>
      <c r="L32" s="1">
        <v>2</v>
      </c>
      <c r="M32" s="1">
        <v>5</v>
      </c>
      <c r="N32" s="31">
        <v>1</v>
      </c>
      <c r="O32" s="1">
        <v>6</v>
      </c>
      <c r="P32" s="1">
        <v>7</v>
      </c>
      <c r="Q32" s="31">
        <v>5</v>
      </c>
      <c r="R32" s="1" t="s">
        <v>2027</v>
      </c>
      <c r="S32" s="1" t="s">
        <v>2027</v>
      </c>
      <c r="T32" s="1">
        <v>1</v>
      </c>
      <c r="U32" s="1">
        <v>5</v>
      </c>
      <c r="V32" s="1">
        <v>3</v>
      </c>
      <c r="W32" s="1">
        <v>6</v>
      </c>
      <c r="X32" s="1">
        <v>3</v>
      </c>
      <c r="Y32" s="1">
        <v>3</v>
      </c>
      <c r="Z32" s="1" t="s">
        <v>2027</v>
      </c>
      <c r="AA32" s="1" t="s">
        <v>2027</v>
      </c>
      <c r="AB32" s="1" t="s">
        <v>2027</v>
      </c>
      <c r="AC32" s="1" t="s">
        <v>2027</v>
      </c>
      <c r="AD32" s="1">
        <v>4</v>
      </c>
      <c r="AE32" s="1">
        <v>7</v>
      </c>
      <c r="AF32" s="1" t="s">
        <v>2027</v>
      </c>
      <c r="AG32" s="1" t="s">
        <v>2027</v>
      </c>
      <c r="AH32" s="1" t="s">
        <v>2027</v>
      </c>
      <c r="AI32" s="1" t="s">
        <v>2027</v>
      </c>
      <c r="AJ32" s="1" t="s">
        <v>2027</v>
      </c>
      <c r="AK32" s="1" t="s">
        <v>2027</v>
      </c>
      <c r="AL32" s="1" t="s">
        <v>2027</v>
      </c>
      <c r="AM32" s="1" t="s">
        <v>2027</v>
      </c>
      <c r="AN32" s="1" t="s">
        <v>2027</v>
      </c>
      <c r="AO32" s="31" t="s">
        <v>2027</v>
      </c>
      <c r="AP32" s="1" t="s">
        <v>2039</v>
      </c>
      <c r="AQ32" s="1">
        <v>7</v>
      </c>
      <c r="AR32" s="32">
        <v>0.59</v>
      </c>
      <c r="AS32" s="45" t="s">
        <v>2029</v>
      </c>
      <c r="AT32" s="9">
        <f>($O$3*(L32-$O$1)/$O$2+$P$3*(M32-$P$1)/$P$2+$Q$3*(N32-$P$1)/$Q$2)/SUM($O$3:$Q$3)</f>
        <v>-1.7250660477382029</v>
      </c>
      <c r="AU32" s="9">
        <f>($O$3*(O32-$O$1)/$O$2+$P$3*(P32-$P$1)/$P$2+$Q$3*(Q32-$Q$1)/$Q$2)/SUM($O$3:$Q$3)</f>
        <v>0.85933969811211519</v>
      </c>
      <c r="AV32">
        <f>COUNT(R32:AO32)/2</f>
        <v>4</v>
      </c>
      <c r="AW32">
        <f>COUNTIF(R32:AO32,"&gt;5")/2</f>
        <v>1</v>
      </c>
      <c r="AX32" s="6">
        <f>VLOOKUP(AP32,COND!$A$10:$B$31,2,FALSE)</f>
        <v>1.0249999999999999</v>
      </c>
      <c r="AY32" s="9">
        <f>($AT$3*AT32+$AU$3*AU32+$AV$3*AV32+$AW$3*AW32)*AX32*IF(AQ32&lt;5,0.95,IF(AQ32&lt;7,0.975,1))+$J$3*VLOOKUP(J32,[1]Con!$A$2:$C$7,2,FALSE)+$K$3*VLOOKUP(K32,[1]Con!$A$2:$C$7,3,FALSE)+IF(BA32="SP",$BA$3,0)</f>
        <v>53.644075271512023</v>
      </c>
      <c r="AZ32" s="37">
        <f>STANDARDIZE(AY32,AVERAGE($AY$5:$AY$1116),STDEVP($AY$5:$AY$1116))</f>
        <v>1.565728501193139</v>
      </c>
      <c r="BA32" t="str">
        <f>IF(OR(AND(AQ32&gt;7,AW32&gt;1),AND(AQ32&gt;4,AV32&gt;2)),"SP","RP")</f>
        <v>SP</v>
      </c>
      <c r="BC32">
        <f>VLOOKUP($A32,'Draft List'!$A$4:$V$530,22,FALSE)</f>
        <v>0</v>
      </c>
      <c r="BD32" t="s">
        <v>30</v>
      </c>
      <c r="BE32" t="str">
        <f>IF(AVERAGE($O32:$Q32)&gt;=6,"Likely",IF(AVERAGE($O32:$Q32)&gt;=4,"Possible","Unlikely"))</f>
        <v>Likely</v>
      </c>
      <c r="BG32" t="str">
        <f>IF(VLOOKUP($B32,'Draft List'!$D$4:$AB$2598,BG$3,FALSE)&lt;&gt;0,VLOOKUP($B32,'Draft List'!$D$4:$AB$2598,BG$3,FALSE),"")</f>
        <v/>
      </c>
      <c r="BH32" t="str">
        <f>IF(VLOOKUP($B32,'Draft List'!$D$4:$AB$2598,BH$3,FALSE)&lt;&gt;0,VLOOKUP($B32,'Draft List'!$D$4:$AB$2598,BH$3,FALSE),"")</f>
        <v/>
      </c>
      <c r="BI32" t="str">
        <f>IF(VLOOKUP($B32,'Draft List'!$D$4:$AB$2598,BI$3,FALSE)&lt;&gt;0,VLOOKUP($B32,'Draft List'!$D$4:$AB$2598,BI$3,FALSE),"")</f>
        <v/>
      </c>
      <c r="BJ32" t="str">
        <f>IF(OR(C32="SP",C32="MR",C32="CL"),"P",VLOOKUP($A32,Bat!$A$4:$AP$1287,42,FALSE))</f>
        <v>P</v>
      </c>
    </row>
    <row r="33" spans="1:62">
      <c r="A33" t="str">
        <f>C33&amp;D33&amp;E33</f>
        <v>SPMarkus Cameron18</v>
      </c>
      <c r="B33">
        <f>VLOOKUP($A33,draft_listing_pitchers_stats!$A$1:$B$1324,2,FALSE)</f>
        <v>13828</v>
      </c>
      <c r="C33" s="1" t="s">
        <v>2003</v>
      </c>
      <c r="D33" s="1" t="s">
        <v>1291</v>
      </c>
      <c r="E33" s="1">
        <v>18</v>
      </c>
      <c r="F33" s="1" t="s">
        <v>2038</v>
      </c>
      <c r="G33" s="1" t="s">
        <v>2022</v>
      </c>
      <c r="H33" s="1" t="s">
        <v>2033</v>
      </c>
      <c r="I33" s="31" t="s">
        <v>2023</v>
      </c>
      <c r="J33" s="1" t="s">
        <v>2025</v>
      </c>
      <c r="K33" s="31" t="s">
        <v>2030</v>
      </c>
      <c r="L33" s="1">
        <v>1</v>
      </c>
      <c r="M33" s="1">
        <v>5</v>
      </c>
      <c r="N33" s="31">
        <v>1</v>
      </c>
      <c r="O33" s="1">
        <v>3</v>
      </c>
      <c r="P33" s="1">
        <v>7</v>
      </c>
      <c r="Q33" s="31">
        <v>9</v>
      </c>
      <c r="R33" s="1">
        <v>2</v>
      </c>
      <c r="S33" s="1">
        <v>4</v>
      </c>
      <c r="T33" s="1" t="s">
        <v>2027</v>
      </c>
      <c r="U33" s="1" t="s">
        <v>2027</v>
      </c>
      <c r="V33" s="1">
        <v>2</v>
      </c>
      <c r="W33" s="1">
        <v>7</v>
      </c>
      <c r="X33" s="1" t="s">
        <v>2027</v>
      </c>
      <c r="Y33" s="1" t="s">
        <v>2027</v>
      </c>
      <c r="Z33" s="1" t="s">
        <v>2027</v>
      </c>
      <c r="AA33" s="1" t="s">
        <v>2027</v>
      </c>
      <c r="AB33" s="1" t="s">
        <v>2027</v>
      </c>
      <c r="AC33" s="1" t="s">
        <v>2027</v>
      </c>
      <c r="AD33" s="1" t="s">
        <v>2027</v>
      </c>
      <c r="AE33" s="1" t="s">
        <v>2027</v>
      </c>
      <c r="AF33" s="1" t="s">
        <v>2027</v>
      </c>
      <c r="AG33" s="1" t="s">
        <v>2027</v>
      </c>
      <c r="AH33" s="1" t="s">
        <v>2027</v>
      </c>
      <c r="AI33" s="1" t="s">
        <v>2027</v>
      </c>
      <c r="AJ33" s="1" t="s">
        <v>2027</v>
      </c>
      <c r="AK33" s="1" t="s">
        <v>2027</v>
      </c>
      <c r="AL33" s="1" t="s">
        <v>2027</v>
      </c>
      <c r="AM33" s="1" t="s">
        <v>2027</v>
      </c>
      <c r="AN33" s="1" t="s">
        <v>2027</v>
      </c>
      <c r="AO33" s="31" t="s">
        <v>2027</v>
      </c>
      <c r="AP33" s="1" t="s">
        <v>2037</v>
      </c>
      <c r="AQ33" s="1">
        <v>7</v>
      </c>
      <c r="AR33" s="32">
        <v>0.55000000000000004</v>
      </c>
      <c r="AS33" s="45" t="s">
        <v>2029</v>
      </c>
      <c r="AT33" s="9">
        <f>($O$3*(L33-$O$1)/$O$2+$P$3*(M33-$P$1)/$P$2+$Q$3*(N33-$P$1)/$Q$2)/SUM($O$3:$Q$3)</f>
        <v>-1.9197573722473762</v>
      </c>
      <c r="AU33" s="9">
        <f>($O$3*(O33-$O$1)/$O$2+$P$3*(P33-$P$1)/$P$2+$Q$3*(Q33-$Q$1)/$Q$2)/SUM($O$3:$Q$3)</f>
        <v>1.2445479888010358</v>
      </c>
      <c r="AV33">
        <f>COUNT(R33:AO33)/2</f>
        <v>2</v>
      </c>
      <c r="AW33">
        <f>COUNTIF(R33:AO33,"&gt;5")/2</f>
        <v>0.5</v>
      </c>
      <c r="AX33" s="6">
        <f>VLOOKUP(AP33,COND!$A$10:$B$31,2,FALSE)</f>
        <v>0.85</v>
      </c>
      <c r="AY33" s="9">
        <f>($AT$3*AT33+$AU$3*AU33+$AV$3*AV33+$AW$3*AW33)*AX33*IF(AQ33&lt;5,0.95,IF(AQ33&lt;7,0.975,1))+$J$3*VLOOKUP(J33,[1]Con!$A$2:$C$7,2,FALSE)+$K$3*VLOOKUP(K33,[1]Con!$A$2:$C$7,3,FALSE)+IF(BA33="SP",$BA$3,0)</f>
        <v>52.962207056335558</v>
      </c>
      <c r="AZ33" s="37">
        <f>STANDARDIZE(AY33,AVERAGE($AY$5:$AY$1116),STDEVP($AY$5:$AY$1116))</f>
        <v>1.5115973425996767</v>
      </c>
      <c r="BA33" t="str">
        <f>IF(OR(AND(AQ33&gt;7,AW33&gt;1),AND(AQ33&gt;4,AV33&gt;2)),"SP","RP")</f>
        <v>RP</v>
      </c>
      <c r="BC33">
        <f>VLOOKUP($A33,'Draft List'!$A$4:$V$530,22,FALSE)</f>
        <v>0</v>
      </c>
      <c r="BD33" t="s">
        <v>31</v>
      </c>
      <c r="BE33" t="str">
        <f>IF(AVERAGE($O33:$Q33)&gt;=6,"Likely",IF(AVERAGE($O33:$Q33)&gt;=4,"Possible","Unlikely"))</f>
        <v>Likely</v>
      </c>
      <c r="BG33" t="str">
        <f>IF(VLOOKUP($B33,'Draft List'!$D$4:$AB$2598,BG$3,FALSE)&lt;&gt;0,VLOOKUP($B33,'Draft List'!$D$4:$AB$2598,BG$3,FALSE),"")</f>
        <v/>
      </c>
      <c r="BH33" t="str">
        <f>IF(VLOOKUP($B33,'Draft List'!$D$4:$AB$2598,BH$3,FALSE)&lt;&gt;0,VLOOKUP($B33,'Draft List'!$D$4:$AB$2598,BH$3,FALSE),"")</f>
        <v/>
      </c>
      <c r="BI33" t="str">
        <f>IF(VLOOKUP($B33,'Draft List'!$D$4:$AB$2598,BI$3,FALSE)&lt;&gt;0,VLOOKUP($B33,'Draft List'!$D$4:$AB$2598,BI$3,FALSE),"")</f>
        <v/>
      </c>
      <c r="BJ33" t="str">
        <f>IF(OR(C33="SP",C33="MR",C33="CL"),"P",VLOOKUP($A33,Bat!$A$4:$AP$1287,42,FALSE))</f>
        <v>P</v>
      </c>
    </row>
    <row r="34" spans="1:62">
      <c r="A34" t="str">
        <f>C34&amp;D34&amp;E34</f>
        <v>SPBen Cunningham18</v>
      </c>
      <c r="B34">
        <f>VLOOKUP($A34,draft_listing_pitchers_stats!$A$1:$B$1324,2,FALSE)</f>
        <v>13919</v>
      </c>
      <c r="C34" s="1" t="s">
        <v>2003</v>
      </c>
      <c r="D34" s="1" t="s">
        <v>1292</v>
      </c>
      <c r="E34" s="1">
        <v>18</v>
      </c>
      <c r="F34" s="1" t="s">
        <v>2049</v>
      </c>
      <c r="G34" s="1" t="s">
        <v>2022</v>
      </c>
      <c r="H34" s="1" t="s">
        <v>2033</v>
      </c>
      <c r="I34" s="31" t="s">
        <v>2023</v>
      </c>
      <c r="J34" s="1" t="s">
        <v>2030</v>
      </c>
      <c r="K34" s="31" t="s">
        <v>2036</v>
      </c>
      <c r="L34" s="1">
        <v>1</v>
      </c>
      <c r="M34" s="1">
        <v>5</v>
      </c>
      <c r="N34" s="31">
        <v>1</v>
      </c>
      <c r="O34" s="1">
        <v>4</v>
      </c>
      <c r="P34" s="1">
        <v>8</v>
      </c>
      <c r="Q34" s="31">
        <v>7</v>
      </c>
      <c r="R34" s="1" t="s">
        <v>2027</v>
      </c>
      <c r="S34" s="1" t="s">
        <v>2027</v>
      </c>
      <c r="T34" s="1">
        <v>1</v>
      </c>
      <c r="U34" s="1">
        <v>7</v>
      </c>
      <c r="V34" s="1">
        <v>2</v>
      </c>
      <c r="W34" s="1">
        <v>5</v>
      </c>
      <c r="X34" s="1" t="s">
        <v>2027</v>
      </c>
      <c r="Y34" s="1" t="s">
        <v>2027</v>
      </c>
      <c r="Z34" s="1" t="s">
        <v>2027</v>
      </c>
      <c r="AA34" s="1" t="s">
        <v>2027</v>
      </c>
      <c r="AB34" s="1" t="s">
        <v>2027</v>
      </c>
      <c r="AC34" s="1" t="s">
        <v>2027</v>
      </c>
      <c r="AD34" s="1">
        <v>2</v>
      </c>
      <c r="AE34" s="1">
        <v>5</v>
      </c>
      <c r="AF34" s="1" t="s">
        <v>2027</v>
      </c>
      <c r="AG34" s="1" t="s">
        <v>2027</v>
      </c>
      <c r="AH34" s="1" t="s">
        <v>2027</v>
      </c>
      <c r="AI34" s="1" t="s">
        <v>2027</v>
      </c>
      <c r="AJ34" s="1" t="s">
        <v>2027</v>
      </c>
      <c r="AK34" s="1" t="s">
        <v>2027</v>
      </c>
      <c r="AL34" s="1" t="s">
        <v>2027</v>
      </c>
      <c r="AM34" s="1" t="s">
        <v>2027</v>
      </c>
      <c r="AN34" s="1" t="s">
        <v>2027</v>
      </c>
      <c r="AO34" s="31" t="s">
        <v>2027</v>
      </c>
      <c r="AP34" s="1" t="s">
        <v>2063</v>
      </c>
      <c r="AQ34" s="1">
        <v>4</v>
      </c>
      <c r="AR34" s="32">
        <v>0.56000000000000005</v>
      </c>
      <c r="AS34" s="45" t="s">
        <v>2029</v>
      </c>
      <c r="AT34" s="9">
        <f>($O$3*(L34-$O$1)/$O$2+$P$3*(M34-$P$1)/$P$2+$Q$3*(N34-$P$1)/$Q$2)/SUM($O$3:$Q$3)</f>
        <v>-1.9197573722473762</v>
      </c>
      <c r="AU34" s="9">
        <f>($O$3*(O34-$O$1)/$O$2+$P$3*(P34-$P$1)/$P$2+$Q$3*(Q34-$Q$1)/$Q$2)/SUM($O$3:$Q$3)</f>
        <v>1.1500298976320444</v>
      </c>
      <c r="AV34">
        <f>COUNT(R34:AO34)/2</f>
        <v>3</v>
      </c>
      <c r="AW34">
        <f>COUNTIF(R34:AO34,"&gt;5")/2</f>
        <v>0.5</v>
      </c>
      <c r="AX34" s="6">
        <f>VLOOKUP(AP34,COND!$A$10:$B$31,2,FALSE)</f>
        <v>0.9</v>
      </c>
      <c r="AY34" s="9">
        <f>($AT$3*AT34+$AU$3*AU34+$AV$3*AV34+$AW$3*AW34)*AX34*IF(AQ34&lt;5,0.95,IF(AQ34&lt;7,0.975,1))+$J$3*VLOOKUP(J34,[1]Con!$A$2:$C$7,2,FALSE)+$K$3*VLOOKUP(K34,[1]Con!$A$2:$C$7,3,FALSE)+IF(BA34="SP",$BA$3,0)</f>
        <v>52.954107738853651</v>
      </c>
      <c r="AZ34" s="37">
        <f>STANDARDIZE(AY34,AVERAGE($AY$5:$AY$1116),STDEVP($AY$5:$AY$1116))</f>
        <v>1.5109543658054021</v>
      </c>
      <c r="BA34" t="str">
        <f>IF(OR(AND(AQ34&gt;7,AW34&gt;1),AND(AQ34&gt;4,AV34&gt;2)),"SP","RP")</f>
        <v>RP</v>
      </c>
      <c r="BC34">
        <f>VLOOKUP($A34,'Draft List'!$A$4:$V$530,22,FALSE)</f>
        <v>0</v>
      </c>
      <c r="BD34" t="s">
        <v>0</v>
      </c>
      <c r="BE34" t="str">
        <f>IF(AVERAGE($O34:$Q34)&gt;=6,"Likely",IF(AVERAGE($O34:$Q34)&gt;=4,"Possible","Unlikely"))</f>
        <v>Likely</v>
      </c>
      <c r="BG34" t="str">
        <f>IF(VLOOKUP($B34,'Draft List'!$D$4:$AB$2598,BG$3,FALSE)&lt;&gt;0,VLOOKUP($B34,'Draft List'!$D$4:$AB$2598,BG$3,FALSE),"")</f>
        <v/>
      </c>
      <c r="BH34" t="str">
        <f>IF(VLOOKUP($B34,'Draft List'!$D$4:$AB$2598,BH$3,FALSE)&lt;&gt;0,VLOOKUP($B34,'Draft List'!$D$4:$AB$2598,BH$3,FALSE),"")</f>
        <v/>
      </c>
      <c r="BI34" t="str">
        <f>IF(VLOOKUP($B34,'Draft List'!$D$4:$AB$2598,BI$3,FALSE)&lt;&gt;0,VLOOKUP($B34,'Draft List'!$D$4:$AB$2598,BI$3,FALSE),"")</f>
        <v/>
      </c>
      <c r="BJ34" t="str">
        <f>IF(OR(C34="SP",C34="MR",C34="CL"),"P",VLOOKUP($A34,Bat!$A$4:$AP$1287,42,FALSE))</f>
        <v>P</v>
      </c>
    </row>
    <row r="35" spans="1:62">
      <c r="A35" t="str">
        <f>C35&amp;D35&amp;E35</f>
        <v>SPJin-hyun Chon21</v>
      </c>
      <c r="B35">
        <f>VLOOKUP($A35,draft_listing_pitchers_stats!$A$1:$B$1324,2,FALSE)</f>
        <v>9224</v>
      </c>
      <c r="C35" s="1" t="s">
        <v>2003</v>
      </c>
      <c r="D35" s="1" t="s">
        <v>1285</v>
      </c>
      <c r="E35" s="1">
        <v>21</v>
      </c>
      <c r="F35" s="1" t="s">
        <v>2038</v>
      </c>
      <c r="G35" s="1" t="s">
        <v>2038</v>
      </c>
      <c r="H35" s="1" t="s">
        <v>2033</v>
      </c>
      <c r="I35" s="31" t="s">
        <v>2052</v>
      </c>
      <c r="J35" s="1" t="s">
        <v>2026</v>
      </c>
      <c r="K35" s="31" t="s">
        <v>2025</v>
      </c>
      <c r="L35" s="1">
        <v>5</v>
      </c>
      <c r="M35" s="1">
        <v>4</v>
      </c>
      <c r="N35" s="31">
        <v>2</v>
      </c>
      <c r="O35" s="1">
        <v>9</v>
      </c>
      <c r="P35" s="1">
        <v>4</v>
      </c>
      <c r="Q35" s="31">
        <v>5</v>
      </c>
      <c r="R35" s="1">
        <v>8</v>
      </c>
      <c r="S35" s="1">
        <v>10</v>
      </c>
      <c r="T35" s="1" t="s">
        <v>2027</v>
      </c>
      <c r="U35" s="1" t="s">
        <v>2027</v>
      </c>
      <c r="V35" s="1">
        <v>5</v>
      </c>
      <c r="W35" s="1">
        <v>9</v>
      </c>
      <c r="X35" s="1" t="s">
        <v>2027</v>
      </c>
      <c r="Y35" s="1" t="s">
        <v>2027</v>
      </c>
      <c r="Z35" s="1" t="s">
        <v>2027</v>
      </c>
      <c r="AA35" s="1" t="s">
        <v>2027</v>
      </c>
      <c r="AB35" s="1" t="s">
        <v>2027</v>
      </c>
      <c r="AC35" s="1" t="s">
        <v>2027</v>
      </c>
      <c r="AD35" s="1" t="s">
        <v>2027</v>
      </c>
      <c r="AE35" s="1" t="s">
        <v>2027</v>
      </c>
      <c r="AF35" s="1" t="s">
        <v>2027</v>
      </c>
      <c r="AG35" s="1" t="s">
        <v>2027</v>
      </c>
      <c r="AH35" s="1" t="s">
        <v>2027</v>
      </c>
      <c r="AI35" s="1" t="s">
        <v>2027</v>
      </c>
      <c r="AJ35" s="1" t="s">
        <v>2027</v>
      </c>
      <c r="AK35" s="1" t="s">
        <v>2027</v>
      </c>
      <c r="AL35" s="1" t="s">
        <v>2027</v>
      </c>
      <c r="AM35" s="1" t="s">
        <v>2027</v>
      </c>
      <c r="AN35" s="1" t="s">
        <v>2027</v>
      </c>
      <c r="AO35" s="31" t="s">
        <v>2027</v>
      </c>
      <c r="AP35" s="1" t="s">
        <v>2028</v>
      </c>
      <c r="AQ35" s="1">
        <v>8</v>
      </c>
      <c r="AR35" s="32">
        <v>0.46</v>
      </c>
      <c r="AS35" s="45" t="s">
        <v>2029</v>
      </c>
      <c r="AT35" s="9">
        <f>($O$3*(L35-$O$1)/$O$2+$P$3*(M35-$P$1)/$P$2+$Q$3*(N35-$P$1)/$Q$2)/SUM($O$3:$Q$3)</f>
        <v>-1.0941032245866273</v>
      </c>
      <c r="AU35" s="9">
        <f>($O$3*(O35-$O$1)/$O$2+$P$3*(P35-$P$1)/$P$2+$Q$3*(Q35-$Q$1)/$Q$2)/SUM($O$3:$Q$3)</f>
        <v>0.85711852234946939</v>
      </c>
      <c r="AV35">
        <f>COUNT(R35:AO35)/2</f>
        <v>2</v>
      </c>
      <c r="AW35">
        <f>COUNTIF(R35:AO35,"&gt;5")/2</f>
        <v>1.5</v>
      </c>
      <c r="AX35" s="6">
        <f>VLOOKUP(AP35,COND!$A$10:$B$31,2,FALSE)</f>
        <v>1.05</v>
      </c>
      <c r="AY35" s="9">
        <f>($AT$3*AT35+$AU$3*AU35+$AV$3*AV35+$AW$3*AW35)*AX35*IF(AQ35&lt;5,0.95,IF(AQ35&lt;7,0.975,1))+$J$3*VLOOKUP(J35,[1]Con!$A$2:$C$7,2,FALSE)+$K$3*VLOOKUP(K35,[1]Con!$A$2:$C$7,3,FALSE)+IF(BA35="SP",$BA$3,0)</f>
        <v>52.038477292175671</v>
      </c>
      <c r="AZ35" s="37">
        <f>STANDARDIZE(AY35,AVERAGE($AY$5:$AY$1116),STDEVP($AY$5:$AY$1116))</f>
        <v>1.4382656323830629</v>
      </c>
      <c r="BA35" t="str">
        <f>IF(OR(AND(AQ35&gt;7,AW35&gt;1),AND(AQ35&gt;4,AV35&gt;2)),"SP","RP")</f>
        <v>SP</v>
      </c>
      <c r="BC35">
        <f>VLOOKUP($A35,'Draft List'!$A$4:$V$530,22,FALSE)</f>
        <v>0</v>
      </c>
      <c r="BD35" t="s">
        <v>155</v>
      </c>
      <c r="BE35" t="str">
        <f>IF(AVERAGE($O35:$Q35)&gt;=6,"Likely",IF(AVERAGE($O35:$Q35)&gt;=4,"Possible","Unlikely"))</f>
        <v>Likely</v>
      </c>
      <c r="BG35" t="str">
        <f>IF(VLOOKUP($B35,'Draft List'!$D$4:$AB$2598,BG$3,FALSE)&lt;&gt;0,VLOOKUP($B35,'Draft List'!$D$4:$AB$2598,BG$3,FALSE),"")</f>
        <v/>
      </c>
      <c r="BH35" t="str">
        <f>IF(VLOOKUP($B35,'Draft List'!$D$4:$AB$2598,BH$3,FALSE)&lt;&gt;0,VLOOKUP($B35,'Draft List'!$D$4:$AB$2598,BH$3,FALSE),"")</f>
        <v/>
      </c>
      <c r="BI35" t="str">
        <f>IF(VLOOKUP($B35,'Draft List'!$D$4:$AB$2598,BI$3,FALSE)&lt;&gt;0,VLOOKUP($B35,'Draft List'!$D$4:$AB$2598,BI$3,FALSE),"")</f>
        <v/>
      </c>
      <c r="BJ35" t="str">
        <f>IF(OR(C35="SP",C35="MR",C35="CL"),"P",VLOOKUP($A35,Bat!$A$4:$AP$1287,42,FALSE))</f>
        <v>P</v>
      </c>
    </row>
    <row r="36" spans="1:62">
      <c r="A36" t="str">
        <f>C36&amp;D36&amp;E36</f>
        <v>SPFred Washington18</v>
      </c>
      <c r="B36">
        <f>VLOOKUP($A36,draft_listing_pitchers_stats!$A$1:$B$1324,2,FALSE)</f>
        <v>176</v>
      </c>
      <c r="C36" s="1" t="s">
        <v>2003</v>
      </c>
      <c r="D36" s="1" t="s">
        <v>1094</v>
      </c>
      <c r="E36" s="1">
        <v>18</v>
      </c>
      <c r="F36" s="1" t="s">
        <v>2038</v>
      </c>
      <c r="G36" s="1" t="s">
        <v>2038</v>
      </c>
      <c r="H36" s="1" t="s">
        <v>2033</v>
      </c>
      <c r="I36" s="31" t="s">
        <v>2023</v>
      </c>
      <c r="J36" s="1" t="s">
        <v>2026</v>
      </c>
      <c r="K36" s="31" t="s">
        <v>2030</v>
      </c>
      <c r="L36" s="1">
        <v>2</v>
      </c>
      <c r="M36" s="1">
        <v>4</v>
      </c>
      <c r="N36" s="31">
        <v>1</v>
      </c>
      <c r="O36" s="1">
        <v>6</v>
      </c>
      <c r="P36" s="1">
        <v>7</v>
      </c>
      <c r="Q36" s="31">
        <v>5</v>
      </c>
      <c r="R36" s="1">
        <v>4</v>
      </c>
      <c r="S36" s="1">
        <v>6</v>
      </c>
      <c r="T36" s="1">
        <v>1</v>
      </c>
      <c r="U36" s="1">
        <v>5</v>
      </c>
      <c r="V36" s="1">
        <v>2</v>
      </c>
      <c r="W36" s="1">
        <v>2</v>
      </c>
      <c r="X36" s="1">
        <v>3</v>
      </c>
      <c r="Y36" s="1">
        <v>7</v>
      </c>
      <c r="Z36" s="1" t="s">
        <v>2027</v>
      </c>
      <c r="AA36" s="1" t="s">
        <v>2027</v>
      </c>
      <c r="AB36" s="1" t="s">
        <v>2027</v>
      </c>
      <c r="AC36" s="1" t="s">
        <v>2027</v>
      </c>
      <c r="AD36" s="1" t="s">
        <v>2027</v>
      </c>
      <c r="AE36" s="1" t="s">
        <v>2027</v>
      </c>
      <c r="AF36" s="1" t="s">
        <v>2027</v>
      </c>
      <c r="AG36" s="1" t="s">
        <v>2027</v>
      </c>
      <c r="AH36" s="1" t="s">
        <v>2027</v>
      </c>
      <c r="AI36" s="1" t="s">
        <v>2027</v>
      </c>
      <c r="AJ36" s="1" t="s">
        <v>2027</v>
      </c>
      <c r="AK36" s="1" t="s">
        <v>2027</v>
      </c>
      <c r="AL36" s="1" t="s">
        <v>2027</v>
      </c>
      <c r="AM36" s="1" t="s">
        <v>2027</v>
      </c>
      <c r="AN36" s="1" t="s">
        <v>2027</v>
      </c>
      <c r="AO36" s="31" t="s">
        <v>2027</v>
      </c>
      <c r="AP36" s="1" t="s">
        <v>2044</v>
      </c>
      <c r="AQ36" s="1">
        <v>5</v>
      </c>
      <c r="AR36" s="32">
        <v>0.56000000000000005</v>
      </c>
      <c r="AS36" s="45" t="s">
        <v>2029</v>
      </c>
      <c r="AT36" s="9">
        <f>($O$3*(L36-$O$1)/$O$2+$P$3*(M36-$P$1)/$P$2+$Q$3*(N36-$P$1)/$Q$2)/SUM($O$3:$Q$3)</f>
        <v>-1.9204977641682581</v>
      </c>
      <c r="AU36" s="9">
        <f>($O$3*(O36-$O$1)/$O$2+$P$3*(P36-$P$1)/$P$2+$Q$3*(Q36-$Q$1)/$Q$2)/SUM($O$3:$Q$3)</f>
        <v>0.85933969811211519</v>
      </c>
      <c r="AV36">
        <f>COUNT(R36:AO36)/2</f>
        <v>4</v>
      </c>
      <c r="AW36">
        <f>COUNTIF(R36:AO36,"&gt;5")/2</f>
        <v>1</v>
      </c>
      <c r="AX36" s="6">
        <f>VLOOKUP(AP36,COND!$A$10:$B$31,2,FALSE)</f>
        <v>1</v>
      </c>
      <c r="AY36" s="9">
        <f>($AT$3*AT36+$AU$3*AU36+$AV$3*AV36+$AW$3*AW36)*AX36*IF(AQ36&lt;5,0.95,IF(AQ36&lt;7,0.975,1))+$J$3*VLOOKUP(J36,[1]Con!$A$2:$C$7,2,FALSE)+$K$3*VLOOKUP(K36,[1]Con!$A$2:$C$7,3,FALSE)+IF(BA36="SP",$BA$3,0)</f>
        <v>51.551377049173439</v>
      </c>
      <c r="AZ36" s="37">
        <f>STANDARDIZE(AY36,AVERAGE($AY$5:$AY$1116),STDEVP($AY$5:$AY$1116))</f>
        <v>1.3995964292760608</v>
      </c>
      <c r="BA36" t="str">
        <f>IF(OR(AND(AQ36&gt;7,AW36&gt;1),AND(AQ36&gt;4,AV36&gt;2)),"SP","RP")</f>
        <v>SP</v>
      </c>
      <c r="BC36">
        <f>VLOOKUP($A36,'Draft List'!$A$4:$V$530,22,FALSE)</f>
        <v>0</v>
      </c>
      <c r="BD36" t="s">
        <v>154</v>
      </c>
      <c r="BE36" t="str">
        <f>IF(AVERAGE($O36:$Q36)&gt;=6,"Likely",IF(AVERAGE($O36:$Q36)&gt;=4,"Possible","Unlikely"))</f>
        <v>Likely</v>
      </c>
      <c r="BG36" t="str">
        <f>IF(VLOOKUP($B36,'Draft List'!$D$4:$AB$2598,BG$3,FALSE)&lt;&gt;0,VLOOKUP($B36,'Draft List'!$D$4:$AB$2598,BG$3,FALSE),"")</f>
        <v/>
      </c>
      <c r="BH36" t="str">
        <f>IF(VLOOKUP($B36,'Draft List'!$D$4:$AB$2598,BH$3,FALSE)&lt;&gt;0,VLOOKUP($B36,'Draft List'!$D$4:$AB$2598,BH$3,FALSE),"")</f>
        <v/>
      </c>
      <c r="BI36" t="str">
        <f>IF(VLOOKUP($B36,'Draft List'!$D$4:$AB$2598,BI$3,FALSE)&lt;&gt;0,VLOOKUP($B36,'Draft List'!$D$4:$AB$2598,BI$3,FALSE),"")</f>
        <v/>
      </c>
      <c r="BJ36" t="str">
        <f>IF(OR(C36="SP",C36="MR",C36="CL"),"P",VLOOKUP($A36,Bat!$A$4:$AP$1287,42,FALSE))</f>
        <v>P</v>
      </c>
    </row>
    <row r="37" spans="1:62">
      <c r="A37" t="str">
        <f>C37&amp;D37&amp;E37</f>
        <v>SPDan McClain18</v>
      </c>
      <c r="B37">
        <f>VLOOKUP($A37,draft_listing_pitchers_stats!$A$1:$B$1324,2,FALSE)</f>
        <v>1104</v>
      </c>
      <c r="C37" s="1" t="s">
        <v>2003</v>
      </c>
      <c r="D37" s="1" t="s">
        <v>1134</v>
      </c>
      <c r="E37" s="1">
        <v>18</v>
      </c>
      <c r="F37" s="1" t="s">
        <v>2049</v>
      </c>
      <c r="G37" s="1" t="s">
        <v>2022</v>
      </c>
      <c r="H37" s="1" t="s">
        <v>2033</v>
      </c>
      <c r="I37" s="31" t="s">
        <v>2023</v>
      </c>
      <c r="J37" s="1" t="s">
        <v>2036</v>
      </c>
      <c r="K37" s="31" t="s">
        <v>2030</v>
      </c>
      <c r="L37" s="1">
        <v>2</v>
      </c>
      <c r="M37" s="1">
        <v>4</v>
      </c>
      <c r="N37" s="31">
        <v>1</v>
      </c>
      <c r="O37" s="1">
        <v>4</v>
      </c>
      <c r="P37" s="1">
        <v>4</v>
      </c>
      <c r="Q37" s="31">
        <v>9</v>
      </c>
      <c r="R37" s="1">
        <v>2</v>
      </c>
      <c r="S37" s="1">
        <v>3</v>
      </c>
      <c r="T37" s="1">
        <v>1</v>
      </c>
      <c r="U37" s="1">
        <v>6</v>
      </c>
      <c r="V37" s="1" t="s">
        <v>2027</v>
      </c>
      <c r="W37" s="1" t="s">
        <v>2027</v>
      </c>
      <c r="X37" s="1">
        <v>1</v>
      </c>
      <c r="Y37" s="1">
        <v>2</v>
      </c>
      <c r="Z37" s="1" t="s">
        <v>2027</v>
      </c>
      <c r="AA37" s="1" t="s">
        <v>2027</v>
      </c>
      <c r="AB37" s="1" t="s">
        <v>2027</v>
      </c>
      <c r="AC37" s="1" t="s">
        <v>2027</v>
      </c>
      <c r="AD37" s="1" t="s">
        <v>2027</v>
      </c>
      <c r="AE37" s="1" t="s">
        <v>2027</v>
      </c>
      <c r="AF37" s="1">
        <v>3</v>
      </c>
      <c r="AG37" s="1">
        <v>4</v>
      </c>
      <c r="AH37" s="1" t="s">
        <v>2027</v>
      </c>
      <c r="AI37" s="1" t="s">
        <v>2027</v>
      </c>
      <c r="AJ37" s="1" t="s">
        <v>2027</v>
      </c>
      <c r="AK37" s="1" t="s">
        <v>2027</v>
      </c>
      <c r="AL37" s="1" t="s">
        <v>2027</v>
      </c>
      <c r="AM37" s="1" t="s">
        <v>2027</v>
      </c>
      <c r="AN37" s="1" t="s">
        <v>2027</v>
      </c>
      <c r="AO37" s="31" t="s">
        <v>2027</v>
      </c>
      <c r="AP37" s="1" t="s">
        <v>2063</v>
      </c>
      <c r="AQ37" s="1">
        <v>7</v>
      </c>
      <c r="AR37" s="32">
        <v>0.49</v>
      </c>
      <c r="AS37" s="45" t="s">
        <v>2029</v>
      </c>
      <c r="AT37" s="9">
        <f>($O$3*(L37-$O$1)/$O$2+$P$3*(M37-$P$1)/$P$2+$Q$3*(N37-$P$1)/$Q$2)/SUM($O$3:$Q$3)</f>
        <v>-1.9204977641682581</v>
      </c>
      <c r="AU37" s="9">
        <f>($O$3*(O37-$O$1)/$O$2+$P$3*(P37-$P$1)/$P$2+$Q$3*(Q37-$Q$1)/$Q$2)/SUM($O$3:$Q$3)</f>
        <v>0.85294416402004314</v>
      </c>
      <c r="AV37">
        <f>COUNT(R37:AO37)/2</f>
        <v>4</v>
      </c>
      <c r="AW37">
        <f>COUNTIF(R37:AO37,"&gt;5")/2</f>
        <v>0.5</v>
      </c>
      <c r="AX37" s="6">
        <f>VLOOKUP(AP37,COND!$A$10:$B$31,2,FALSE)</f>
        <v>0.9</v>
      </c>
      <c r="AY37" s="9">
        <f>($AT$3*AT37+$AU$3*AU37+$AV$3*AV37+$AW$3*AW37)*AX37*IF(AQ37&lt;5,0.95,IF(AQ37&lt;7,0.975,1))+$J$3*VLOOKUP(J37,[1]Con!$A$2:$C$7,2,FALSE)+$K$3*VLOOKUP(K37,[1]Con!$A$2:$C$7,3,FALSE)+IF(BA37="SP",$BA$3,0)</f>
        <v>51.169805354810492</v>
      </c>
      <c r="AZ37" s="37">
        <f>STANDARDIZE(AY37,AVERAGE($AY$5:$AY$1116),STDEVP($AY$5:$AY$1116))</f>
        <v>1.3693047725561602</v>
      </c>
      <c r="BA37" t="str">
        <f>IF(OR(AND(AQ37&gt;7,AW37&gt;1),AND(AQ37&gt;4,AV37&gt;2)),"SP","RP")</f>
        <v>SP</v>
      </c>
      <c r="BC37">
        <f>VLOOKUP($A37,'Draft List'!$A$4:$V$530,22,FALSE)</f>
        <v>0</v>
      </c>
      <c r="BD37" t="s">
        <v>6</v>
      </c>
      <c r="BE37" t="str">
        <f>IF(AVERAGE($O37:$Q37)&gt;=6,"Likely",IF(AVERAGE($O37:$Q37)&gt;=4,"Possible","Unlikely"))</f>
        <v>Possible</v>
      </c>
      <c r="BG37" t="str">
        <f>IF(VLOOKUP($B37,'Draft List'!$D$4:$AB$2598,BG$3,FALSE)&lt;&gt;0,VLOOKUP($B37,'Draft List'!$D$4:$AB$2598,BG$3,FALSE),"")</f>
        <v/>
      </c>
      <c r="BH37" t="str">
        <f>IF(VLOOKUP($B37,'Draft List'!$D$4:$AB$2598,BH$3,FALSE)&lt;&gt;0,VLOOKUP($B37,'Draft List'!$D$4:$AB$2598,BH$3,FALSE),"")</f>
        <v/>
      </c>
      <c r="BI37" t="str">
        <f>IF(VLOOKUP($B37,'Draft List'!$D$4:$AB$2598,BI$3,FALSE)&lt;&gt;0,VLOOKUP($B37,'Draft List'!$D$4:$AB$2598,BI$3,FALSE),"")</f>
        <v/>
      </c>
      <c r="BJ37" t="str">
        <f>IF(OR(C37="SP",C37="MR",C37="CL"),"P",VLOOKUP($A37,Bat!$A$4:$AP$1287,42,FALSE))</f>
        <v>P</v>
      </c>
    </row>
    <row r="38" spans="1:62">
      <c r="A38" t="str">
        <f>C38&amp;D38&amp;E38</f>
        <v>MRMichael Hill21</v>
      </c>
      <c r="B38">
        <f>VLOOKUP($A38,draft_listing_pitchers_stats!$A$1:$B$1324,2,FALSE)</f>
        <v>2836</v>
      </c>
      <c r="C38" s="1" t="s">
        <v>2021</v>
      </c>
      <c r="D38" s="1" t="s">
        <v>1288</v>
      </c>
      <c r="E38" s="1">
        <v>21</v>
      </c>
      <c r="F38" s="1" t="s">
        <v>2038</v>
      </c>
      <c r="G38" s="1" t="s">
        <v>2038</v>
      </c>
      <c r="H38" s="1" t="s">
        <v>2033</v>
      </c>
      <c r="I38" s="31" t="s">
        <v>2052</v>
      </c>
      <c r="J38" s="1" t="s">
        <v>2025</v>
      </c>
      <c r="K38" s="31" t="s">
        <v>2030</v>
      </c>
      <c r="L38" s="1">
        <v>5</v>
      </c>
      <c r="M38" s="1">
        <v>4</v>
      </c>
      <c r="N38" s="31">
        <v>3</v>
      </c>
      <c r="O38" s="1">
        <v>8</v>
      </c>
      <c r="P38" s="1">
        <v>4</v>
      </c>
      <c r="Q38" s="31">
        <v>6</v>
      </c>
      <c r="R38" s="1">
        <v>6</v>
      </c>
      <c r="S38" s="1">
        <v>8</v>
      </c>
      <c r="T38" s="1" t="s">
        <v>2027</v>
      </c>
      <c r="U38" s="1" t="s">
        <v>2027</v>
      </c>
      <c r="V38" s="1" t="s">
        <v>2027</v>
      </c>
      <c r="W38" s="1" t="s">
        <v>2027</v>
      </c>
      <c r="X38" s="1" t="s">
        <v>2027</v>
      </c>
      <c r="Y38" s="1" t="s">
        <v>2027</v>
      </c>
      <c r="Z38" s="1" t="s">
        <v>2027</v>
      </c>
      <c r="AA38" s="1" t="s">
        <v>2027</v>
      </c>
      <c r="AB38" s="1" t="s">
        <v>2027</v>
      </c>
      <c r="AC38" s="1" t="s">
        <v>2027</v>
      </c>
      <c r="AD38" s="1" t="s">
        <v>2027</v>
      </c>
      <c r="AE38" s="1" t="s">
        <v>2027</v>
      </c>
      <c r="AF38" s="1" t="s">
        <v>2027</v>
      </c>
      <c r="AG38" s="1" t="s">
        <v>2027</v>
      </c>
      <c r="AH38" s="1" t="s">
        <v>2027</v>
      </c>
      <c r="AI38" s="1" t="s">
        <v>2027</v>
      </c>
      <c r="AJ38" s="1">
        <v>5</v>
      </c>
      <c r="AK38" s="1">
        <v>8</v>
      </c>
      <c r="AL38" s="1" t="s">
        <v>2027</v>
      </c>
      <c r="AM38" s="1" t="s">
        <v>2027</v>
      </c>
      <c r="AN38" s="1" t="s">
        <v>2027</v>
      </c>
      <c r="AO38" s="31" t="s">
        <v>2027</v>
      </c>
      <c r="AP38" s="1" t="s">
        <v>2044</v>
      </c>
      <c r="AQ38" s="1">
        <v>1</v>
      </c>
      <c r="AR38" s="32">
        <v>0.44</v>
      </c>
      <c r="AS38" s="45" t="s">
        <v>2029</v>
      </c>
      <c r="AT38" s="9">
        <f>($O$3*(L38-$O$1)/$O$2+$P$3*(M38-$P$1)/$P$2+$Q$3*(N38-$P$1)/$Q$2)/SUM($O$3:$Q$3)</f>
        <v>-0.851782658532517</v>
      </c>
      <c r="AU38" s="9">
        <f>($O$3*(O38-$O$1)/$O$2+$P$3*(P38-$P$1)/$P$2+$Q$3*(Q38-$Q$1)/$Q$2)/SUM($O$3:$Q$3)</f>
        <v>0.90474776389440636</v>
      </c>
      <c r="AV38">
        <f>COUNT(R38:AO38)/2</f>
        <v>2</v>
      </c>
      <c r="AW38">
        <f>COUNTIF(R38:AO38,"&gt;5")/2</f>
        <v>1.5</v>
      </c>
      <c r="AX38" s="6">
        <f>VLOOKUP(AP38,COND!$A$10:$B$31,2,FALSE)</f>
        <v>1</v>
      </c>
      <c r="AY38" s="9">
        <f>($AT$3*AT38+$AU$3*AU38+$AV$3*AV38+$AW$3*AW38)*AX38*IF(AQ38&lt;5,0.95,IF(AQ38&lt;7,0.975,1))+$J$3*VLOOKUP(J38,[1]Con!$A$2:$C$7,2,FALSE)+$K$3*VLOOKUP(K38,[1]Con!$A$2:$C$7,3,FALSE)+IF(BA38="SP",$BA$3,0)</f>
        <v>50.509618808872546</v>
      </c>
      <c r="AZ38" s="37">
        <f>STANDARDIZE(AY38,AVERAGE($AY$5:$AY$1116),STDEVP($AY$5:$AY$1116))</f>
        <v>1.316894846673065</v>
      </c>
      <c r="BA38" t="str">
        <f>IF(OR(AND(AQ38&gt;7,AW38&gt;1),AND(AQ38&gt;4,AV38&gt;2)),"SP","RP")</f>
        <v>RP</v>
      </c>
      <c r="BC38">
        <f>VLOOKUP($A38,'Draft List'!$A$4:$V$530,22,FALSE)</f>
        <v>0</v>
      </c>
      <c r="BD38" t="s">
        <v>41</v>
      </c>
      <c r="BE38" t="str">
        <f>IF(AVERAGE($O38:$Q38)&gt;=6,"Likely",IF(AVERAGE($O38:$Q38)&gt;=4,"Possible","Unlikely"))</f>
        <v>Likely</v>
      </c>
      <c r="BG38" t="str">
        <f>IF(VLOOKUP($B38,'Draft List'!$D$4:$AB$2598,BG$3,FALSE)&lt;&gt;0,VLOOKUP($B38,'Draft List'!$D$4:$AB$2598,BG$3,FALSE),"")</f>
        <v/>
      </c>
      <c r="BH38" t="str">
        <f>IF(VLOOKUP($B38,'Draft List'!$D$4:$AB$2598,BH$3,FALSE)&lt;&gt;0,VLOOKUP($B38,'Draft List'!$D$4:$AB$2598,BH$3,FALSE),"")</f>
        <v/>
      </c>
      <c r="BI38" t="str">
        <f>IF(VLOOKUP($B38,'Draft List'!$D$4:$AB$2598,BI$3,FALSE)&lt;&gt;0,VLOOKUP($B38,'Draft List'!$D$4:$AB$2598,BI$3,FALSE),"")</f>
        <v/>
      </c>
      <c r="BJ38" t="str">
        <f>IF(OR(C38="SP",C38="MR",C38="CL"),"P",VLOOKUP($A38,Bat!$A$4:$AP$1287,42,FALSE))</f>
        <v>P</v>
      </c>
    </row>
    <row r="39" spans="1:62">
      <c r="A39" t="str">
        <f>C39&amp;D39&amp;E39</f>
        <v>SPCésar León21</v>
      </c>
      <c r="B39">
        <f>VLOOKUP($A39,draft_listing_pitchers_stats!$A$1:$B$1324,2,FALSE)</f>
        <v>2546</v>
      </c>
      <c r="C39" s="1" t="s">
        <v>2003</v>
      </c>
      <c r="D39" s="1" t="s">
        <v>1088</v>
      </c>
      <c r="E39" s="1">
        <v>21</v>
      </c>
      <c r="F39" s="1" t="s">
        <v>2038</v>
      </c>
      <c r="G39" s="1" t="s">
        <v>2038</v>
      </c>
      <c r="H39" s="1" t="s">
        <v>2033</v>
      </c>
      <c r="I39" s="31" t="s">
        <v>2023</v>
      </c>
      <c r="J39" s="1" t="s">
        <v>2025</v>
      </c>
      <c r="K39" s="31" t="s">
        <v>2030</v>
      </c>
      <c r="L39" s="1">
        <v>3</v>
      </c>
      <c r="M39" s="1">
        <v>7</v>
      </c>
      <c r="N39" s="31">
        <v>2</v>
      </c>
      <c r="O39" s="1">
        <v>5</v>
      </c>
      <c r="P39" s="1">
        <v>8</v>
      </c>
      <c r="Q39" s="31">
        <v>5</v>
      </c>
      <c r="R39" s="1" t="s">
        <v>2027</v>
      </c>
      <c r="S39" s="1" t="s">
        <v>2027</v>
      </c>
      <c r="T39" s="1">
        <v>4</v>
      </c>
      <c r="U39" s="1">
        <v>8</v>
      </c>
      <c r="V39" s="1">
        <v>2</v>
      </c>
      <c r="W39" s="1">
        <v>2</v>
      </c>
      <c r="X39" s="1" t="s">
        <v>2027</v>
      </c>
      <c r="Y39" s="1" t="s">
        <v>2027</v>
      </c>
      <c r="Z39" s="1" t="s">
        <v>2027</v>
      </c>
      <c r="AA39" s="1" t="s">
        <v>2027</v>
      </c>
      <c r="AB39" s="1" t="s">
        <v>2027</v>
      </c>
      <c r="AC39" s="1" t="s">
        <v>2027</v>
      </c>
      <c r="AD39" s="1">
        <v>4</v>
      </c>
      <c r="AE39" s="1">
        <v>5</v>
      </c>
      <c r="AF39" s="1" t="s">
        <v>2027</v>
      </c>
      <c r="AG39" s="1" t="s">
        <v>2027</v>
      </c>
      <c r="AH39" s="1" t="s">
        <v>2027</v>
      </c>
      <c r="AI39" s="1" t="s">
        <v>2027</v>
      </c>
      <c r="AJ39" s="1" t="s">
        <v>2027</v>
      </c>
      <c r="AK39" s="1" t="s">
        <v>2027</v>
      </c>
      <c r="AL39" s="1" t="s">
        <v>2027</v>
      </c>
      <c r="AM39" s="1" t="s">
        <v>2027</v>
      </c>
      <c r="AN39" s="1" t="s">
        <v>2027</v>
      </c>
      <c r="AO39" s="31" t="s">
        <v>2027</v>
      </c>
      <c r="AP39" s="1" t="s">
        <v>2044</v>
      </c>
      <c r="AQ39" s="1">
        <v>2</v>
      </c>
      <c r="AR39" s="32">
        <v>0.6</v>
      </c>
      <c r="AS39" s="45" t="s">
        <v>2029</v>
      </c>
      <c r="AT39" s="9">
        <f>($O$3*(L39-$O$1)/$O$2+$P$3*(M39-$P$1)/$P$2+$Q$3*(N39-$P$1)/$Q$2)/SUM($O$3:$Q$3)</f>
        <v>-0.89719072431480817</v>
      </c>
      <c r="AU39" s="9">
        <f>($O$3*(O39-$O$1)/$O$2+$P$3*(P39-$P$1)/$P$2+$Q$3*(Q39-$Q$1)/$Q$2)/SUM($O$3:$Q$3)</f>
        <v>0.86008009003299712</v>
      </c>
      <c r="AV39">
        <f>COUNT(R39:AO39)/2</f>
        <v>3</v>
      </c>
      <c r="AW39">
        <f>COUNTIF(R39:AO39,"&gt;5")/2</f>
        <v>0.5</v>
      </c>
      <c r="AX39" s="6">
        <f>VLOOKUP(AP39,COND!$A$10:$B$31,2,FALSE)</f>
        <v>1</v>
      </c>
      <c r="AY39" s="9">
        <f>($AT$3*AT39+$AU$3*AU39+$AV$3*AV39+$AW$3*AW39)*AX39*IF(AQ39&lt;5,0.95,IF(AQ39&lt;7,0.975,1))+$J$3*VLOOKUP(J39,[1]Con!$A$2:$C$7,2,FALSE)+$K$3*VLOOKUP(K39,[1]Con!$A$2:$C$7,3,FALSE)+IF(BA39="SP",$BA$3,0)</f>
        <v>48.939805473007134</v>
      </c>
      <c r="AZ39" s="37">
        <f>STANDARDIZE(AY39,AVERAGE($AY$5:$AY$1116),STDEVP($AY$5:$AY$1116))</f>
        <v>1.1922727969066433</v>
      </c>
      <c r="BA39" t="str">
        <f>IF(OR(AND(AQ39&gt;7,AW39&gt;1),AND(AQ39&gt;4,AV39&gt;2)),"SP","RP")</f>
        <v>RP</v>
      </c>
      <c r="BC39">
        <f>VLOOKUP($A39,'Draft List'!$A$4:$V$530,22,FALSE)</f>
        <v>0</v>
      </c>
      <c r="BD39" t="s">
        <v>40</v>
      </c>
      <c r="BE39" t="str">
        <f>IF(AVERAGE($O39:$Q39)&gt;=6,"Likely",IF(AVERAGE($O39:$Q39)&gt;=4,"Possible","Unlikely"))</f>
        <v>Likely</v>
      </c>
      <c r="BG39" t="str">
        <f>IF(VLOOKUP($B39,'Draft List'!$D$4:$AB$2598,BG$3,FALSE)&lt;&gt;0,VLOOKUP($B39,'Draft List'!$D$4:$AB$2598,BG$3,FALSE),"")</f>
        <v/>
      </c>
      <c r="BH39" t="str">
        <f>IF(VLOOKUP($B39,'Draft List'!$D$4:$AB$2598,BH$3,FALSE)&lt;&gt;0,VLOOKUP($B39,'Draft List'!$D$4:$AB$2598,BH$3,FALSE),"")</f>
        <v/>
      </c>
      <c r="BI39" t="str">
        <f>IF(VLOOKUP($B39,'Draft List'!$D$4:$AB$2598,BI$3,FALSE)&lt;&gt;0,VLOOKUP($B39,'Draft List'!$D$4:$AB$2598,BI$3,FALSE),"")</f>
        <v/>
      </c>
      <c r="BJ39" t="str">
        <f>IF(OR(C39="SP",C39="MR",C39="CL"),"P",VLOOKUP($A39,Bat!$A$4:$AP$1287,42,FALSE))</f>
        <v>P</v>
      </c>
    </row>
    <row r="40" spans="1:62">
      <c r="A40" t="str">
        <f>C40&amp;D40&amp;E40</f>
        <v>CLEddie Deringer18</v>
      </c>
      <c r="B40">
        <f>VLOOKUP($A40,draft_listing_pitchers_stats!$A$1:$B$1324,2,FALSE)</f>
        <v>1807</v>
      </c>
      <c r="C40" s="1" t="s">
        <v>2032</v>
      </c>
      <c r="D40" s="1" t="s">
        <v>1293</v>
      </c>
      <c r="E40" s="1">
        <v>18</v>
      </c>
      <c r="F40" s="1" t="s">
        <v>2022</v>
      </c>
      <c r="G40" s="1" t="s">
        <v>2022</v>
      </c>
      <c r="H40" s="1" t="s">
        <v>2033</v>
      </c>
      <c r="I40" s="31" t="s">
        <v>2023</v>
      </c>
      <c r="J40" s="1" t="s">
        <v>2030</v>
      </c>
      <c r="K40" s="31" t="s">
        <v>2025</v>
      </c>
      <c r="L40" s="1">
        <v>3</v>
      </c>
      <c r="M40" s="1">
        <v>4</v>
      </c>
      <c r="N40" s="31">
        <v>1</v>
      </c>
      <c r="O40" s="1">
        <v>6</v>
      </c>
      <c r="P40" s="1">
        <v>7</v>
      </c>
      <c r="Q40" s="31">
        <v>5</v>
      </c>
      <c r="R40" s="1">
        <v>5</v>
      </c>
      <c r="S40" s="1">
        <v>6</v>
      </c>
      <c r="T40" s="1" t="s">
        <v>2027</v>
      </c>
      <c r="U40" s="1" t="s">
        <v>2027</v>
      </c>
      <c r="V40" s="1" t="s">
        <v>2027</v>
      </c>
      <c r="W40" s="1" t="s">
        <v>2027</v>
      </c>
      <c r="X40" s="1">
        <v>2</v>
      </c>
      <c r="Y40" s="1">
        <v>6</v>
      </c>
      <c r="Z40" s="1" t="s">
        <v>2027</v>
      </c>
      <c r="AA40" s="1" t="s">
        <v>2027</v>
      </c>
      <c r="AB40" s="1" t="s">
        <v>2027</v>
      </c>
      <c r="AC40" s="1" t="s">
        <v>2027</v>
      </c>
      <c r="AD40" s="1" t="s">
        <v>2027</v>
      </c>
      <c r="AE40" s="1" t="s">
        <v>2027</v>
      </c>
      <c r="AF40" s="1" t="s">
        <v>2027</v>
      </c>
      <c r="AG40" s="1" t="s">
        <v>2027</v>
      </c>
      <c r="AH40" s="1" t="s">
        <v>2027</v>
      </c>
      <c r="AI40" s="1" t="s">
        <v>2027</v>
      </c>
      <c r="AJ40" s="1" t="s">
        <v>2027</v>
      </c>
      <c r="AK40" s="1" t="s">
        <v>2027</v>
      </c>
      <c r="AL40" s="1" t="s">
        <v>2027</v>
      </c>
      <c r="AM40" s="1" t="s">
        <v>2027</v>
      </c>
      <c r="AN40" s="1" t="s">
        <v>2027</v>
      </c>
      <c r="AO40" s="31" t="s">
        <v>2027</v>
      </c>
      <c r="AP40" s="1" t="s">
        <v>2044</v>
      </c>
      <c r="AQ40" s="1">
        <v>2</v>
      </c>
      <c r="AR40" s="32">
        <v>0.52</v>
      </c>
      <c r="AS40" s="45" t="s">
        <v>2029</v>
      </c>
      <c r="AT40" s="9">
        <f>($O$3*(L40-$O$1)/$O$2+$P$3*(M40-$P$1)/$P$2+$Q$3*(N40-$P$1)/$Q$2)/SUM($O$3:$Q$3)</f>
        <v>-1.7258064396590846</v>
      </c>
      <c r="AU40" s="9">
        <f>($O$3*(O40-$O$1)/$O$2+$P$3*(P40-$P$1)/$P$2+$Q$3*(Q40-$Q$1)/$Q$2)/SUM($O$3:$Q$3)</f>
        <v>0.85933969811211519</v>
      </c>
      <c r="AV40">
        <f>COUNT(R40:AO40)/2</f>
        <v>2</v>
      </c>
      <c r="AW40">
        <f>COUNTIF(R40:AO40,"&gt;5")/2</f>
        <v>1</v>
      </c>
      <c r="AX40" s="6">
        <f>VLOOKUP(AP40,COND!$A$10:$B$31,2,FALSE)</f>
        <v>1</v>
      </c>
      <c r="AY40" s="9">
        <f>($AT$3*AT40+$AU$3*AU40+$AV$3*AV40+$AW$3*AW40)*AX40*IF(AQ40&lt;5,0.95,IF(AQ40&lt;7,0.975,1))+$J$3*VLOOKUP(J40,[1]Con!$A$2:$C$7,2,FALSE)+$K$3*VLOOKUP(K40,[1]Con!$A$2:$C$7,3,FALSE)+IF(BA40="SP",$BA$3,0)</f>
        <v>48.887051040594969</v>
      </c>
      <c r="AZ40" s="37">
        <f>STANDARDIZE(AY40,AVERAGE($AY$5:$AY$1116),STDEVP($AY$5:$AY$1116))</f>
        <v>1.1880848050280779</v>
      </c>
      <c r="BA40" t="str">
        <f>IF(OR(AND(AQ40&gt;7,AW40&gt;1),AND(AQ40&gt;4,AV40&gt;2)),"SP","RP")</f>
        <v>RP</v>
      </c>
      <c r="BC40">
        <f>VLOOKUP($A40,'Draft List'!$A$4:$V$530,22,FALSE)</f>
        <v>0</v>
      </c>
      <c r="BD40" t="s">
        <v>155</v>
      </c>
      <c r="BE40" t="str">
        <f>IF(AVERAGE($O40:$Q40)&gt;=6,"Likely",IF(AVERAGE($O40:$Q40)&gt;=4,"Possible","Unlikely"))</f>
        <v>Likely</v>
      </c>
      <c r="BG40" t="str">
        <f>IF(VLOOKUP($B40,'Draft List'!$D$4:$AB$2598,BG$3,FALSE)&lt;&gt;0,VLOOKUP($B40,'Draft List'!$D$4:$AB$2598,BG$3,FALSE),"")</f>
        <v/>
      </c>
      <c r="BH40" t="str">
        <f>IF(VLOOKUP($B40,'Draft List'!$D$4:$AB$2598,BH$3,FALSE)&lt;&gt;0,VLOOKUP($B40,'Draft List'!$D$4:$AB$2598,BH$3,FALSE),"")</f>
        <v/>
      </c>
      <c r="BI40" t="str">
        <f>IF(VLOOKUP($B40,'Draft List'!$D$4:$AB$2598,BI$3,FALSE)&lt;&gt;0,VLOOKUP($B40,'Draft List'!$D$4:$AB$2598,BI$3,FALSE),"")</f>
        <v/>
      </c>
      <c r="BJ40" t="str">
        <f>IF(OR(C40="SP",C40="MR",C40="CL"),"P",VLOOKUP($A40,Bat!$A$4:$AP$1287,42,FALSE))</f>
        <v>P</v>
      </c>
    </row>
    <row r="41" spans="1:62">
      <c r="A41" t="str">
        <f>C41&amp;D41&amp;E41</f>
        <v>SPMarvin Lilly21</v>
      </c>
      <c r="B41">
        <f>VLOOKUP($A41,draft_listing_pitchers_stats!$A$1:$B$1324,2,FALSE)</f>
        <v>1973</v>
      </c>
      <c r="C41" s="1" t="s">
        <v>2003</v>
      </c>
      <c r="D41" s="1" t="s">
        <v>1089</v>
      </c>
      <c r="E41" s="1">
        <v>21</v>
      </c>
      <c r="F41" s="1" t="s">
        <v>2022</v>
      </c>
      <c r="G41" s="1" t="s">
        <v>2022</v>
      </c>
      <c r="H41" s="1" t="s">
        <v>2033</v>
      </c>
      <c r="I41" s="31" t="s">
        <v>2023</v>
      </c>
      <c r="J41" s="1" t="s">
        <v>2030</v>
      </c>
      <c r="K41" s="31" t="s">
        <v>2025</v>
      </c>
      <c r="L41" s="1">
        <v>4</v>
      </c>
      <c r="M41" s="1">
        <v>5</v>
      </c>
      <c r="N41" s="31">
        <v>3</v>
      </c>
      <c r="O41" s="1">
        <v>4</v>
      </c>
      <c r="P41" s="1">
        <v>6</v>
      </c>
      <c r="Q41" s="31">
        <v>7</v>
      </c>
      <c r="R41" s="1">
        <v>4</v>
      </c>
      <c r="S41" s="1">
        <v>5</v>
      </c>
      <c r="T41" s="1">
        <v>5</v>
      </c>
      <c r="U41" s="1">
        <v>5</v>
      </c>
      <c r="V41" s="1">
        <v>5</v>
      </c>
      <c r="W41" s="1">
        <v>5</v>
      </c>
      <c r="X41" s="1" t="s">
        <v>2027</v>
      </c>
      <c r="Y41" s="1" t="s">
        <v>2027</v>
      </c>
      <c r="Z41" s="1" t="s">
        <v>2027</v>
      </c>
      <c r="AA41" s="1" t="s">
        <v>2027</v>
      </c>
      <c r="AB41" s="1" t="s">
        <v>2027</v>
      </c>
      <c r="AC41" s="1" t="s">
        <v>2027</v>
      </c>
      <c r="AD41" s="1" t="s">
        <v>2027</v>
      </c>
      <c r="AE41" s="1" t="s">
        <v>2027</v>
      </c>
      <c r="AF41" s="1" t="s">
        <v>2027</v>
      </c>
      <c r="AG41" s="1" t="s">
        <v>2027</v>
      </c>
      <c r="AH41" s="1" t="s">
        <v>2027</v>
      </c>
      <c r="AI41" s="1" t="s">
        <v>2027</v>
      </c>
      <c r="AJ41" s="1" t="s">
        <v>2027</v>
      </c>
      <c r="AK41" s="1" t="s">
        <v>2027</v>
      </c>
      <c r="AL41" s="1" t="s">
        <v>2027</v>
      </c>
      <c r="AM41" s="1" t="s">
        <v>2027</v>
      </c>
      <c r="AN41" s="1" t="s">
        <v>2027</v>
      </c>
      <c r="AO41" s="31" t="s">
        <v>2027</v>
      </c>
      <c r="AP41" s="1" t="s">
        <v>2042</v>
      </c>
      <c r="AQ41" s="1">
        <v>6</v>
      </c>
      <c r="AR41" s="32">
        <v>0.56999999999999995</v>
      </c>
      <c r="AS41" s="45" t="s">
        <v>2029</v>
      </c>
      <c r="AT41" s="9">
        <f>($O$3*(L41-$O$1)/$O$2+$P$3*(M41-$P$1)/$P$2+$Q$3*(N41-$P$1)/$Q$2)/SUM($O$3:$Q$3)</f>
        <v>-0.85104226661163507</v>
      </c>
      <c r="AU41" s="9">
        <f>($O$3*(O41-$O$1)/$O$2+$P$3*(P41-$P$1)/$P$2+$Q$3*(Q41-$Q$1)/$Q$2)/SUM($O$3:$Q$3)</f>
        <v>0.7591664647719335</v>
      </c>
      <c r="AV41">
        <f>COUNT(R41:AO41)/2</f>
        <v>3</v>
      </c>
      <c r="AW41">
        <f>COUNTIF(R41:AO41,"&gt;5")/2</f>
        <v>0</v>
      </c>
      <c r="AX41" s="6">
        <f>VLOOKUP(AP41,COND!$A$10:$B$31,2,FALSE)</f>
        <v>1</v>
      </c>
      <c r="AY41" s="9">
        <f>($AT$3*AT41+$AU$3*AU41+$AV$3*AV41+$AW$3*AW41)*AX41*IF(AQ41&lt;5,0.95,IF(AQ41&lt;7,0.975,1))+$J$3*VLOOKUP(J41,[1]Con!$A$2:$C$7,2,FALSE)+$K$3*VLOOKUP(K41,[1]Con!$A$2:$C$7,3,FALSE)+IF(BA41="SP",$BA$3,0)</f>
        <v>48.850292821063434</v>
      </c>
      <c r="AZ41" s="37">
        <f>STANDARDIZE(AY41,AVERAGE($AY$5:$AY$1116),STDEVP($AY$5:$AY$1116))</f>
        <v>1.1851666971491825</v>
      </c>
      <c r="BA41" t="str">
        <f>IF(OR(AND(AQ41&gt;7,AW41&gt;1),AND(AQ41&gt;4,AV41&gt;2)),"SP","RP")</f>
        <v>SP</v>
      </c>
      <c r="BC41">
        <f>VLOOKUP($A41,'Draft List'!$A$4:$V$530,22,FALSE)</f>
        <v>0</v>
      </c>
      <c r="BD41" t="s">
        <v>43</v>
      </c>
      <c r="BE41" t="str">
        <f>IF(AVERAGE($O41:$Q41)&gt;=6,"Likely",IF(AVERAGE($O41:$Q41)&gt;=4,"Possible","Unlikely"))</f>
        <v>Possible</v>
      </c>
      <c r="BG41" t="str">
        <f>IF(VLOOKUP($B41,'Draft List'!$D$4:$AB$2598,BG$3,FALSE)&lt;&gt;0,VLOOKUP($B41,'Draft List'!$D$4:$AB$2598,BG$3,FALSE),"")</f>
        <v/>
      </c>
      <c r="BH41" t="str">
        <f>IF(VLOOKUP($B41,'Draft List'!$D$4:$AB$2598,BH$3,FALSE)&lt;&gt;0,VLOOKUP($B41,'Draft List'!$D$4:$AB$2598,BH$3,FALSE),"")</f>
        <v/>
      </c>
      <c r="BI41" t="str">
        <f>IF(VLOOKUP($B41,'Draft List'!$D$4:$AB$2598,BI$3,FALSE)&lt;&gt;0,VLOOKUP($B41,'Draft List'!$D$4:$AB$2598,BI$3,FALSE),"")</f>
        <v/>
      </c>
      <c r="BJ41" t="str">
        <f>IF(OR(C41="SP",C41="MR",C41="CL"),"P",VLOOKUP($A41,Bat!$A$4:$AP$1287,42,FALSE))</f>
        <v>P</v>
      </c>
    </row>
    <row r="42" spans="1:62">
      <c r="A42" t="str">
        <f>C42&amp;D42&amp;E42</f>
        <v>SPRobert Williams18</v>
      </c>
      <c r="B42" t="e">
        <f>VLOOKUP($A42,draft_listing_pitchers_stats!$A$1:$B$1324,2,FALSE)</f>
        <v>#N/A</v>
      </c>
      <c r="C42" s="1" t="s">
        <v>2003</v>
      </c>
      <c r="D42" s="1" t="s">
        <v>1163</v>
      </c>
      <c r="E42" s="1">
        <v>18</v>
      </c>
      <c r="F42" s="1" t="s">
        <v>2022</v>
      </c>
      <c r="G42" s="1" t="s">
        <v>2022</v>
      </c>
      <c r="H42" s="1" t="s">
        <v>2033</v>
      </c>
      <c r="I42" s="31" t="s">
        <v>2023</v>
      </c>
      <c r="J42" s="1" t="s">
        <v>2030</v>
      </c>
      <c r="K42" s="31" t="s">
        <v>2025</v>
      </c>
      <c r="L42" s="1">
        <v>1</v>
      </c>
      <c r="M42" s="1">
        <v>4</v>
      </c>
      <c r="N42" s="31">
        <v>1</v>
      </c>
      <c r="O42" s="1">
        <v>3</v>
      </c>
      <c r="P42" s="1">
        <v>6</v>
      </c>
      <c r="Q42" s="31">
        <v>8</v>
      </c>
      <c r="R42" s="1">
        <v>2</v>
      </c>
      <c r="S42" s="1">
        <v>3</v>
      </c>
      <c r="T42" s="1">
        <v>1</v>
      </c>
      <c r="U42" s="1">
        <v>2</v>
      </c>
      <c r="V42" s="1" t="s">
        <v>2027</v>
      </c>
      <c r="W42" s="1" t="s">
        <v>2027</v>
      </c>
      <c r="X42" s="1">
        <v>1</v>
      </c>
      <c r="Y42" s="1">
        <v>3</v>
      </c>
      <c r="Z42" s="1" t="s">
        <v>2027</v>
      </c>
      <c r="AA42" s="1" t="s">
        <v>2027</v>
      </c>
      <c r="AB42" s="1">
        <v>3</v>
      </c>
      <c r="AC42" s="1">
        <v>4</v>
      </c>
      <c r="AD42" s="1" t="s">
        <v>2027</v>
      </c>
      <c r="AE42" s="1" t="s">
        <v>2027</v>
      </c>
      <c r="AF42" s="1" t="s">
        <v>2027</v>
      </c>
      <c r="AG42" s="1" t="s">
        <v>2027</v>
      </c>
      <c r="AH42" s="1" t="s">
        <v>2027</v>
      </c>
      <c r="AI42" s="1" t="s">
        <v>2027</v>
      </c>
      <c r="AJ42" s="1" t="s">
        <v>2027</v>
      </c>
      <c r="AK42" s="1" t="s">
        <v>2027</v>
      </c>
      <c r="AL42" s="1" t="s">
        <v>2027</v>
      </c>
      <c r="AM42" s="1" t="s">
        <v>2027</v>
      </c>
      <c r="AN42" s="1" t="s">
        <v>2027</v>
      </c>
      <c r="AO42" s="31" t="s">
        <v>2027</v>
      </c>
      <c r="AP42" s="1" t="s">
        <v>2059</v>
      </c>
      <c r="AQ42" s="1">
        <v>7</v>
      </c>
      <c r="AR42" s="32">
        <v>0.53</v>
      </c>
      <c r="AS42" s="45" t="s">
        <v>2029</v>
      </c>
      <c r="AT42" s="9">
        <f>($O$3*(L42-$O$1)/$O$2+$P$3*(M42-$P$1)/$P$2+$Q$3*(N42-$P$1)/$Q$2)/SUM($O$3:$Q$3)</f>
        <v>-2.1151890886774316</v>
      </c>
      <c r="AU42" s="9">
        <f>($O$3*(O42-$O$1)/$O$2+$P$3*(P42-$P$1)/$P$2+$Q$3*(Q42-$Q$1)/$Q$2)/SUM($O$3:$Q$3)</f>
        <v>0.80679570631687025</v>
      </c>
      <c r="AV42">
        <f>COUNT(R42:AO42)/2</f>
        <v>4</v>
      </c>
      <c r="AW42">
        <f>COUNTIF(R42:AO42,"&gt;5")/2</f>
        <v>0</v>
      </c>
      <c r="AX42" s="6">
        <f>VLOOKUP(AP42,COND!$A$10:$B$31,2,FALSE)</f>
        <v>0.9</v>
      </c>
      <c r="AY42" s="9">
        <f>($AT$3*AT42+$AU$3*AU42+$AV$3*AV42+$AW$3*AW42)*AX42*IF(AQ42&lt;5,0.95,IF(AQ42&lt;7,0.975,1))+$J$3*VLOOKUP(J42,[1]Con!$A$2:$C$7,2,FALSE)+$K$3*VLOOKUP(K42,[1]Con!$A$2:$C$7,3,FALSE)+IF(BA42="SP",$BA$3,0)</f>
        <v>48.691588677741727</v>
      </c>
      <c r="AZ42" s="37">
        <f>STANDARDIZE(AY42,AVERAGE($AY$5:$AY$1116),STDEVP($AY$5:$AY$1116))</f>
        <v>1.172567724267944</v>
      </c>
      <c r="BA42" t="str">
        <f>IF(OR(AND(AQ42&gt;7,AW42&gt;1),AND(AQ42&gt;4,AV42&gt;2)),"SP","RP")</f>
        <v>SP</v>
      </c>
      <c r="BC42" t="e">
        <f>VLOOKUP($A42,'Draft List'!$A$4:$V$530,22,FALSE)</f>
        <v>#N/A</v>
      </c>
      <c r="BD42" t="s">
        <v>30</v>
      </c>
      <c r="BE42" t="str">
        <f>IF(AVERAGE($O42:$Q42)&gt;=6,"Likely",IF(AVERAGE($O42:$Q42)&gt;=4,"Possible","Unlikely"))</f>
        <v>Possible</v>
      </c>
      <c r="BG42" t="e">
        <f>IF(VLOOKUP($B42,'Draft List'!$D$4:$AB$2598,BG$3,FALSE)&lt;&gt;0,VLOOKUP($B42,'Draft List'!$D$4:$AB$2598,BG$3,FALSE),"")</f>
        <v>#N/A</v>
      </c>
      <c r="BH42" t="e">
        <f>IF(VLOOKUP($B42,'Draft List'!$D$4:$AB$2598,BH$3,FALSE)&lt;&gt;0,VLOOKUP($B42,'Draft List'!$D$4:$AB$2598,BH$3,FALSE),"")</f>
        <v>#N/A</v>
      </c>
      <c r="BI42" t="e">
        <f>IF(VLOOKUP($B42,'Draft List'!$D$4:$AB$2598,BI$3,FALSE)&lt;&gt;0,VLOOKUP($B42,'Draft List'!$D$4:$AB$2598,BI$3,FALSE),"")</f>
        <v>#N/A</v>
      </c>
      <c r="BJ42" t="str">
        <f>IF(OR(C42="SP",C42="MR",C42="CL"),"P",VLOOKUP($A42,Bat!$A$4:$AP$1287,42,FALSE))</f>
        <v>P</v>
      </c>
    </row>
    <row r="43" spans="1:62">
      <c r="A43" t="str">
        <f>C43&amp;D43&amp;E43</f>
        <v>SPDrake Sackett18</v>
      </c>
      <c r="B43">
        <f>VLOOKUP($A43,draft_listing_pitchers_stats!$A$1:$B$1324,2,FALSE)</f>
        <v>13847</v>
      </c>
      <c r="C43" s="1" t="s">
        <v>2003</v>
      </c>
      <c r="D43" s="1" t="s">
        <v>1153</v>
      </c>
      <c r="E43" s="1">
        <v>18</v>
      </c>
      <c r="F43" s="1" t="s">
        <v>2022</v>
      </c>
      <c r="G43" s="1" t="s">
        <v>2022</v>
      </c>
      <c r="H43" s="1" t="s">
        <v>2033</v>
      </c>
      <c r="I43" s="31" t="s">
        <v>2023</v>
      </c>
      <c r="J43" s="1" t="s">
        <v>2030</v>
      </c>
      <c r="K43" s="31" t="s">
        <v>2030</v>
      </c>
      <c r="L43" s="1">
        <v>3</v>
      </c>
      <c r="M43" s="1">
        <v>4</v>
      </c>
      <c r="N43" s="31">
        <v>1</v>
      </c>
      <c r="O43" s="1">
        <v>5</v>
      </c>
      <c r="P43" s="1">
        <v>4</v>
      </c>
      <c r="Q43" s="31">
        <v>7</v>
      </c>
      <c r="R43" s="1">
        <v>4</v>
      </c>
      <c r="S43" s="1">
        <v>5</v>
      </c>
      <c r="T43" s="1">
        <v>1</v>
      </c>
      <c r="U43" s="1">
        <v>4</v>
      </c>
      <c r="V43" s="1">
        <v>2</v>
      </c>
      <c r="W43" s="1">
        <v>2</v>
      </c>
      <c r="X43" s="1">
        <v>2</v>
      </c>
      <c r="Y43" s="1">
        <v>4</v>
      </c>
      <c r="Z43" s="1" t="s">
        <v>2027</v>
      </c>
      <c r="AA43" s="1" t="s">
        <v>2027</v>
      </c>
      <c r="AB43" s="1">
        <v>3</v>
      </c>
      <c r="AC43" s="1">
        <v>4</v>
      </c>
      <c r="AD43" s="1" t="s">
        <v>2027</v>
      </c>
      <c r="AE43" s="1" t="s">
        <v>2027</v>
      </c>
      <c r="AF43" s="1">
        <v>3</v>
      </c>
      <c r="AG43" s="1">
        <v>4</v>
      </c>
      <c r="AH43" s="1" t="s">
        <v>2027</v>
      </c>
      <c r="AI43" s="1" t="s">
        <v>2027</v>
      </c>
      <c r="AJ43" s="1" t="s">
        <v>2027</v>
      </c>
      <c r="AK43" s="1" t="s">
        <v>2027</v>
      </c>
      <c r="AL43" s="1" t="s">
        <v>2027</v>
      </c>
      <c r="AM43" s="1" t="s">
        <v>2027</v>
      </c>
      <c r="AN43" s="1" t="s">
        <v>2027</v>
      </c>
      <c r="AO43" s="31" t="s">
        <v>2027</v>
      </c>
      <c r="AP43" s="1" t="s">
        <v>2042</v>
      </c>
      <c r="AQ43" s="1">
        <v>7</v>
      </c>
      <c r="AR43" s="32">
        <v>0.49</v>
      </c>
      <c r="AS43" s="45" t="s">
        <v>2029</v>
      </c>
      <c r="AT43" s="9">
        <f>($O$3*(L43-$O$1)/$O$2+$P$3*(M43-$P$1)/$P$2+$Q$3*(N43-$P$1)/$Q$2)/SUM($O$3:$Q$3)</f>
        <v>-1.7258064396590846</v>
      </c>
      <c r="AU43" s="9">
        <f>($O$3*(O43-$O$1)/$O$2+$P$3*(P43-$P$1)/$P$2+$Q$3*(Q43-$Q$1)/$Q$2)/SUM($O$3:$Q$3)</f>
        <v>0.56299435642099616</v>
      </c>
      <c r="AV43">
        <f>COUNT(R43:AO43)/2</f>
        <v>6</v>
      </c>
      <c r="AW43">
        <f>COUNTIF(R43:AO43,"&gt;5")/2</f>
        <v>0</v>
      </c>
      <c r="AX43" s="6">
        <f>VLOOKUP(AP43,COND!$A$10:$B$31,2,FALSE)</f>
        <v>1</v>
      </c>
      <c r="AY43" s="9">
        <f>($AT$3*AT43+$AU$3*AU43+$AV$3*AV43+$AW$3*AW43)*AX43*IF(AQ43&lt;5,0.95,IF(AQ43&lt;7,0.975,1))+$J$3*VLOOKUP(J43,[1]Con!$A$2:$C$7,2,FALSE)+$K$3*VLOOKUP(K43,[1]Con!$A$2:$C$7,3,FALSE)+IF(BA43="SP",$BA$3,0)</f>
        <v>47.414725840488103</v>
      </c>
      <c r="AZ43" s="37">
        <f>STANDARDIZE(AY43,AVERAGE($AY$5:$AY$1116),STDEVP($AY$5:$AY$1116))</f>
        <v>1.0712020010869823</v>
      </c>
      <c r="BA43" t="str">
        <f>IF(OR(AND(AQ43&gt;7,AW43&gt;1),AND(AQ43&gt;4,AV43&gt;2)),"SP","RP")</f>
        <v>SP</v>
      </c>
      <c r="BC43">
        <f>VLOOKUP($A43,'Draft List'!$A$4:$V$530,22,FALSE)</f>
        <v>0</v>
      </c>
      <c r="BD43" t="s">
        <v>7</v>
      </c>
      <c r="BE43" t="str">
        <f>IF(AVERAGE($O43:$Q43)&gt;=6,"Likely",IF(AVERAGE($O43:$Q43)&gt;=4,"Possible","Unlikely"))</f>
        <v>Possible</v>
      </c>
      <c r="BG43" t="str">
        <f>IF(VLOOKUP($B43,'Draft List'!$D$4:$AB$2598,BG$3,FALSE)&lt;&gt;0,VLOOKUP($B43,'Draft List'!$D$4:$AB$2598,BG$3,FALSE),"")</f>
        <v/>
      </c>
      <c r="BH43" t="str">
        <f>IF(VLOOKUP($B43,'Draft List'!$D$4:$AB$2598,BH$3,FALSE)&lt;&gt;0,VLOOKUP($B43,'Draft List'!$D$4:$AB$2598,BH$3,FALSE),"")</f>
        <v/>
      </c>
      <c r="BI43" t="str">
        <f>IF(VLOOKUP($B43,'Draft List'!$D$4:$AB$2598,BI$3,FALSE)&lt;&gt;0,VLOOKUP($B43,'Draft List'!$D$4:$AB$2598,BI$3,FALSE),"")</f>
        <v/>
      </c>
      <c r="BJ43" t="str">
        <f>IF(OR(C43="SP",C43="MR",C43="CL"),"P",VLOOKUP($A43,Bat!$A$4:$AP$1287,42,FALSE))</f>
        <v>P</v>
      </c>
    </row>
    <row r="44" spans="1:62">
      <c r="A44" t="str">
        <f>C44&amp;D44&amp;E44</f>
        <v>SPJames Jordan22</v>
      </c>
      <c r="B44">
        <f>VLOOKUP($A44,draft_listing_pitchers_stats!$A$1:$B$1324,2,FALSE)</f>
        <v>2198</v>
      </c>
      <c r="C44" s="1" t="s">
        <v>2003</v>
      </c>
      <c r="D44" s="1" t="s">
        <v>2058</v>
      </c>
      <c r="E44" s="1">
        <v>22</v>
      </c>
      <c r="F44" s="1" t="s">
        <v>2022</v>
      </c>
      <c r="G44" s="1" t="s">
        <v>2022</v>
      </c>
      <c r="H44" s="1" t="s">
        <v>2033</v>
      </c>
      <c r="I44" s="31" t="s">
        <v>2023</v>
      </c>
      <c r="J44" s="1" t="s">
        <v>2040</v>
      </c>
      <c r="K44" s="31" t="s">
        <v>2036</v>
      </c>
      <c r="L44" s="1">
        <v>5</v>
      </c>
      <c r="M44" s="1">
        <v>4</v>
      </c>
      <c r="N44" s="31">
        <v>3</v>
      </c>
      <c r="O44" s="1">
        <v>6</v>
      </c>
      <c r="P44" s="1">
        <v>5</v>
      </c>
      <c r="Q44" s="31">
        <v>6</v>
      </c>
      <c r="R44" s="1">
        <v>6</v>
      </c>
      <c r="S44" s="1">
        <v>7</v>
      </c>
      <c r="T44" s="1">
        <v>4</v>
      </c>
      <c r="U44" s="1">
        <v>6</v>
      </c>
      <c r="V44" s="1" t="s">
        <v>2027</v>
      </c>
      <c r="W44" s="1" t="s">
        <v>2027</v>
      </c>
      <c r="X44" s="1">
        <v>6</v>
      </c>
      <c r="Y44" s="1">
        <v>6</v>
      </c>
      <c r="Z44" s="1" t="s">
        <v>2027</v>
      </c>
      <c r="AA44" s="1" t="s">
        <v>2027</v>
      </c>
      <c r="AB44" s="1" t="s">
        <v>2027</v>
      </c>
      <c r="AC44" s="1" t="s">
        <v>2027</v>
      </c>
      <c r="AD44" s="1" t="s">
        <v>2027</v>
      </c>
      <c r="AE44" s="1" t="s">
        <v>2027</v>
      </c>
      <c r="AF44" s="1">
        <v>5</v>
      </c>
      <c r="AG44" s="1">
        <v>6</v>
      </c>
      <c r="AH44" s="1" t="s">
        <v>2027</v>
      </c>
      <c r="AI44" s="1" t="s">
        <v>2027</v>
      </c>
      <c r="AJ44" s="1" t="s">
        <v>2027</v>
      </c>
      <c r="AK44" s="1" t="s">
        <v>2027</v>
      </c>
      <c r="AL44" s="1" t="s">
        <v>2027</v>
      </c>
      <c r="AM44" s="1" t="s">
        <v>2027</v>
      </c>
      <c r="AN44" s="1" t="s">
        <v>2027</v>
      </c>
      <c r="AO44" s="31" t="s">
        <v>2027</v>
      </c>
      <c r="AP44" s="1" t="s">
        <v>2047</v>
      </c>
      <c r="AQ44" s="1">
        <v>4</v>
      </c>
      <c r="AR44" s="32">
        <v>0.52</v>
      </c>
      <c r="AS44" s="45" t="s">
        <v>2029</v>
      </c>
      <c r="AT44" s="9">
        <f>($O$3*(L44-$O$1)/$O$2+$P$3*(M44-$P$1)/$P$2+$Q$3*(N44-$P$1)/$Q$2)/SUM($O$3:$Q$3)</f>
        <v>-0.851782658532517</v>
      </c>
      <c r="AU44" s="9">
        <f>($O$3*(O44-$O$1)/$O$2+$P$3*(P44-$P$1)/$P$2+$Q$3*(Q44-$Q$1)/$Q$2)/SUM($O$3:$Q$3)</f>
        <v>0.71079683130611471</v>
      </c>
      <c r="AV44">
        <f>COUNT(R44:AO44)/2</f>
        <v>4</v>
      </c>
      <c r="AW44">
        <f>COUNTIF(R44:AO44,"&gt;5")/2</f>
        <v>3</v>
      </c>
      <c r="AX44" s="6">
        <f>VLOOKUP(AP44,COND!$A$10:$B$31,2,FALSE)</f>
        <v>1.0249999999999999</v>
      </c>
      <c r="AY44" s="9">
        <f>($AT$3*AT44+$AU$3*AU44+$AV$3*AV44+$AW$3*AW44)*AX44*IF(AQ44&lt;5,0.95,IF(AQ44&lt;7,0.975,1))+$J$3*VLOOKUP(J44,[1]Con!$A$2:$C$7,2,FALSE)+$K$3*VLOOKUP(K44,[1]Con!$A$2:$C$7,3,FALSE)+IF(BA44="SP",$BA$3,0)</f>
        <v>47.325946116937374</v>
      </c>
      <c r="AZ44" s="37">
        <f>STANDARDIZE(AY44,AVERAGE($AY$5:$AY$1116),STDEVP($AY$5:$AY$1116))</f>
        <v>1.0641540859789806</v>
      </c>
      <c r="BA44" t="str">
        <f>IF(OR(AND(AQ44&gt;7,AW44&gt;1),AND(AQ44&gt;4,AV44&gt;2)),"SP","RP")</f>
        <v>RP</v>
      </c>
      <c r="BC44">
        <f>VLOOKUP($A44,'Draft List'!$A$4:$V$530,22,FALSE)</f>
        <v>0</v>
      </c>
      <c r="BD44" t="s">
        <v>158</v>
      </c>
      <c r="BE44" t="str">
        <f>IF(AVERAGE($O44:$Q44)&gt;=6,"Likely",IF(AVERAGE($O44:$Q44)&gt;=4,"Possible","Unlikely"))</f>
        <v>Possible</v>
      </c>
      <c r="BG44" t="str">
        <f>IF(VLOOKUP($B44,'Draft List'!$D$4:$AB$2598,BG$3,FALSE)&lt;&gt;0,VLOOKUP($B44,'Draft List'!$D$4:$AB$2598,BG$3,FALSE),"")</f>
        <v/>
      </c>
      <c r="BH44" t="str">
        <f>IF(VLOOKUP($B44,'Draft List'!$D$4:$AB$2598,BH$3,FALSE)&lt;&gt;0,VLOOKUP($B44,'Draft List'!$D$4:$AB$2598,BH$3,FALSE),"")</f>
        <v/>
      </c>
      <c r="BI44" t="str">
        <f>IF(VLOOKUP($B44,'Draft List'!$D$4:$AB$2598,BI$3,FALSE)&lt;&gt;0,VLOOKUP($B44,'Draft List'!$D$4:$AB$2598,BI$3,FALSE),"")</f>
        <v/>
      </c>
      <c r="BJ44" t="str">
        <f>IF(OR(C44="SP",C44="MR",C44="CL"),"P",VLOOKUP($A44,Bat!$A$4:$AP$1287,42,FALSE))</f>
        <v>P</v>
      </c>
    </row>
    <row r="45" spans="1:62">
      <c r="A45" t="str">
        <f>C45&amp;D45&amp;E45</f>
        <v>SPPaco Morales21</v>
      </c>
      <c r="B45">
        <f>VLOOKUP($A45,draft_listing_pitchers_stats!$A$1:$B$1324,2,FALSE)</f>
        <v>5656</v>
      </c>
      <c r="C45" s="1" t="s">
        <v>2003</v>
      </c>
      <c r="D45" s="1" t="s">
        <v>1139</v>
      </c>
      <c r="E45" s="1">
        <v>21</v>
      </c>
      <c r="F45" s="1" t="s">
        <v>2022</v>
      </c>
      <c r="G45" s="1" t="s">
        <v>2022</v>
      </c>
      <c r="H45" s="1" t="s">
        <v>2033</v>
      </c>
      <c r="I45" s="31" t="s">
        <v>2023</v>
      </c>
      <c r="J45" s="1" t="s">
        <v>2030</v>
      </c>
      <c r="K45" s="31" t="s">
        <v>2036</v>
      </c>
      <c r="L45" s="1">
        <v>4</v>
      </c>
      <c r="M45" s="1">
        <v>5</v>
      </c>
      <c r="N45" s="31">
        <v>2</v>
      </c>
      <c r="O45" s="1">
        <v>5</v>
      </c>
      <c r="P45" s="1">
        <v>5</v>
      </c>
      <c r="Q45" s="31">
        <v>6</v>
      </c>
      <c r="R45" s="1" t="s">
        <v>2027</v>
      </c>
      <c r="S45" s="1" t="s">
        <v>2027</v>
      </c>
      <c r="T45" s="1">
        <v>5</v>
      </c>
      <c r="U45" s="1">
        <v>6</v>
      </c>
      <c r="V45" s="1" t="s">
        <v>2027</v>
      </c>
      <c r="W45" s="1" t="s">
        <v>2027</v>
      </c>
      <c r="X45" s="1">
        <v>4</v>
      </c>
      <c r="Y45" s="1">
        <v>5</v>
      </c>
      <c r="Z45" s="1" t="s">
        <v>2027</v>
      </c>
      <c r="AA45" s="1" t="s">
        <v>2027</v>
      </c>
      <c r="AB45" s="1" t="s">
        <v>2027</v>
      </c>
      <c r="AC45" s="1" t="s">
        <v>2027</v>
      </c>
      <c r="AD45" s="1">
        <v>4</v>
      </c>
      <c r="AE45" s="1">
        <v>5</v>
      </c>
      <c r="AF45" s="1" t="s">
        <v>2027</v>
      </c>
      <c r="AG45" s="1" t="s">
        <v>2027</v>
      </c>
      <c r="AH45" s="1" t="s">
        <v>2027</v>
      </c>
      <c r="AI45" s="1" t="s">
        <v>2027</v>
      </c>
      <c r="AJ45" s="1" t="s">
        <v>2027</v>
      </c>
      <c r="AK45" s="1" t="s">
        <v>2027</v>
      </c>
      <c r="AL45" s="1" t="s">
        <v>2027</v>
      </c>
      <c r="AM45" s="1" t="s">
        <v>2027</v>
      </c>
      <c r="AN45" s="1" t="s">
        <v>2027</v>
      </c>
      <c r="AO45" s="31" t="s">
        <v>2027</v>
      </c>
      <c r="AP45" s="1" t="s">
        <v>2034</v>
      </c>
      <c r="AQ45" s="1">
        <v>7</v>
      </c>
      <c r="AR45" s="32">
        <v>0.49</v>
      </c>
      <c r="AS45" s="45" t="s">
        <v>2029</v>
      </c>
      <c r="AT45" s="9">
        <f>($O$3*(L45-$O$1)/$O$2+$P$3*(M45-$P$1)/$P$2+$Q$3*(N45-$P$1)/$Q$2)/SUM($O$3:$Q$3)</f>
        <v>-1.0933628326657454</v>
      </c>
      <c r="AU45" s="9">
        <f>($O$3*(O45-$O$1)/$O$2+$P$3*(P45-$P$1)/$P$2+$Q$3*(Q45-$Q$1)/$Q$2)/SUM($O$3:$Q$3)</f>
        <v>0.51610550679694134</v>
      </c>
      <c r="AV45">
        <f>COUNT(R45:AO45)/2</f>
        <v>3</v>
      </c>
      <c r="AW45">
        <f>COUNTIF(R45:AO45,"&gt;5")/2</f>
        <v>0.5</v>
      </c>
      <c r="AX45" s="6">
        <f>VLOOKUP(AP45,COND!$A$10:$B$31,2,FALSE)</f>
        <v>1</v>
      </c>
      <c r="AY45" s="9">
        <f>($AT$3*AT45+$AU$3*AU45+$AV$3*AV45+$AW$3*AW45)*AX45*IF(AQ45&lt;5,0.95,IF(AQ45&lt;7,0.975,1))+$J$3*VLOOKUP(J45,[1]Con!$A$2:$C$7,2,FALSE)+$K$3*VLOOKUP(K45,[1]Con!$A$2:$C$7,3,FALSE)+IF(BA45="SP",$BA$3,0)</f>
        <v>46.028437569405682</v>
      </c>
      <c r="AZ45" s="37">
        <f>STANDARDIZE(AY45,AVERAGE($AY$5:$AY$1116),STDEVP($AY$5:$AY$1116))</f>
        <v>0.96114937128549105</v>
      </c>
      <c r="BA45" t="str">
        <f>IF(OR(AND(AQ45&gt;7,AW45&gt;1),AND(AQ45&gt;4,AV45&gt;2)),"SP","RP")</f>
        <v>SP</v>
      </c>
      <c r="BC45">
        <f>VLOOKUP($A45,'Draft List'!$A$4:$V$530,22,FALSE)</f>
        <v>0</v>
      </c>
      <c r="BD45" t="s">
        <v>154</v>
      </c>
      <c r="BE45" t="str">
        <f>IF(AVERAGE($O45:$Q45)&gt;=6,"Likely",IF(AVERAGE($O45:$Q45)&gt;=4,"Possible","Unlikely"))</f>
        <v>Possible</v>
      </c>
      <c r="BG45" t="str">
        <f>IF(VLOOKUP($B45,'Draft List'!$D$4:$AB$2598,BG$3,FALSE)&lt;&gt;0,VLOOKUP($B45,'Draft List'!$D$4:$AB$2598,BG$3,FALSE),"")</f>
        <v/>
      </c>
      <c r="BH45" t="str">
        <f>IF(VLOOKUP($B45,'Draft List'!$D$4:$AB$2598,BH$3,FALSE)&lt;&gt;0,VLOOKUP($B45,'Draft List'!$D$4:$AB$2598,BH$3,FALSE),"")</f>
        <v/>
      </c>
      <c r="BI45" t="str">
        <f>IF(VLOOKUP($B45,'Draft List'!$D$4:$AB$2598,BI$3,FALSE)&lt;&gt;0,VLOOKUP($B45,'Draft List'!$D$4:$AB$2598,BI$3,FALSE),"")</f>
        <v/>
      </c>
      <c r="BJ45" t="str">
        <f>IF(OR(C45="SP",C45="MR",C45="CL"),"P",VLOOKUP($A45,Bat!$A$4:$AP$1287,42,FALSE))</f>
        <v>P</v>
      </c>
    </row>
    <row r="46" spans="1:62">
      <c r="A46" t="str">
        <f>C46&amp;D46&amp;E46</f>
        <v>SPRafael García18</v>
      </c>
      <c r="B46">
        <f>VLOOKUP($A46,draft_listing_pitchers_stats!$A$1:$B$1324,2,FALSE)</f>
        <v>13853</v>
      </c>
      <c r="C46" s="1" t="s">
        <v>2003</v>
      </c>
      <c r="D46" s="1" t="s">
        <v>1294</v>
      </c>
      <c r="E46" s="1">
        <v>18</v>
      </c>
      <c r="F46" s="1" t="s">
        <v>2022</v>
      </c>
      <c r="G46" s="1" t="s">
        <v>2022</v>
      </c>
      <c r="H46" s="1" t="s">
        <v>2033</v>
      </c>
      <c r="I46" s="31" t="s">
        <v>2023</v>
      </c>
      <c r="J46" s="1" t="s">
        <v>2026</v>
      </c>
      <c r="K46" s="31" t="s">
        <v>2025</v>
      </c>
      <c r="L46" s="1">
        <v>1</v>
      </c>
      <c r="M46" s="1">
        <v>5</v>
      </c>
      <c r="N46" s="31">
        <v>1</v>
      </c>
      <c r="O46" s="1">
        <v>5</v>
      </c>
      <c r="P46" s="1">
        <v>6</v>
      </c>
      <c r="Q46" s="31">
        <v>6</v>
      </c>
      <c r="R46" s="1" t="s">
        <v>2027</v>
      </c>
      <c r="S46" s="1" t="s">
        <v>2027</v>
      </c>
      <c r="T46" s="1">
        <v>1</v>
      </c>
      <c r="U46" s="1">
        <v>2</v>
      </c>
      <c r="V46" s="1">
        <v>1</v>
      </c>
      <c r="W46" s="1">
        <v>7</v>
      </c>
      <c r="X46" s="1">
        <v>1</v>
      </c>
      <c r="Y46" s="1">
        <v>5</v>
      </c>
      <c r="Z46" s="1" t="s">
        <v>2027</v>
      </c>
      <c r="AA46" s="1" t="s">
        <v>2027</v>
      </c>
      <c r="AB46" s="1" t="s">
        <v>2027</v>
      </c>
      <c r="AC46" s="1" t="s">
        <v>2027</v>
      </c>
      <c r="AD46" s="1">
        <v>2</v>
      </c>
      <c r="AE46" s="1">
        <v>5</v>
      </c>
      <c r="AF46" s="1" t="s">
        <v>2027</v>
      </c>
      <c r="AG46" s="1" t="s">
        <v>2027</v>
      </c>
      <c r="AH46" s="1" t="s">
        <v>2027</v>
      </c>
      <c r="AI46" s="1" t="s">
        <v>2027</v>
      </c>
      <c r="AJ46" s="1" t="s">
        <v>2027</v>
      </c>
      <c r="AK46" s="1" t="s">
        <v>2027</v>
      </c>
      <c r="AL46" s="1" t="s">
        <v>2027</v>
      </c>
      <c r="AM46" s="1" t="s">
        <v>2027</v>
      </c>
      <c r="AN46" s="1" t="s">
        <v>2027</v>
      </c>
      <c r="AO46" s="31" t="s">
        <v>2027</v>
      </c>
      <c r="AP46" s="1" t="s">
        <v>2059</v>
      </c>
      <c r="AQ46" s="1">
        <v>6</v>
      </c>
      <c r="AR46" s="32">
        <v>0.54</v>
      </c>
      <c r="AS46" s="45" t="s">
        <v>2029</v>
      </c>
      <c r="AT46" s="9">
        <f>($O$3*(L46-$O$1)/$O$2+$P$3*(M46-$P$1)/$P$2+$Q$3*(N46-$P$1)/$Q$2)/SUM($O$3:$Q$3)</f>
        <v>-1.9197573722473762</v>
      </c>
      <c r="AU46" s="9">
        <f>($O$3*(O46-$O$1)/$O$2+$P$3*(P46-$P$1)/$P$2+$Q$3*(Q46-$Q$1)/$Q$2)/SUM($O$3:$Q$3)</f>
        <v>0.71153722322699664</v>
      </c>
      <c r="AV46">
        <f>COUNT(R46:AO46)/2</f>
        <v>4</v>
      </c>
      <c r="AW46">
        <f>COUNTIF(R46:AO46,"&gt;5")/2</f>
        <v>0.5</v>
      </c>
      <c r="AX46" s="6">
        <f>VLOOKUP(AP46,COND!$A$10:$B$31,2,FALSE)</f>
        <v>0.9</v>
      </c>
      <c r="AY46" s="9">
        <f>($AT$3*AT46+$AU$3*AU46+$AV$3*AV46+$AW$3*AW46)*AX46*IF(AQ46&lt;5,0.95,IF(AQ46&lt;7,0.975,1))+$J$3*VLOOKUP(J46,[1]Con!$A$2:$C$7,2,FALSE)+$K$3*VLOOKUP(K46,[1]Con!$A$2:$C$7,3,FALSE)+IF(BA46="SP",$BA$3,0)</f>
        <v>45.703998348804376</v>
      </c>
      <c r="AZ46" s="37">
        <f>STANDARDIZE(AY46,AVERAGE($AY$5:$AY$1116),STDEVP($AY$5:$AY$1116))</f>
        <v>0.93539326400050271</v>
      </c>
      <c r="BA46" t="str">
        <f>IF(OR(AND(AQ46&gt;7,AW46&gt;1),AND(AQ46&gt;4,AV46&gt;2)),"SP","RP")</f>
        <v>SP</v>
      </c>
      <c r="BC46">
        <f>VLOOKUP($A46,'Draft List'!$A$4:$V$530,22,FALSE)</f>
        <v>0</v>
      </c>
      <c r="BD46" t="s">
        <v>155</v>
      </c>
      <c r="BE46" t="str">
        <f>IF(AVERAGE($O46:$Q46)&gt;=6,"Likely",IF(AVERAGE($O46:$Q46)&gt;=4,"Possible","Unlikely"))</f>
        <v>Possible</v>
      </c>
      <c r="BG46" t="str">
        <f>IF(VLOOKUP($B46,'Draft List'!$D$4:$AB$2598,BG$3,FALSE)&lt;&gt;0,VLOOKUP($B46,'Draft List'!$D$4:$AB$2598,BG$3,FALSE),"")</f>
        <v/>
      </c>
      <c r="BH46" t="str">
        <f>IF(VLOOKUP($B46,'Draft List'!$D$4:$AB$2598,BH$3,FALSE)&lt;&gt;0,VLOOKUP($B46,'Draft List'!$D$4:$AB$2598,BH$3,FALSE),"")</f>
        <v/>
      </c>
      <c r="BI46" t="str">
        <f>IF(VLOOKUP($B46,'Draft List'!$D$4:$AB$2598,BI$3,FALSE)&lt;&gt;0,VLOOKUP($B46,'Draft List'!$D$4:$AB$2598,BI$3,FALSE),"")</f>
        <v/>
      </c>
      <c r="BJ46" t="str">
        <f>IF(OR(C46="SP",C46="MR",C46="CL"),"P",VLOOKUP($A46,Bat!$A$4:$AP$1287,42,FALSE))</f>
        <v>P</v>
      </c>
    </row>
    <row r="47" spans="1:62">
      <c r="A47" t="str">
        <f>C47&amp;D47&amp;E47</f>
        <v>SPAaron Green18</v>
      </c>
      <c r="B47">
        <f>VLOOKUP($A47,draft_listing_pitchers_stats!$A$1:$B$1324,2,FALSE)</f>
        <v>13801</v>
      </c>
      <c r="C47" s="1" t="s">
        <v>2003</v>
      </c>
      <c r="D47" s="1" t="s">
        <v>1117</v>
      </c>
      <c r="E47" s="1">
        <v>18</v>
      </c>
      <c r="F47" s="1" t="s">
        <v>2038</v>
      </c>
      <c r="G47" s="1" t="s">
        <v>2038</v>
      </c>
      <c r="H47" s="1" t="s">
        <v>2033</v>
      </c>
      <c r="I47" s="31" t="s">
        <v>2023</v>
      </c>
      <c r="J47" s="1" t="s">
        <v>2040</v>
      </c>
      <c r="K47" s="31" t="s">
        <v>2036</v>
      </c>
      <c r="L47" s="1">
        <v>2</v>
      </c>
      <c r="M47" s="1">
        <v>5</v>
      </c>
      <c r="N47" s="31">
        <v>1</v>
      </c>
      <c r="O47" s="1">
        <v>4</v>
      </c>
      <c r="P47" s="1">
        <v>7</v>
      </c>
      <c r="Q47" s="31">
        <v>6</v>
      </c>
      <c r="R47" s="1">
        <v>3</v>
      </c>
      <c r="S47" s="1">
        <v>4</v>
      </c>
      <c r="T47" s="1">
        <v>1</v>
      </c>
      <c r="U47" s="1">
        <v>3</v>
      </c>
      <c r="V47" s="1" t="s">
        <v>2027</v>
      </c>
      <c r="W47" s="1" t="s">
        <v>2027</v>
      </c>
      <c r="X47" s="1" t="s">
        <v>2027</v>
      </c>
      <c r="Y47" s="1" t="s">
        <v>2027</v>
      </c>
      <c r="Z47" s="1" t="s">
        <v>2027</v>
      </c>
      <c r="AA47" s="1" t="s">
        <v>2027</v>
      </c>
      <c r="AB47" s="1">
        <v>3</v>
      </c>
      <c r="AC47" s="1">
        <v>5</v>
      </c>
      <c r="AD47" s="1">
        <v>3</v>
      </c>
      <c r="AE47" s="1">
        <v>5</v>
      </c>
      <c r="AF47" s="1" t="s">
        <v>2027</v>
      </c>
      <c r="AG47" s="1" t="s">
        <v>2027</v>
      </c>
      <c r="AH47" s="1" t="s">
        <v>2027</v>
      </c>
      <c r="AI47" s="1" t="s">
        <v>2027</v>
      </c>
      <c r="AJ47" s="1" t="s">
        <v>2027</v>
      </c>
      <c r="AK47" s="1" t="s">
        <v>2027</v>
      </c>
      <c r="AL47" s="1" t="s">
        <v>2027</v>
      </c>
      <c r="AM47" s="1" t="s">
        <v>2027</v>
      </c>
      <c r="AN47" s="1" t="s">
        <v>2027</v>
      </c>
      <c r="AO47" s="31" t="s">
        <v>2027</v>
      </c>
      <c r="AP47" s="1" t="s">
        <v>2034</v>
      </c>
      <c r="AQ47" s="1">
        <v>6</v>
      </c>
      <c r="AR47" s="32">
        <v>0.55000000000000004</v>
      </c>
      <c r="AS47" s="45" t="s">
        <v>2029</v>
      </c>
      <c r="AT47" s="9">
        <f>($O$3*(L47-$O$1)/$O$2+$P$3*(M47-$P$1)/$P$2+$Q$3*(N47-$P$1)/$Q$2)/SUM($O$3:$Q$3)</f>
        <v>-1.7250660477382029</v>
      </c>
      <c r="AU47" s="9">
        <f>($O$3*(O47-$O$1)/$O$2+$P$3*(P47-$P$1)/$P$2+$Q$3*(Q47-$Q$1)/$Q$2)/SUM($O$3:$Q$3)</f>
        <v>0.71227761514787857</v>
      </c>
      <c r="AV47">
        <f>COUNT(R47:AO47)/2</f>
        <v>4</v>
      </c>
      <c r="AW47">
        <f>COUNTIF(R47:AO47,"&gt;5")/2</f>
        <v>0</v>
      </c>
      <c r="AX47" s="6">
        <f>VLOOKUP(AP47,COND!$A$10:$B$31,2,FALSE)</f>
        <v>1</v>
      </c>
      <c r="AY47" s="9">
        <f>($AT$3*AT47+$AU$3*AU47+$AV$3*AV47+$AW$3*AW47)*AX47*IF(AQ47&lt;5,0.95,IF(AQ47&lt;7,0.975,1))+$J$3*VLOOKUP(J47,[1]Con!$A$2:$C$7,2,FALSE)+$K$3*VLOOKUP(K47,[1]Con!$A$2:$C$7,3,FALSE)+IF(BA47="SP",$BA$3,0)</f>
        <v>45.553025616074677</v>
      </c>
      <c r="AZ47" s="37">
        <f>STANDARDIZE(AY47,AVERAGE($AY$5:$AY$1116),STDEVP($AY$5:$AY$1116))</f>
        <v>0.92340806105837014</v>
      </c>
      <c r="BA47" t="str">
        <f>IF(OR(AND(AQ47&gt;7,AW47&gt;1),AND(AQ47&gt;4,AV47&gt;2)),"SP","RP")</f>
        <v>SP</v>
      </c>
      <c r="BC47">
        <f>VLOOKUP($A47,'Draft List'!$A$4:$V$530,22,FALSE)</f>
        <v>0</v>
      </c>
      <c r="BD47" t="s">
        <v>28</v>
      </c>
      <c r="BE47" t="str">
        <f>IF(AVERAGE($O47:$Q47)&gt;=6,"Likely",IF(AVERAGE($O47:$Q47)&gt;=4,"Possible","Unlikely"))</f>
        <v>Possible</v>
      </c>
      <c r="BG47" t="str">
        <f>IF(VLOOKUP($B47,'Draft List'!$D$4:$AB$2598,BG$3,FALSE)&lt;&gt;0,VLOOKUP($B47,'Draft List'!$D$4:$AB$2598,BG$3,FALSE),"")</f>
        <v/>
      </c>
      <c r="BH47" t="str">
        <f>IF(VLOOKUP($B47,'Draft List'!$D$4:$AB$2598,BH$3,FALSE)&lt;&gt;0,VLOOKUP($B47,'Draft List'!$D$4:$AB$2598,BH$3,FALSE),"")</f>
        <v/>
      </c>
      <c r="BI47" t="str">
        <f>IF(VLOOKUP($B47,'Draft List'!$D$4:$AB$2598,BI$3,FALSE)&lt;&gt;0,VLOOKUP($B47,'Draft List'!$D$4:$AB$2598,BI$3,FALSE),"")</f>
        <v/>
      </c>
      <c r="BJ47" t="str">
        <f>IF(OR(C47="SP",C47="MR",C47="CL"),"P",VLOOKUP($A47,Bat!$A$4:$AP$1287,42,FALSE))</f>
        <v>P</v>
      </c>
    </row>
    <row r="48" spans="1:62">
      <c r="A48" t="str">
        <f>C48&amp;D48&amp;E48</f>
        <v>SPGeorge Wolfe21</v>
      </c>
      <c r="B48">
        <f>VLOOKUP($A48,draft_listing_pitchers_stats!$A$1:$B$1324,2,FALSE)</f>
        <v>13910</v>
      </c>
      <c r="C48" s="1" t="s">
        <v>2003</v>
      </c>
      <c r="D48" s="1" t="s">
        <v>1164</v>
      </c>
      <c r="E48" s="1">
        <v>21</v>
      </c>
      <c r="F48" s="1" t="s">
        <v>2038</v>
      </c>
      <c r="G48" s="1" t="s">
        <v>2038</v>
      </c>
      <c r="H48" s="1" t="s">
        <v>2033</v>
      </c>
      <c r="I48" s="31" t="s">
        <v>2023</v>
      </c>
      <c r="J48" s="1" t="s">
        <v>2026</v>
      </c>
      <c r="K48" s="31" t="s">
        <v>2026</v>
      </c>
      <c r="L48" s="1">
        <v>3</v>
      </c>
      <c r="M48" s="1">
        <v>5</v>
      </c>
      <c r="N48" s="31">
        <v>3</v>
      </c>
      <c r="O48" s="1">
        <v>3</v>
      </c>
      <c r="P48" s="1">
        <v>6</v>
      </c>
      <c r="Q48" s="31">
        <v>8</v>
      </c>
      <c r="R48" s="1">
        <v>5</v>
      </c>
      <c r="S48" s="1">
        <v>5</v>
      </c>
      <c r="T48" s="1">
        <v>2</v>
      </c>
      <c r="U48" s="1">
        <v>3</v>
      </c>
      <c r="V48" s="1" t="s">
        <v>2027</v>
      </c>
      <c r="W48" s="1" t="s">
        <v>2027</v>
      </c>
      <c r="X48" s="1" t="s">
        <v>2027</v>
      </c>
      <c r="Y48" s="1" t="s">
        <v>2027</v>
      </c>
      <c r="Z48" s="1" t="s">
        <v>2027</v>
      </c>
      <c r="AA48" s="1" t="s">
        <v>2027</v>
      </c>
      <c r="AB48" s="1" t="s">
        <v>2027</v>
      </c>
      <c r="AC48" s="1" t="s">
        <v>2027</v>
      </c>
      <c r="AD48" s="1" t="s">
        <v>2027</v>
      </c>
      <c r="AE48" s="1" t="s">
        <v>2027</v>
      </c>
      <c r="AF48" s="1" t="s">
        <v>2027</v>
      </c>
      <c r="AG48" s="1" t="s">
        <v>2027</v>
      </c>
      <c r="AH48" s="1" t="s">
        <v>2027</v>
      </c>
      <c r="AI48" s="1" t="s">
        <v>2027</v>
      </c>
      <c r="AJ48" s="1" t="s">
        <v>2027</v>
      </c>
      <c r="AK48" s="1" t="s">
        <v>2027</v>
      </c>
      <c r="AL48" s="1">
        <v>3</v>
      </c>
      <c r="AM48" s="1">
        <v>4</v>
      </c>
      <c r="AN48" s="1" t="s">
        <v>2027</v>
      </c>
      <c r="AO48" s="31" t="s">
        <v>2027</v>
      </c>
      <c r="AP48" s="1" t="s">
        <v>2047</v>
      </c>
      <c r="AQ48" s="1">
        <v>4</v>
      </c>
      <c r="AR48" s="32">
        <v>0.52</v>
      </c>
      <c r="AS48" s="45" t="s">
        <v>2029</v>
      </c>
      <c r="AT48" s="9">
        <f>($O$3*(L48-$O$1)/$O$2+$P$3*(M48-$P$1)/$P$2+$Q$3*(N48-$P$1)/$Q$2)/SUM($O$3:$Q$3)</f>
        <v>-1.0457335911208085</v>
      </c>
      <c r="AU48" s="9">
        <f>($O$3*(O48-$O$1)/$O$2+$P$3*(P48-$P$1)/$P$2+$Q$3*(Q48-$Q$1)/$Q$2)/SUM($O$3:$Q$3)</f>
        <v>0.80679570631687025</v>
      </c>
      <c r="AV48">
        <f>COUNT(R48:AO48)/2</f>
        <v>3</v>
      </c>
      <c r="AW48">
        <f>COUNTIF(R48:AO48,"&gt;5")/2</f>
        <v>0</v>
      </c>
      <c r="AX48" s="6">
        <f>VLOOKUP(AP48,COND!$A$10:$B$31,2,FALSE)</f>
        <v>1.0249999999999999</v>
      </c>
      <c r="AY48" s="9">
        <f>($AT$3*AT48+$AU$3*AU48+$AV$3*AV48+$AW$3*AW48)*AX48*IF(AQ48&lt;5,0.95,IF(AQ48&lt;7,0.975,1))+$J$3*VLOOKUP(J48,[1]Con!$A$2:$C$7,2,FALSE)+$K$3*VLOOKUP(K48,[1]Con!$A$2:$C$7,3,FALSE)+IF(BA48="SP",$BA$3,0)</f>
        <v>45.469314763650267</v>
      </c>
      <c r="AZ48" s="37">
        <f>STANDARDIZE(AY48,AVERAGE($AY$5:$AY$1116),STDEVP($AY$5:$AY$1116))</f>
        <v>0.91676254609268581</v>
      </c>
      <c r="BA48" t="str">
        <f>IF(OR(AND(AQ48&gt;7,AW48&gt;1),AND(AQ48&gt;4,AV48&gt;2)),"SP","RP")</f>
        <v>RP</v>
      </c>
      <c r="BC48">
        <f>VLOOKUP($A48,'Draft List'!$A$4:$V$530,22,FALSE)</f>
        <v>0</v>
      </c>
      <c r="BD48" t="s">
        <v>46</v>
      </c>
      <c r="BE48" t="str">
        <f>IF(AVERAGE($O48:$Q48)&gt;=6,"Likely",IF(AVERAGE($O48:$Q48)&gt;=4,"Possible","Unlikely"))</f>
        <v>Possible</v>
      </c>
      <c r="BG48" t="str">
        <f>IF(VLOOKUP($B48,'Draft List'!$D$4:$AB$2598,BG$3,FALSE)&lt;&gt;0,VLOOKUP($B48,'Draft List'!$D$4:$AB$2598,BG$3,FALSE),"")</f>
        <v/>
      </c>
      <c r="BH48" t="str">
        <f>IF(VLOOKUP($B48,'Draft List'!$D$4:$AB$2598,BH$3,FALSE)&lt;&gt;0,VLOOKUP($B48,'Draft List'!$D$4:$AB$2598,BH$3,FALSE),"")</f>
        <v/>
      </c>
      <c r="BI48" t="str">
        <f>IF(VLOOKUP($B48,'Draft List'!$D$4:$AB$2598,BI$3,FALSE)&lt;&gt;0,VLOOKUP($B48,'Draft List'!$D$4:$AB$2598,BI$3,FALSE),"")</f>
        <v/>
      </c>
      <c r="BJ48" t="str">
        <f>IF(OR(C48="SP",C48="MR",C48="CL"),"P",VLOOKUP($A48,Bat!$A$4:$AP$1287,42,FALSE))</f>
        <v>P</v>
      </c>
    </row>
    <row r="49" spans="1:62">
      <c r="A49" t="str">
        <f>C49&amp;D49&amp;E49</f>
        <v>SPThad Taylor22</v>
      </c>
      <c r="B49">
        <f>VLOOKUP($A49,draft_listing_pitchers_stats!$A$1:$B$1324,2,FALSE)</f>
        <v>3190</v>
      </c>
      <c r="C49" s="1" t="s">
        <v>2003</v>
      </c>
      <c r="D49" s="1" t="s">
        <v>2065</v>
      </c>
      <c r="E49" s="1">
        <v>22</v>
      </c>
      <c r="F49" s="1" t="s">
        <v>2022</v>
      </c>
      <c r="G49" s="1" t="s">
        <v>2022</v>
      </c>
      <c r="H49" s="1" t="s">
        <v>2033</v>
      </c>
      <c r="I49" s="31" t="s">
        <v>2023</v>
      </c>
      <c r="J49" s="1" t="s">
        <v>2036</v>
      </c>
      <c r="K49" s="31" t="s">
        <v>2030</v>
      </c>
      <c r="L49" s="1">
        <v>5</v>
      </c>
      <c r="M49" s="1">
        <v>3</v>
      </c>
      <c r="N49" s="31">
        <v>2</v>
      </c>
      <c r="O49" s="1">
        <v>6</v>
      </c>
      <c r="P49" s="1">
        <v>3</v>
      </c>
      <c r="Q49" s="31">
        <v>6</v>
      </c>
      <c r="R49" s="1">
        <v>7</v>
      </c>
      <c r="S49" s="1">
        <v>7</v>
      </c>
      <c r="T49" s="1">
        <v>4</v>
      </c>
      <c r="U49" s="1">
        <v>5</v>
      </c>
      <c r="V49" s="1">
        <v>6</v>
      </c>
      <c r="W49" s="1">
        <v>6</v>
      </c>
      <c r="X49" s="1">
        <v>4</v>
      </c>
      <c r="Y49" s="1">
        <v>4</v>
      </c>
      <c r="Z49" s="1" t="s">
        <v>2027</v>
      </c>
      <c r="AA49" s="1" t="s">
        <v>2027</v>
      </c>
      <c r="AB49" s="1" t="s">
        <v>2027</v>
      </c>
      <c r="AC49" s="1" t="s">
        <v>2027</v>
      </c>
      <c r="AD49" s="1" t="s">
        <v>2027</v>
      </c>
      <c r="AE49" s="1" t="s">
        <v>2027</v>
      </c>
      <c r="AF49" s="1" t="s">
        <v>2027</v>
      </c>
      <c r="AG49" s="1" t="s">
        <v>2027</v>
      </c>
      <c r="AH49" s="1" t="s">
        <v>2027</v>
      </c>
      <c r="AI49" s="1" t="s">
        <v>2027</v>
      </c>
      <c r="AJ49" s="1" t="s">
        <v>2027</v>
      </c>
      <c r="AK49" s="1" t="s">
        <v>2027</v>
      </c>
      <c r="AL49" s="1" t="s">
        <v>2027</v>
      </c>
      <c r="AM49" s="1" t="s">
        <v>2027</v>
      </c>
      <c r="AN49" s="1" t="s">
        <v>2027</v>
      </c>
      <c r="AO49" s="31" t="s">
        <v>2027</v>
      </c>
      <c r="AP49" s="1" t="s">
        <v>2046</v>
      </c>
      <c r="AQ49" s="1">
        <v>9</v>
      </c>
      <c r="AR49" s="32">
        <v>0.37</v>
      </c>
      <c r="AS49" s="45" t="s">
        <v>2029</v>
      </c>
      <c r="AT49" s="9">
        <f>($O$3*(L49-$O$1)/$O$2+$P$3*(M49-$P$1)/$P$2+$Q$3*(N49-$P$1)/$Q$2)/SUM($O$3:$Q$3)</f>
        <v>-1.2895349410166828</v>
      </c>
      <c r="AU49" s="9">
        <f>($O$3*(O49-$O$1)/$O$2+$P$3*(P49-$P$1)/$P$2+$Q$3*(Q49-$Q$1)/$Q$2)/SUM($O$3:$Q$3)</f>
        <v>0.31993339844600399</v>
      </c>
      <c r="AV49">
        <f>COUNT(R49:AO49)/2</f>
        <v>4</v>
      </c>
      <c r="AW49">
        <f>COUNTIF(R49:AO49,"&gt;5")/2</f>
        <v>2</v>
      </c>
      <c r="AX49" s="6">
        <f>VLOOKUP(AP49,COND!$A$10:$B$31,2,FALSE)</f>
        <v>1.075</v>
      </c>
      <c r="AY49" s="9">
        <f>($AT$3*AT49+$AU$3*AU49+$AV$3*AV49+$AW$3*AW49)*AX49*IF(AQ49&lt;5,0.95,IF(AQ49&lt;7,0.975,1))+$J$3*VLOOKUP(J49,[1]Con!$A$2:$C$7,2,FALSE)+$K$3*VLOOKUP(K49,[1]Con!$A$2:$C$7,3,FALSE)+IF(BA49="SP",$BA$3,0)</f>
        <v>45.238818054270496</v>
      </c>
      <c r="AZ49" s="37">
        <f>STANDARDIZE(AY49,AVERAGE($AY$5:$AY$1116),STDEVP($AY$5:$AY$1116))</f>
        <v>0.8984642097675668</v>
      </c>
      <c r="BA49" t="str">
        <f>IF(OR(AND(AQ49&gt;7,AW49&gt;1),AND(AQ49&gt;4,AV49&gt;2)),"SP","RP")</f>
        <v>SP</v>
      </c>
      <c r="BC49">
        <f>VLOOKUP($A49,'Draft List'!$A$4:$V$530,22,FALSE)</f>
        <v>0</v>
      </c>
      <c r="BD49" t="s">
        <v>47</v>
      </c>
      <c r="BE49" t="str">
        <f>IF(AVERAGE($O49:$Q49)&gt;=6,"Likely",IF(AVERAGE($O49:$Q49)&gt;=4,"Possible","Unlikely"))</f>
        <v>Possible</v>
      </c>
      <c r="BG49" t="str">
        <f>IF(VLOOKUP($B49,'Draft List'!$D$4:$AB$2598,BG$3,FALSE)&lt;&gt;0,VLOOKUP($B49,'Draft List'!$D$4:$AB$2598,BG$3,FALSE),"")</f>
        <v/>
      </c>
      <c r="BH49" t="str">
        <f>IF(VLOOKUP($B49,'Draft List'!$D$4:$AB$2598,BH$3,FALSE)&lt;&gt;0,VLOOKUP($B49,'Draft List'!$D$4:$AB$2598,BH$3,FALSE),"")</f>
        <v/>
      </c>
      <c r="BI49" t="str">
        <f>IF(VLOOKUP($B49,'Draft List'!$D$4:$AB$2598,BI$3,FALSE)&lt;&gt;0,VLOOKUP($B49,'Draft List'!$D$4:$AB$2598,BI$3,FALSE),"")</f>
        <v/>
      </c>
      <c r="BJ49" t="str">
        <f>IF(OR(C49="SP",C49="MR",C49="CL"),"P",VLOOKUP($A49,Bat!$A$4:$AP$1287,42,FALSE))</f>
        <v>P</v>
      </c>
    </row>
    <row r="50" spans="1:62">
      <c r="A50" t="str">
        <f>C50&amp;D50&amp;E50</f>
        <v>SPLuis Monsalve21</v>
      </c>
      <c r="B50">
        <f>VLOOKUP($A50,draft_listing_pitchers_stats!$A$1:$B$1324,2,FALSE)</f>
        <v>7171</v>
      </c>
      <c r="C50" s="1" t="s">
        <v>2003</v>
      </c>
      <c r="D50" s="1" t="s">
        <v>1137</v>
      </c>
      <c r="E50" s="1">
        <v>21</v>
      </c>
      <c r="F50" s="1" t="s">
        <v>2022</v>
      </c>
      <c r="G50" s="1" t="s">
        <v>2022</v>
      </c>
      <c r="H50" s="1" t="s">
        <v>2033</v>
      </c>
      <c r="I50" s="31" t="s">
        <v>2023</v>
      </c>
      <c r="J50" s="1" t="s">
        <v>2030</v>
      </c>
      <c r="K50" s="31" t="s">
        <v>2036</v>
      </c>
      <c r="L50" s="1">
        <v>5</v>
      </c>
      <c r="M50" s="1">
        <v>5</v>
      </c>
      <c r="N50" s="31">
        <v>2</v>
      </c>
      <c r="O50" s="1">
        <v>7</v>
      </c>
      <c r="P50" s="1">
        <v>5</v>
      </c>
      <c r="Q50" s="31">
        <v>4</v>
      </c>
      <c r="R50" s="1">
        <v>6</v>
      </c>
      <c r="S50" s="1">
        <v>8</v>
      </c>
      <c r="T50" s="1">
        <v>4</v>
      </c>
      <c r="U50" s="1">
        <v>7</v>
      </c>
      <c r="V50" s="1" t="s">
        <v>2027</v>
      </c>
      <c r="W50" s="1" t="s">
        <v>2027</v>
      </c>
      <c r="X50" s="1" t="s">
        <v>2027</v>
      </c>
      <c r="Y50" s="1" t="s">
        <v>2027</v>
      </c>
      <c r="Z50" s="1" t="s">
        <v>2027</v>
      </c>
      <c r="AA50" s="1" t="s">
        <v>2027</v>
      </c>
      <c r="AB50" s="1">
        <v>6</v>
      </c>
      <c r="AC50" s="1">
        <v>7</v>
      </c>
      <c r="AD50" s="1" t="s">
        <v>2027</v>
      </c>
      <c r="AE50" s="1" t="s">
        <v>2027</v>
      </c>
      <c r="AF50" s="1">
        <v>5</v>
      </c>
      <c r="AG50" s="1">
        <v>5</v>
      </c>
      <c r="AH50" s="1" t="s">
        <v>2027</v>
      </c>
      <c r="AI50" s="1" t="s">
        <v>2027</v>
      </c>
      <c r="AJ50" s="1" t="s">
        <v>2027</v>
      </c>
      <c r="AK50" s="1" t="s">
        <v>2027</v>
      </c>
      <c r="AL50" s="1" t="s">
        <v>2027</v>
      </c>
      <c r="AM50" s="1" t="s">
        <v>2027</v>
      </c>
      <c r="AN50" s="1" t="s">
        <v>2027</v>
      </c>
      <c r="AO50" s="31" t="s">
        <v>2027</v>
      </c>
      <c r="AP50" s="1" t="s">
        <v>2031</v>
      </c>
      <c r="AQ50" s="1">
        <v>4</v>
      </c>
      <c r="AR50" s="32">
        <v>0.56999999999999995</v>
      </c>
      <c r="AS50" s="45" t="s">
        <v>2029</v>
      </c>
      <c r="AT50" s="9">
        <f>($O$3*(L50-$O$1)/$O$2+$P$3*(M50-$P$1)/$P$2+$Q$3*(N50-$P$1)/$Q$2)/SUM($O$3:$Q$3)</f>
        <v>-0.89867150815657204</v>
      </c>
      <c r="AU50" s="9">
        <f>($O$3*(O50-$O$1)/$O$2+$P$3*(P50-$P$1)/$P$2+$Q$3*(Q50-$Q$1)/$Q$2)/SUM($O$3:$Q$3)</f>
        <v>0.4208470237070675</v>
      </c>
      <c r="AV50">
        <f>COUNT(R50:AO50)/2</f>
        <v>4</v>
      </c>
      <c r="AW50">
        <f>COUNTIF(R50:AO50,"&gt;5")/2</f>
        <v>2.5</v>
      </c>
      <c r="AX50" s="6">
        <f>VLOOKUP(AP50,COND!$A$10:$B$31,2,FALSE)</f>
        <v>1.05</v>
      </c>
      <c r="AY50" s="9">
        <f>($AT$3*AT50+$AU$3*AU50+$AV$3*AV50+$AW$3*AW50)*AX50*IF(AQ50&lt;5,0.95,IF(AQ50&lt;7,0.975,1))+$J$3*VLOOKUP(J50,[1]Con!$A$2:$C$7,2,FALSE)+$K$3*VLOOKUP(K50,[1]Con!$A$2:$C$7,3,FALSE)+IF(BA50="SP",$BA$3,0)</f>
        <v>45.128800657078756</v>
      </c>
      <c r="AZ50" s="37">
        <f>STANDARDIZE(AY50,AVERAGE($AY$5:$AY$1116),STDEVP($AY$5:$AY$1116))</f>
        <v>0.8897303092236255</v>
      </c>
      <c r="BA50" t="str">
        <f>IF(OR(AND(AQ50&gt;7,AW50&gt;1),AND(AQ50&gt;4,AV50&gt;2)),"SP","RP")</f>
        <v>RP</v>
      </c>
      <c r="BC50">
        <f>VLOOKUP($A50,'Draft List'!$A$4:$V$530,22,FALSE)</f>
        <v>0</v>
      </c>
      <c r="BD50" t="s">
        <v>16</v>
      </c>
      <c r="BE50" t="str">
        <f>IF(AVERAGE($O50:$Q50)&gt;=6,"Likely",IF(AVERAGE($O50:$Q50)&gt;=4,"Possible","Unlikely"))</f>
        <v>Possible</v>
      </c>
      <c r="BG50" t="str">
        <f>IF(VLOOKUP($B50,'Draft List'!$D$4:$AB$2598,BG$3,FALSE)&lt;&gt;0,VLOOKUP($B50,'Draft List'!$D$4:$AB$2598,BG$3,FALSE),"")</f>
        <v/>
      </c>
      <c r="BH50" t="str">
        <f>IF(VLOOKUP($B50,'Draft List'!$D$4:$AB$2598,BH$3,FALSE)&lt;&gt;0,VLOOKUP($B50,'Draft List'!$D$4:$AB$2598,BH$3,FALSE),"")</f>
        <v/>
      </c>
      <c r="BI50" t="str">
        <f>IF(VLOOKUP($B50,'Draft List'!$D$4:$AB$2598,BI$3,FALSE)&lt;&gt;0,VLOOKUP($B50,'Draft List'!$D$4:$AB$2598,BI$3,FALSE),"")</f>
        <v/>
      </c>
      <c r="BJ50" t="str">
        <f>IF(OR(C50="SP",C50="MR",C50="CL"),"P",VLOOKUP($A50,Bat!$A$4:$AP$1287,42,FALSE))</f>
        <v>P</v>
      </c>
    </row>
    <row r="51" spans="1:62">
      <c r="A51" t="str">
        <f>C51&amp;D51&amp;E51</f>
        <v>SPAdam Payne21</v>
      </c>
      <c r="B51">
        <f>VLOOKUP($A51,draft_listing_pitchers_stats!$A$1:$B$1324,2,FALSE)</f>
        <v>4372</v>
      </c>
      <c r="C51" s="1" t="s">
        <v>2003</v>
      </c>
      <c r="D51" s="1" t="s">
        <v>1144</v>
      </c>
      <c r="E51" s="1">
        <v>21</v>
      </c>
      <c r="F51" s="1" t="s">
        <v>2022</v>
      </c>
      <c r="G51" s="1" t="s">
        <v>2022</v>
      </c>
      <c r="H51" s="1" t="s">
        <v>2033</v>
      </c>
      <c r="I51" s="31" t="s">
        <v>2023</v>
      </c>
      <c r="J51" s="1" t="s">
        <v>2040</v>
      </c>
      <c r="K51" s="31" t="s">
        <v>2030</v>
      </c>
      <c r="L51" s="1">
        <v>5</v>
      </c>
      <c r="M51" s="1">
        <v>5</v>
      </c>
      <c r="N51" s="31">
        <v>2</v>
      </c>
      <c r="O51" s="1">
        <v>6</v>
      </c>
      <c r="P51" s="1">
        <v>5</v>
      </c>
      <c r="Q51" s="31">
        <v>5</v>
      </c>
      <c r="R51" s="1">
        <v>6</v>
      </c>
      <c r="S51" s="1">
        <v>7</v>
      </c>
      <c r="T51" s="1" t="s">
        <v>2027</v>
      </c>
      <c r="U51" s="1" t="s">
        <v>2027</v>
      </c>
      <c r="V51" s="1" t="s">
        <v>2027</v>
      </c>
      <c r="W51" s="1" t="s">
        <v>2027</v>
      </c>
      <c r="X51" s="1">
        <v>6</v>
      </c>
      <c r="Y51" s="1">
        <v>8</v>
      </c>
      <c r="Z51" s="1" t="s">
        <v>2027</v>
      </c>
      <c r="AA51" s="1" t="s">
        <v>2027</v>
      </c>
      <c r="AB51" s="1" t="s">
        <v>2027</v>
      </c>
      <c r="AC51" s="1" t="s">
        <v>2027</v>
      </c>
      <c r="AD51" s="1" t="s">
        <v>2027</v>
      </c>
      <c r="AE51" s="1" t="s">
        <v>2027</v>
      </c>
      <c r="AF51" s="1">
        <v>6</v>
      </c>
      <c r="AG51" s="1">
        <v>7</v>
      </c>
      <c r="AH51" s="1" t="s">
        <v>2027</v>
      </c>
      <c r="AI51" s="1" t="s">
        <v>2027</v>
      </c>
      <c r="AJ51" s="1" t="s">
        <v>2027</v>
      </c>
      <c r="AK51" s="1" t="s">
        <v>2027</v>
      </c>
      <c r="AL51" s="1" t="s">
        <v>2027</v>
      </c>
      <c r="AM51" s="1" t="s">
        <v>2027</v>
      </c>
      <c r="AN51" s="1" t="s">
        <v>2027</v>
      </c>
      <c r="AO51" s="31" t="s">
        <v>2027</v>
      </c>
      <c r="AP51" s="1" t="s">
        <v>2031</v>
      </c>
      <c r="AQ51" s="1">
        <v>9</v>
      </c>
      <c r="AR51" s="32">
        <v>0.48</v>
      </c>
      <c r="AS51" s="45" t="s">
        <v>2029</v>
      </c>
      <c r="AT51" s="9">
        <f>($O$3*(L51-$O$1)/$O$2+$P$3*(M51-$P$1)/$P$2+$Q$3*(N51-$P$1)/$Q$2)/SUM($O$3:$Q$3)</f>
        <v>-0.89867150815657204</v>
      </c>
      <c r="AU51" s="9">
        <f>($O$3*(O51-$O$1)/$O$2+$P$3*(P51-$P$1)/$P$2+$Q$3*(Q51-$Q$1)/$Q$2)/SUM($O$3:$Q$3)</f>
        <v>0.46847626525200436</v>
      </c>
      <c r="AV51">
        <f>COUNT(R51:AO51)/2</f>
        <v>3</v>
      </c>
      <c r="AW51">
        <f>COUNTIF(R51:AO51,"&gt;5")/2</f>
        <v>3</v>
      </c>
      <c r="AX51" s="6">
        <f>VLOOKUP(AP51,COND!$A$10:$B$31,2,FALSE)</f>
        <v>1.05</v>
      </c>
      <c r="AY51" s="9">
        <f>($AT$3*AT51+$AU$3*AU51+$AV$3*AV51+$AW$3*AW51)*AX51*IF(AQ51&lt;5,0.95,IF(AQ51&lt;7,0.975,1))+$J$3*VLOOKUP(J51,[1]Con!$A$2:$C$7,2,FALSE)+$K$3*VLOOKUP(K51,[1]Con!$A$2:$C$7,3,FALSE)+IF(BA51="SP",$BA$3,0)</f>
        <v>44.911780553579213</v>
      </c>
      <c r="AZ51" s="37">
        <f>STANDARDIZE(AY51,AVERAGE($AY$5:$AY$1116),STDEVP($AY$5:$AY$1116))</f>
        <v>0.872501834015314</v>
      </c>
      <c r="BA51" t="str">
        <f>IF(OR(AND(AQ51&gt;7,AW51&gt;1),AND(AQ51&gt;4,AV51&gt;2)),"SP","RP")</f>
        <v>SP</v>
      </c>
      <c r="BC51">
        <f>VLOOKUP($A51,'Draft List'!$A$4:$V$530,22,FALSE)</f>
        <v>0</v>
      </c>
      <c r="BD51" t="s">
        <v>48</v>
      </c>
      <c r="BE51" t="str">
        <f>IF(AVERAGE($O51:$Q51)&gt;=6,"Likely",IF(AVERAGE($O51:$Q51)&gt;=4,"Possible","Unlikely"))</f>
        <v>Possible</v>
      </c>
      <c r="BG51" t="str">
        <f>IF(VLOOKUP($B51,'Draft List'!$D$4:$AB$2598,BG$3,FALSE)&lt;&gt;0,VLOOKUP($B51,'Draft List'!$D$4:$AB$2598,BG$3,FALSE),"")</f>
        <v/>
      </c>
      <c r="BH51" t="str">
        <f>IF(VLOOKUP($B51,'Draft List'!$D$4:$AB$2598,BH$3,FALSE)&lt;&gt;0,VLOOKUP($B51,'Draft List'!$D$4:$AB$2598,BH$3,FALSE),"")</f>
        <v/>
      </c>
      <c r="BI51" t="str">
        <f>IF(VLOOKUP($B51,'Draft List'!$D$4:$AB$2598,BI$3,FALSE)&lt;&gt;0,VLOOKUP($B51,'Draft List'!$D$4:$AB$2598,BI$3,FALSE),"")</f>
        <v/>
      </c>
      <c r="BJ51" t="str">
        <f>IF(OR(C51="SP",C51="MR",C51="CL"),"P",VLOOKUP($A51,Bat!$A$4:$AP$1287,42,FALSE))</f>
        <v>P</v>
      </c>
    </row>
    <row r="52" spans="1:62">
      <c r="A52" t="str">
        <f>C52&amp;D52&amp;E52</f>
        <v>SPKeith Mays21</v>
      </c>
      <c r="B52">
        <f>VLOOKUP($A52,draft_listing_pitchers_stats!$A$1:$B$1324,2,FALSE)</f>
        <v>8683</v>
      </c>
      <c r="C52" s="1" t="s">
        <v>2003</v>
      </c>
      <c r="D52" s="1" t="s">
        <v>1133</v>
      </c>
      <c r="E52" s="1">
        <v>21</v>
      </c>
      <c r="F52" s="1" t="s">
        <v>2038</v>
      </c>
      <c r="G52" s="1" t="s">
        <v>2038</v>
      </c>
      <c r="H52" s="1" t="s">
        <v>2033</v>
      </c>
      <c r="I52" s="31" t="s">
        <v>2023</v>
      </c>
      <c r="J52" s="1" t="s">
        <v>2026</v>
      </c>
      <c r="K52" s="31" t="s">
        <v>2025</v>
      </c>
      <c r="L52" s="1">
        <v>3</v>
      </c>
      <c r="M52" s="1">
        <v>5</v>
      </c>
      <c r="N52" s="31">
        <v>1</v>
      </c>
      <c r="O52" s="1">
        <v>6</v>
      </c>
      <c r="P52" s="1">
        <v>6</v>
      </c>
      <c r="Q52" s="31">
        <v>5</v>
      </c>
      <c r="R52" s="1" t="s">
        <v>2027</v>
      </c>
      <c r="S52" s="1" t="s">
        <v>2027</v>
      </c>
      <c r="T52" s="1" t="s">
        <v>2027</v>
      </c>
      <c r="U52" s="1" t="s">
        <v>2027</v>
      </c>
      <c r="V52" s="1">
        <v>5</v>
      </c>
      <c r="W52" s="1">
        <v>8</v>
      </c>
      <c r="X52" s="1" t="s">
        <v>2027</v>
      </c>
      <c r="Y52" s="1" t="s">
        <v>2027</v>
      </c>
      <c r="Z52" s="1" t="s">
        <v>2027</v>
      </c>
      <c r="AA52" s="1" t="s">
        <v>2027</v>
      </c>
      <c r="AB52" s="1" t="s">
        <v>2027</v>
      </c>
      <c r="AC52" s="1" t="s">
        <v>2027</v>
      </c>
      <c r="AD52" s="1">
        <v>5</v>
      </c>
      <c r="AE52" s="1">
        <v>7</v>
      </c>
      <c r="AF52" s="1" t="s">
        <v>2027</v>
      </c>
      <c r="AG52" s="1" t="s">
        <v>2027</v>
      </c>
      <c r="AH52" s="1" t="s">
        <v>2027</v>
      </c>
      <c r="AI52" s="1" t="s">
        <v>2027</v>
      </c>
      <c r="AJ52" s="1" t="s">
        <v>2027</v>
      </c>
      <c r="AK52" s="1" t="s">
        <v>2027</v>
      </c>
      <c r="AL52" s="1" t="s">
        <v>2027</v>
      </c>
      <c r="AM52" s="1" t="s">
        <v>2027</v>
      </c>
      <c r="AN52" s="1" t="s">
        <v>2027</v>
      </c>
      <c r="AO52" s="31" t="s">
        <v>2027</v>
      </c>
      <c r="AP52" s="1" t="s">
        <v>2039</v>
      </c>
      <c r="AQ52" s="1">
        <v>7</v>
      </c>
      <c r="AR52" s="32">
        <v>0.54</v>
      </c>
      <c r="AS52" s="45" t="s">
        <v>2029</v>
      </c>
      <c r="AT52" s="9">
        <f>($O$3*(L52-$O$1)/$O$2+$P$3*(M52-$P$1)/$P$2+$Q$3*(N52-$P$1)/$Q$2)/SUM($O$3:$Q$3)</f>
        <v>-1.5303747232290292</v>
      </c>
      <c r="AU52" s="9">
        <f>($O$3*(O52-$O$1)/$O$2+$P$3*(P52-$P$1)/$P$2+$Q$3*(Q52-$Q$1)/$Q$2)/SUM($O$3:$Q$3)</f>
        <v>0.66390798168205989</v>
      </c>
      <c r="AV52">
        <f>COUNT(R52:AO52)/2</f>
        <v>2</v>
      </c>
      <c r="AW52">
        <f>COUNTIF(R52:AO52,"&gt;5")/2</f>
        <v>1</v>
      </c>
      <c r="AX52" s="6">
        <f>VLOOKUP(AP52,COND!$A$10:$B$31,2,FALSE)</f>
        <v>1.0249999999999999</v>
      </c>
      <c r="AY52" s="9">
        <f>($AT$3*AT52+$AU$3*AU52+$AV$3*AV52+$AW$3*AW52)*AX52*IF(AQ52&lt;5,0.95,IF(AQ52&lt;7,0.975,1))+$J$3*VLOOKUP(J52,[1]Con!$A$2:$C$7,2,FALSE)+$K$3*VLOOKUP(K52,[1]Con!$A$2:$C$7,3,FALSE)+IF(BA52="SP",$BA$3,0)</f>
        <v>44.852636806220275</v>
      </c>
      <c r="AZ52" s="37">
        <f>STANDARDIZE(AY52,AVERAGE($AY$5:$AY$1116),STDEVP($AY$5:$AY$1116))</f>
        <v>0.86780661652776803</v>
      </c>
      <c r="BA52" t="str">
        <f>IF(OR(AND(AQ52&gt;7,AW52&gt;1),AND(AQ52&gt;4,AV52&gt;2)),"SP","RP")</f>
        <v>RP</v>
      </c>
      <c r="BC52">
        <f>VLOOKUP($A52,'Draft List'!$A$4:$V$530,22,FALSE)</f>
        <v>0</v>
      </c>
      <c r="BD52" t="s">
        <v>156</v>
      </c>
      <c r="BE52" t="str">
        <f>IF(AVERAGE($O52:$Q52)&gt;=6,"Likely",IF(AVERAGE($O52:$Q52)&gt;=4,"Possible","Unlikely"))</f>
        <v>Possible</v>
      </c>
      <c r="BG52" t="str">
        <f>IF(VLOOKUP($B52,'Draft List'!$D$4:$AB$2598,BG$3,FALSE)&lt;&gt;0,VLOOKUP($B52,'Draft List'!$D$4:$AB$2598,BG$3,FALSE),"")</f>
        <v/>
      </c>
      <c r="BH52" t="str">
        <f>IF(VLOOKUP($B52,'Draft List'!$D$4:$AB$2598,BH$3,FALSE)&lt;&gt;0,VLOOKUP($B52,'Draft List'!$D$4:$AB$2598,BH$3,FALSE),"")</f>
        <v/>
      </c>
      <c r="BI52" t="str">
        <f>IF(VLOOKUP($B52,'Draft List'!$D$4:$AB$2598,BI$3,FALSE)&lt;&gt;0,VLOOKUP($B52,'Draft List'!$D$4:$AB$2598,BI$3,FALSE),"")</f>
        <v/>
      </c>
      <c r="BJ52" t="str">
        <f>IF(OR(C52="SP",C52="MR",C52="CL"),"P",VLOOKUP($A52,Bat!$A$4:$AP$1287,42,FALSE))</f>
        <v>P</v>
      </c>
    </row>
    <row r="53" spans="1:62">
      <c r="A53" t="str">
        <f>C53&amp;D53&amp;E53</f>
        <v>SPKevin Ammons21</v>
      </c>
      <c r="B53">
        <f>VLOOKUP($A53,draft_listing_pitchers_stats!$A$1:$B$1324,2,FALSE)</f>
        <v>9189</v>
      </c>
      <c r="C53" s="1" t="s">
        <v>2003</v>
      </c>
      <c r="D53" s="1" t="s">
        <v>1097</v>
      </c>
      <c r="E53" s="1">
        <v>21</v>
      </c>
      <c r="F53" s="1" t="s">
        <v>2022</v>
      </c>
      <c r="G53" s="1" t="s">
        <v>2022</v>
      </c>
      <c r="H53" s="1" t="s">
        <v>2033</v>
      </c>
      <c r="I53" s="31" t="s">
        <v>2023</v>
      </c>
      <c r="J53" s="1" t="s">
        <v>2025</v>
      </c>
      <c r="K53" s="31" t="s">
        <v>2040</v>
      </c>
      <c r="L53" s="1">
        <v>4</v>
      </c>
      <c r="M53" s="1">
        <v>4</v>
      </c>
      <c r="N53" s="31">
        <v>5</v>
      </c>
      <c r="O53" s="1">
        <v>5</v>
      </c>
      <c r="P53" s="1">
        <v>4</v>
      </c>
      <c r="Q53" s="31">
        <v>8</v>
      </c>
      <c r="R53" s="1">
        <v>5</v>
      </c>
      <c r="S53" s="1">
        <v>5</v>
      </c>
      <c r="T53" s="1">
        <v>6</v>
      </c>
      <c r="U53" s="1">
        <v>6</v>
      </c>
      <c r="V53" s="1" t="s">
        <v>2027</v>
      </c>
      <c r="W53" s="1" t="s">
        <v>2027</v>
      </c>
      <c r="X53" s="1">
        <v>5</v>
      </c>
      <c r="Y53" s="1">
        <v>5</v>
      </c>
      <c r="Z53" s="1" t="s">
        <v>2027</v>
      </c>
      <c r="AA53" s="1" t="s">
        <v>2027</v>
      </c>
      <c r="AB53" s="1" t="s">
        <v>2027</v>
      </c>
      <c r="AC53" s="1" t="s">
        <v>2027</v>
      </c>
      <c r="AD53" s="1" t="s">
        <v>2027</v>
      </c>
      <c r="AE53" s="1" t="s">
        <v>2027</v>
      </c>
      <c r="AF53" s="1" t="s">
        <v>2027</v>
      </c>
      <c r="AG53" s="1" t="s">
        <v>2027</v>
      </c>
      <c r="AH53" s="1" t="s">
        <v>2027</v>
      </c>
      <c r="AI53" s="1" t="s">
        <v>2027</v>
      </c>
      <c r="AJ53" s="1" t="s">
        <v>2027</v>
      </c>
      <c r="AK53" s="1" t="s">
        <v>2027</v>
      </c>
      <c r="AL53" s="1" t="s">
        <v>2027</v>
      </c>
      <c r="AM53" s="1" t="s">
        <v>2027</v>
      </c>
      <c r="AN53" s="1" t="s">
        <v>2027</v>
      </c>
      <c r="AO53" s="31" t="s">
        <v>2027</v>
      </c>
      <c r="AP53" s="1" t="s">
        <v>2042</v>
      </c>
      <c r="AQ53" s="1">
        <v>4</v>
      </c>
      <c r="AR53" s="32">
        <v>0.44</v>
      </c>
      <c r="AS53" s="45" t="s">
        <v>2029</v>
      </c>
      <c r="AT53" s="9">
        <f>($O$3*(L53-$O$1)/$O$2+$P$3*(M53-$P$1)/$P$2+$Q$3*(N53-$P$1)/$Q$2)/SUM($O$3:$Q$3)</f>
        <v>-0.56183285093346969</v>
      </c>
      <c r="AU53" s="9">
        <f>($O$3*(O53-$O$1)/$O$2+$P$3*(P53-$P$1)/$P$2+$Q$3*(Q53-$Q$1)/$Q$2)/SUM($O$3:$Q$3)</f>
        <v>0.80531492247510639</v>
      </c>
      <c r="AV53">
        <f>COUNT(R53:AO53)/2</f>
        <v>3</v>
      </c>
      <c r="AW53">
        <f>COUNTIF(R53:AO53,"&gt;5")/2</f>
        <v>1</v>
      </c>
      <c r="AX53" s="6">
        <f>VLOOKUP(AP53,COND!$A$10:$B$31,2,FALSE)</f>
        <v>1</v>
      </c>
      <c r="AY53" s="9">
        <f>($AT$3*AT53+$AU$3*AU53+$AV$3*AV53+$AW$3*AW53)*AX53*IF(AQ53&lt;5,0.95,IF(AQ53&lt;7,0.975,1))+$J$3*VLOOKUP(J53,[1]Con!$A$2:$C$7,2,FALSE)+$K$3*VLOOKUP(K53,[1]Con!$A$2:$C$7,3,FALSE)+IF(BA53="SP",$BA$3,0)</f>
        <v>44.80673528534966</v>
      </c>
      <c r="AZ53" s="37">
        <f>STANDARDIZE(AY53,AVERAGE($AY$5:$AY$1116),STDEVP($AY$5:$AY$1116))</f>
        <v>0.86416265358797129</v>
      </c>
      <c r="BA53" t="str">
        <f>IF(OR(AND(AQ53&gt;7,AW53&gt;1),AND(AQ53&gt;4,AV53&gt;2)),"SP","RP")</f>
        <v>RP</v>
      </c>
      <c r="BC53">
        <f>VLOOKUP($A53,'Draft List'!$A$4:$V$530,22,FALSE)</f>
        <v>0</v>
      </c>
      <c r="BD53" t="s">
        <v>42</v>
      </c>
      <c r="BE53" t="str">
        <f>IF(AVERAGE($O53:$Q53)&gt;=6,"Likely",IF(AVERAGE($O53:$Q53)&gt;=4,"Possible","Unlikely"))</f>
        <v>Possible</v>
      </c>
      <c r="BG53" t="str">
        <f>IF(VLOOKUP($B53,'Draft List'!$D$4:$AB$2598,BG$3,FALSE)&lt;&gt;0,VLOOKUP($B53,'Draft List'!$D$4:$AB$2598,BG$3,FALSE),"")</f>
        <v/>
      </c>
      <c r="BH53" t="str">
        <f>IF(VLOOKUP($B53,'Draft List'!$D$4:$AB$2598,BH$3,FALSE)&lt;&gt;0,VLOOKUP($B53,'Draft List'!$D$4:$AB$2598,BH$3,FALSE),"")</f>
        <v/>
      </c>
      <c r="BI53" t="str">
        <f>IF(VLOOKUP($B53,'Draft List'!$D$4:$AB$2598,BI$3,FALSE)&lt;&gt;0,VLOOKUP($B53,'Draft List'!$D$4:$AB$2598,BI$3,FALSE),"")</f>
        <v/>
      </c>
      <c r="BJ53" t="str">
        <f>IF(OR(C53="SP",C53="MR",C53="CL"),"P",VLOOKUP($A53,Bat!$A$4:$AP$1287,42,FALSE))</f>
        <v>P</v>
      </c>
    </row>
    <row r="54" spans="1:62">
      <c r="A54" t="str">
        <f>C54&amp;D54&amp;E54</f>
        <v>SPMatt Taylor21</v>
      </c>
      <c r="B54">
        <f>VLOOKUP($A54,draft_listing_pitchers_stats!$A$1:$B$1324,2,FALSE)</f>
        <v>2887</v>
      </c>
      <c r="C54" s="1" t="s">
        <v>2003</v>
      </c>
      <c r="D54" s="1" t="s">
        <v>1158</v>
      </c>
      <c r="E54" s="1">
        <v>21</v>
      </c>
      <c r="F54" s="1" t="s">
        <v>2049</v>
      </c>
      <c r="G54" s="1" t="s">
        <v>2022</v>
      </c>
      <c r="H54" s="1" t="s">
        <v>2033</v>
      </c>
      <c r="I54" s="31" t="s">
        <v>2023</v>
      </c>
      <c r="J54" s="1" t="s">
        <v>2025</v>
      </c>
      <c r="K54" s="31" t="s">
        <v>2036</v>
      </c>
      <c r="L54" s="1">
        <v>4</v>
      </c>
      <c r="M54" s="1">
        <v>5</v>
      </c>
      <c r="N54" s="31">
        <v>3</v>
      </c>
      <c r="O54" s="1">
        <v>5</v>
      </c>
      <c r="P54" s="1">
        <v>5</v>
      </c>
      <c r="Q54" s="31">
        <v>6</v>
      </c>
      <c r="R54" s="1">
        <v>5</v>
      </c>
      <c r="S54" s="1">
        <v>6</v>
      </c>
      <c r="T54" s="1">
        <v>6</v>
      </c>
      <c r="U54" s="1">
        <v>7</v>
      </c>
      <c r="V54" s="1">
        <v>2</v>
      </c>
      <c r="W54" s="1">
        <v>2</v>
      </c>
      <c r="X54" s="1" t="s">
        <v>2027</v>
      </c>
      <c r="Y54" s="1" t="s">
        <v>2027</v>
      </c>
      <c r="Z54" s="1" t="s">
        <v>2027</v>
      </c>
      <c r="AA54" s="1" t="s">
        <v>2027</v>
      </c>
      <c r="AB54" s="1" t="s">
        <v>2027</v>
      </c>
      <c r="AC54" s="1" t="s">
        <v>2027</v>
      </c>
      <c r="AD54" s="1" t="s">
        <v>2027</v>
      </c>
      <c r="AE54" s="1" t="s">
        <v>2027</v>
      </c>
      <c r="AF54" s="1" t="s">
        <v>2027</v>
      </c>
      <c r="AG54" s="1" t="s">
        <v>2027</v>
      </c>
      <c r="AH54" s="1" t="s">
        <v>2027</v>
      </c>
      <c r="AI54" s="1" t="s">
        <v>2027</v>
      </c>
      <c r="AJ54" s="1" t="s">
        <v>2027</v>
      </c>
      <c r="AK54" s="1" t="s">
        <v>2027</v>
      </c>
      <c r="AL54" s="1" t="s">
        <v>2027</v>
      </c>
      <c r="AM54" s="1" t="s">
        <v>2027</v>
      </c>
      <c r="AN54" s="1" t="s">
        <v>2027</v>
      </c>
      <c r="AO54" s="31" t="s">
        <v>2027</v>
      </c>
      <c r="AP54" s="1" t="s">
        <v>2047</v>
      </c>
      <c r="AQ54" s="1">
        <v>3</v>
      </c>
      <c r="AR54" s="32">
        <v>0.53</v>
      </c>
      <c r="AS54" s="45" t="s">
        <v>2029</v>
      </c>
      <c r="AT54" s="9">
        <f>($O$3*(L54-$O$1)/$O$2+$P$3*(M54-$P$1)/$P$2+$Q$3*(N54-$P$1)/$Q$2)/SUM($O$3:$Q$3)</f>
        <v>-0.85104226661163507</v>
      </c>
      <c r="AU54" s="9">
        <f>($O$3*(O54-$O$1)/$O$2+$P$3*(P54-$P$1)/$P$2+$Q$3*(Q54-$Q$1)/$Q$2)/SUM($O$3:$Q$3)</f>
        <v>0.51610550679694134</v>
      </c>
      <c r="AV54">
        <f>COUNT(R54:AO54)/2</f>
        <v>3</v>
      </c>
      <c r="AW54">
        <f>COUNTIF(R54:AO54,"&gt;5")/2</f>
        <v>1.5</v>
      </c>
      <c r="AX54" s="6">
        <f>VLOOKUP(AP54,COND!$A$10:$B$31,2,FALSE)</f>
        <v>1.0249999999999999</v>
      </c>
      <c r="AY54" s="9">
        <f>($AT$3*AT54+$AU$3*AU54+$AV$3*AV54+$AW$3*AW54)*AX54*IF(AQ54&lt;5,0.95,IF(AQ54&lt;7,0.975,1))+$J$3*VLOOKUP(J54,[1]Con!$A$2:$C$7,2,FALSE)+$K$3*VLOOKUP(K54,[1]Con!$A$2:$C$7,3,FALSE)+IF(BA54="SP",$BA$3,0)</f>
        <v>44.22182051344781</v>
      </c>
      <c r="AZ54" s="37">
        <f>STANDARDIZE(AY54,AVERAGE($AY$5:$AY$1116),STDEVP($AY$5:$AY$1116))</f>
        <v>0.81772829343337194</v>
      </c>
      <c r="BA54" t="str">
        <f>IF(OR(AND(AQ54&gt;7,AW54&gt;1),AND(AQ54&gt;4,AV54&gt;2)),"SP","RP")</f>
        <v>RP</v>
      </c>
      <c r="BC54">
        <f>VLOOKUP($A54,'Draft List'!$A$4:$V$530,22,FALSE)</f>
        <v>0</v>
      </c>
      <c r="BD54" t="s">
        <v>49</v>
      </c>
      <c r="BE54" t="str">
        <f>IF(AVERAGE($O54:$Q54)&gt;=6,"Likely",IF(AVERAGE($O54:$Q54)&gt;=4,"Possible","Unlikely"))</f>
        <v>Possible</v>
      </c>
      <c r="BG54" t="str">
        <f>IF(VLOOKUP($B54,'Draft List'!$D$4:$AB$2598,BG$3,FALSE)&lt;&gt;0,VLOOKUP($B54,'Draft List'!$D$4:$AB$2598,BG$3,FALSE),"")</f>
        <v/>
      </c>
      <c r="BH54" t="str">
        <f>IF(VLOOKUP($B54,'Draft List'!$D$4:$AB$2598,BH$3,FALSE)&lt;&gt;0,VLOOKUP($B54,'Draft List'!$D$4:$AB$2598,BH$3,FALSE),"")</f>
        <v/>
      </c>
      <c r="BI54" t="str">
        <f>IF(VLOOKUP($B54,'Draft List'!$D$4:$AB$2598,BI$3,FALSE)&lt;&gt;0,VLOOKUP($B54,'Draft List'!$D$4:$AB$2598,BI$3,FALSE),"")</f>
        <v/>
      </c>
      <c r="BJ54" t="str">
        <f>IF(OR(C54="SP",C54="MR",C54="CL"),"P",VLOOKUP($A54,Bat!$A$4:$AP$1287,42,FALSE))</f>
        <v>P</v>
      </c>
    </row>
    <row r="55" spans="1:62">
      <c r="A55" t="str">
        <f>C55&amp;D55&amp;E55</f>
        <v>SPQuinton Field22</v>
      </c>
      <c r="B55">
        <f>VLOOKUP($A55,draft_listing_pitchers_stats!$A$1:$B$1324,2,FALSE)</f>
        <v>1316</v>
      </c>
      <c r="C55" s="1" t="s">
        <v>2003</v>
      </c>
      <c r="D55" s="1" t="s">
        <v>2055</v>
      </c>
      <c r="E55" s="1">
        <v>22</v>
      </c>
      <c r="F55" s="1" t="s">
        <v>2022</v>
      </c>
      <c r="G55" s="1" t="s">
        <v>2022</v>
      </c>
      <c r="H55" s="1" t="s">
        <v>2033</v>
      </c>
      <c r="I55" s="31" t="s">
        <v>2023</v>
      </c>
      <c r="J55" s="1" t="s">
        <v>2040</v>
      </c>
      <c r="K55" s="31" t="s">
        <v>2040</v>
      </c>
      <c r="L55" s="1">
        <v>6</v>
      </c>
      <c r="M55" s="1">
        <v>4</v>
      </c>
      <c r="N55" s="31">
        <v>2</v>
      </c>
      <c r="O55" s="1">
        <v>7</v>
      </c>
      <c r="P55" s="1">
        <v>4</v>
      </c>
      <c r="Q55" s="31">
        <v>6</v>
      </c>
      <c r="R55" s="1">
        <v>9</v>
      </c>
      <c r="S55" s="1">
        <v>9</v>
      </c>
      <c r="T55" s="1" t="s">
        <v>2027</v>
      </c>
      <c r="U55" s="1" t="s">
        <v>2027</v>
      </c>
      <c r="V55" s="1">
        <v>5</v>
      </c>
      <c r="W55" s="1">
        <v>6</v>
      </c>
      <c r="X55" s="1" t="s">
        <v>2027</v>
      </c>
      <c r="Y55" s="1" t="s">
        <v>2027</v>
      </c>
      <c r="Z55" s="1" t="s">
        <v>2027</v>
      </c>
      <c r="AA55" s="1" t="s">
        <v>2027</v>
      </c>
      <c r="AB55" s="1" t="s">
        <v>2027</v>
      </c>
      <c r="AC55" s="1" t="s">
        <v>2027</v>
      </c>
      <c r="AD55" s="1" t="s">
        <v>2027</v>
      </c>
      <c r="AE55" s="1" t="s">
        <v>2027</v>
      </c>
      <c r="AF55" s="1" t="s">
        <v>2027</v>
      </c>
      <c r="AG55" s="1" t="s">
        <v>2027</v>
      </c>
      <c r="AH55" s="1">
        <v>3</v>
      </c>
      <c r="AI55" s="1">
        <v>6</v>
      </c>
      <c r="AJ55" s="1" t="s">
        <v>2027</v>
      </c>
      <c r="AK55" s="1" t="s">
        <v>2027</v>
      </c>
      <c r="AL55" s="1" t="s">
        <v>2027</v>
      </c>
      <c r="AM55" s="1" t="s">
        <v>2027</v>
      </c>
      <c r="AN55" s="1" t="s">
        <v>2027</v>
      </c>
      <c r="AO55" s="31" t="s">
        <v>2027</v>
      </c>
      <c r="AP55" s="1" t="s">
        <v>2039</v>
      </c>
      <c r="AQ55" s="1">
        <v>6</v>
      </c>
      <c r="AR55" s="32">
        <v>0.52</v>
      </c>
      <c r="AS55" s="45" t="s">
        <v>2029</v>
      </c>
      <c r="AT55" s="9">
        <f>($O$3*(L55-$O$1)/$O$2+$P$3*(M55-$P$1)/$P$2+$Q$3*(N55-$P$1)/$Q$2)/SUM($O$3:$Q$3)</f>
        <v>-0.89941190007745386</v>
      </c>
      <c r="AU55" s="9">
        <f>($O$3*(O55-$O$1)/$O$2+$P$3*(P55-$P$1)/$P$2+$Q$3*(Q55-$Q$1)/$Q$2)/SUM($O$3:$Q$3)</f>
        <v>0.71005643938523277</v>
      </c>
      <c r="AV55">
        <f>COUNT(R55:AO55)/2</f>
        <v>3</v>
      </c>
      <c r="AW55">
        <f>COUNTIF(R55:AO55,"&gt;5")/2</f>
        <v>2</v>
      </c>
      <c r="AX55" s="6">
        <f>VLOOKUP(AP55,COND!$A$10:$B$31,2,FALSE)</f>
        <v>1.0249999999999999</v>
      </c>
      <c r="AY55" s="9">
        <f>($AT$3*AT55+$AU$3*AU55+$AV$3*AV55+$AW$3*AW55)*AX55*IF(AQ55&lt;5,0.95,IF(AQ55&lt;7,0.975,1))+$J$3*VLOOKUP(J55,[1]Con!$A$2:$C$7,2,FALSE)+$K$3*VLOOKUP(K55,[1]Con!$A$2:$C$7,3,FALSE)+IF(BA55="SP",$BA$3,0)</f>
        <v>44.009983128684354</v>
      </c>
      <c r="AZ55" s="37">
        <f>STANDARDIZE(AY55,AVERAGE($AY$5:$AY$1116),STDEVP($AY$5:$AY$1116))</f>
        <v>0.80091125633524696</v>
      </c>
      <c r="BA55" t="str">
        <f>IF(OR(AND(AQ55&gt;7,AW55&gt;1),AND(AQ55&gt;4,AV55&gt;2)),"SP","RP")</f>
        <v>SP</v>
      </c>
      <c r="BC55">
        <f>VLOOKUP($A55,'Draft List'!$A$4:$V$530,22,FALSE)</f>
        <v>0</v>
      </c>
      <c r="BD55" t="s">
        <v>39</v>
      </c>
      <c r="BE55" t="str">
        <f>IF(AVERAGE($O55:$Q55)&gt;=6,"Likely",IF(AVERAGE($O55:$Q55)&gt;=4,"Possible","Unlikely"))</f>
        <v>Possible</v>
      </c>
      <c r="BG55" t="str">
        <f>IF(VLOOKUP($B55,'Draft List'!$D$4:$AB$2598,BG$3,FALSE)&lt;&gt;0,VLOOKUP($B55,'Draft List'!$D$4:$AB$2598,BG$3,FALSE),"")</f>
        <v/>
      </c>
      <c r="BH55" t="str">
        <f>IF(VLOOKUP($B55,'Draft List'!$D$4:$AB$2598,BH$3,FALSE)&lt;&gt;0,VLOOKUP($B55,'Draft List'!$D$4:$AB$2598,BH$3,FALSE),"")</f>
        <v/>
      </c>
      <c r="BI55" t="str">
        <f>IF(VLOOKUP($B55,'Draft List'!$D$4:$AB$2598,BI$3,FALSE)&lt;&gt;0,VLOOKUP($B55,'Draft List'!$D$4:$AB$2598,BI$3,FALSE),"")</f>
        <v/>
      </c>
      <c r="BJ55" t="str">
        <f>IF(OR(C55="SP",C55="MR",C55="CL"),"P",VLOOKUP($A55,Bat!$A$4:$AP$1287,42,FALSE))</f>
        <v>P</v>
      </c>
    </row>
    <row r="56" spans="1:62">
      <c r="A56" t="str">
        <f>C56&amp;D56&amp;E56</f>
        <v>SPRoberto Díaz21</v>
      </c>
      <c r="B56">
        <f>VLOOKUP($A56,draft_listing_pitchers_stats!$A$1:$B$1324,2,FALSE)</f>
        <v>6017</v>
      </c>
      <c r="C56" s="1" t="s">
        <v>2003</v>
      </c>
      <c r="D56" s="1" t="s">
        <v>1107</v>
      </c>
      <c r="E56" s="1">
        <v>21</v>
      </c>
      <c r="F56" s="1" t="s">
        <v>2038</v>
      </c>
      <c r="G56" s="1" t="s">
        <v>2038</v>
      </c>
      <c r="H56" s="1" t="s">
        <v>2033</v>
      </c>
      <c r="I56" s="31" t="s">
        <v>2023</v>
      </c>
      <c r="J56" s="1" t="s">
        <v>2025</v>
      </c>
      <c r="K56" s="31" t="s">
        <v>2025</v>
      </c>
      <c r="L56" s="1">
        <v>5</v>
      </c>
      <c r="M56" s="1">
        <v>4</v>
      </c>
      <c r="N56" s="31">
        <v>2</v>
      </c>
      <c r="O56" s="1">
        <v>6</v>
      </c>
      <c r="P56" s="1">
        <v>5</v>
      </c>
      <c r="Q56" s="31">
        <v>5</v>
      </c>
      <c r="R56" s="1">
        <v>6</v>
      </c>
      <c r="S56" s="1">
        <v>6</v>
      </c>
      <c r="T56" s="1" t="s">
        <v>2027</v>
      </c>
      <c r="U56" s="1" t="s">
        <v>2027</v>
      </c>
      <c r="V56" s="1">
        <v>5</v>
      </c>
      <c r="W56" s="1">
        <v>6</v>
      </c>
      <c r="X56" s="1" t="s">
        <v>2027</v>
      </c>
      <c r="Y56" s="1" t="s">
        <v>2027</v>
      </c>
      <c r="Z56" s="1" t="s">
        <v>2027</v>
      </c>
      <c r="AA56" s="1" t="s">
        <v>2027</v>
      </c>
      <c r="AB56" s="1">
        <v>5</v>
      </c>
      <c r="AC56" s="1">
        <v>6</v>
      </c>
      <c r="AD56" s="1" t="s">
        <v>2027</v>
      </c>
      <c r="AE56" s="1" t="s">
        <v>2027</v>
      </c>
      <c r="AF56" s="1" t="s">
        <v>2027</v>
      </c>
      <c r="AG56" s="1" t="s">
        <v>2027</v>
      </c>
      <c r="AH56" s="1" t="s">
        <v>2027</v>
      </c>
      <c r="AI56" s="1" t="s">
        <v>2027</v>
      </c>
      <c r="AJ56" s="1" t="s">
        <v>2027</v>
      </c>
      <c r="AK56" s="1" t="s">
        <v>2027</v>
      </c>
      <c r="AL56" s="1">
        <v>2</v>
      </c>
      <c r="AM56" s="1">
        <v>2</v>
      </c>
      <c r="AN56" s="1" t="s">
        <v>2027</v>
      </c>
      <c r="AO56" s="31" t="s">
        <v>2027</v>
      </c>
      <c r="AP56" s="1" t="s">
        <v>2047</v>
      </c>
      <c r="AQ56" s="1">
        <v>3</v>
      </c>
      <c r="AR56" s="32">
        <v>0.45</v>
      </c>
      <c r="AS56" s="45" t="s">
        <v>2029</v>
      </c>
      <c r="AT56" s="9">
        <f>($O$3*(L56-$O$1)/$O$2+$P$3*(M56-$P$1)/$P$2+$Q$3*(N56-$P$1)/$Q$2)/SUM($O$3:$Q$3)</f>
        <v>-1.0941032245866273</v>
      </c>
      <c r="AU56" s="9">
        <f>($O$3*(O56-$O$1)/$O$2+$P$3*(P56-$P$1)/$P$2+$Q$3*(Q56-$Q$1)/$Q$2)/SUM($O$3:$Q$3)</f>
        <v>0.46847626525200436</v>
      </c>
      <c r="AV56">
        <f>COUNT(R56:AO56)/2</f>
        <v>4</v>
      </c>
      <c r="AW56">
        <f>COUNTIF(R56:AO56,"&gt;5")/2</f>
        <v>2</v>
      </c>
      <c r="AX56" s="6">
        <f>VLOOKUP(AP56,COND!$A$10:$B$31,2,FALSE)</f>
        <v>1.0249999999999999</v>
      </c>
      <c r="AY56" s="9">
        <f>($AT$3*AT56+$AU$3*AU56+$AV$3*AV56+$AW$3*AW56)*AX56*IF(AQ56&lt;5,0.95,IF(AQ56&lt;7,0.975,1))+$J$3*VLOOKUP(J56,[1]Con!$A$2:$C$7,2,FALSE)+$K$3*VLOOKUP(K56,[1]Con!$A$2:$C$7,3,FALSE)+IF(BA56="SP",$BA$3,0)</f>
        <v>43.292373662794539</v>
      </c>
      <c r="AZ56" s="37">
        <f>STANDARDIZE(AY56,AVERAGE($AY$5:$AY$1116),STDEVP($AY$5:$AY$1116))</f>
        <v>0.74394272349903279</v>
      </c>
      <c r="BA56" t="str">
        <f>IF(OR(AND(AQ56&gt;7,AW56&gt;1),AND(AQ56&gt;4,AV56&gt;2)),"SP","RP")</f>
        <v>RP</v>
      </c>
      <c r="BC56">
        <f>VLOOKUP($A56,'Draft List'!$A$4:$V$530,22,FALSE)</f>
        <v>0</v>
      </c>
      <c r="BD56" t="s">
        <v>5</v>
      </c>
      <c r="BE56" t="str">
        <f>IF(AVERAGE($O56:$Q56)&gt;=6,"Likely",IF(AVERAGE($O56:$Q56)&gt;=4,"Possible","Unlikely"))</f>
        <v>Possible</v>
      </c>
      <c r="BG56" t="str">
        <f>IF(VLOOKUP($B56,'Draft List'!$D$4:$AB$2598,BG$3,FALSE)&lt;&gt;0,VLOOKUP($B56,'Draft List'!$D$4:$AB$2598,BG$3,FALSE),"")</f>
        <v/>
      </c>
      <c r="BH56" t="str">
        <f>IF(VLOOKUP($B56,'Draft List'!$D$4:$AB$2598,BH$3,FALSE)&lt;&gt;0,VLOOKUP($B56,'Draft List'!$D$4:$AB$2598,BH$3,FALSE),"")</f>
        <v/>
      </c>
      <c r="BI56" t="str">
        <f>IF(VLOOKUP($B56,'Draft List'!$D$4:$AB$2598,BI$3,FALSE)&lt;&gt;0,VLOOKUP($B56,'Draft List'!$D$4:$AB$2598,BI$3,FALSE),"")</f>
        <v/>
      </c>
      <c r="BJ56" t="str">
        <f>IF(OR(C56="SP",C56="MR",C56="CL"),"P",VLOOKUP($A56,Bat!$A$4:$AP$1287,42,FALSE))</f>
        <v>P</v>
      </c>
    </row>
    <row r="57" spans="1:62">
      <c r="A57" t="str">
        <f>C57&amp;D57&amp;E57</f>
        <v>SPVicente Lópes21</v>
      </c>
      <c r="B57">
        <f>VLOOKUP($A57,draft_listing_pitchers_stats!$A$1:$B$1324,2,FALSE)</f>
        <v>6639</v>
      </c>
      <c r="C57" s="1" t="s">
        <v>2003</v>
      </c>
      <c r="D57" s="1" t="s">
        <v>1130</v>
      </c>
      <c r="E57" s="1">
        <v>21</v>
      </c>
      <c r="F57" s="1" t="s">
        <v>2022</v>
      </c>
      <c r="G57" s="1" t="s">
        <v>2022</v>
      </c>
      <c r="H57" s="1" t="s">
        <v>2033</v>
      </c>
      <c r="I57" s="31" t="s">
        <v>2023</v>
      </c>
      <c r="J57" s="1" t="s">
        <v>2036</v>
      </c>
      <c r="K57" s="31" t="s">
        <v>2026</v>
      </c>
      <c r="L57" s="1">
        <v>4</v>
      </c>
      <c r="M57" s="1">
        <v>6</v>
      </c>
      <c r="N57" s="31">
        <v>2</v>
      </c>
      <c r="O57" s="1">
        <v>5</v>
      </c>
      <c r="P57" s="1">
        <v>6</v>
      </c>
      <c r="Q57" s="31">
        <v>5</v>
      </c>
      <c r="R57" s="1" t="s">
        <v>2027</v>
      </c>
      <c r="S57" s="1" t="s">
        <v>2027</v>
      </c>
      <c r="T57" s="1">
        <v>3</v>
      </c>
      <c r="U57" s="1">
        <v>4</v>
      </c>
      <c r="V57" s="1">
        <v>5</v>
      </c>
      <c r="W57" s="1">
        <v>5</v>
      </c>
      <c r="X57" s="1" t="s">
        <v>2027</v>
      </c>
      <c r="Y57" s="1" t="s">
        <v>2027</v>
      </c>
      <c r="Z57" s="1" t="s">
        <v>2027</v>
      </c>
      <c r="AA57" s="1" t="s">
        <v>2027</v>
      </c>
      <c r="AB57" s="1" t="s">
        <v>2027</v>
      </c>
      <c r="AC57" s="1" t="s">
        <v>2027</v>
      </c>
      <c r="AD57" s="1">
        <v>5</v>
      </c>
      <c r="AE57" s="1">
        <v>5</v>
      </c>
      <c r="AF57" s="1">
        <v>4</v>
      </c>
      <c r="AG57" s="1">
        <v>4</v>
      </c>
      <c r="AH57" s="1" t="s">
        <v>2027</v>
      </c>
      <c r="AI57" s="1" t="s">
        <v>2027</v>
      </c>
      <c r="AJ57" s="1" t="s">
        <v>2027</v>
      </c>
      <c r="AK57" s="1" t="s">
        <v>2027</v>
      </c>
      <c r="AL57" s="1" t="s">
        <v>2027</v>
      </c>
      <c r="AM57" s="1" t="s">
        <v>2027</v>
      </c>
      <c r="AN57" s="1" t="s">
        <v>2027</v>
      </c>
      <c r="AO57" s="31" t="s">
        <v>2027</v>
      </c>
      <c r="AP57" s="1" t="s">
        <v>2042</v>
      </c>
      <c r="AQ57" s="1">
        <v>5</v>
      </c>
      <c r="AR57" s="32">
        <v>0.57999999999999996</v>
      </c>
      <c r="AS57" s="45" t="s">
        <v>2029</v>
      </c>
      <c r="AT57" s="9">
        <f>($O$3*(L57-$O$1)/$O$2+$P$3*(M57-$P$1)/$P$2+$Q$3*(N57-$P$1)/$Q$2)/SUM($O$3:$Q$3)</f>
        <v>-0.89793111623569011</v>
      </c>
      <c r="AU57" s="9">
        <f>($O$3*(O57-$O$1)/$O$2+$P$3*(P57-$P$1)/$P$2+$Q$3*(Q57-$Q$1)/$Q$2)/SUM($O$3:$Q$3)</f>
        <v>0.4692166571728863</v>
      </c>
      <c r="AV57">
        <f>COUNT(R57:AO57)/2</f>
        <v>4</v>
      </c>
      <c r="AW57">
        <f>COUNTIF(R57:AO57,"&gt;5")/2</f>
        <v>0</v>
      </c>
      <c r="AX57" s="6">
        <f>VLOOKUP(AP57,COND!$A$10:$B$31,2,FALSE)</f>
        <v>1</v>
      </c>
      <c r="AY57" s="9">
        <f>($AT$3*AT57+$AU$3*AU57+$AV$3*AV57+$AW$3*AW57)*AX57*IF(AQ57&lt;5,0.95,IF(AQ57&lt;7,0.975,1))+$J$3*VLOOKUP(J57,[1]Con!$A$2:$C$7,2,FALSE)+$K$3*VLOOKUP(K57,[1]Con!$A$2:$C$7,3,FALSE)+IF(BA57="SP",$BA$3,0)</f>
        <v>43.224628247205324</v>
      </c>
      <c r="AZ57" s="37">
        <f>STANDARDIZE(AY57,AVERAGE($AY$5:$AY$1116),STDEVP($AY$5:$AY$1116))</f>
        <v>0.73856464932924504</v>
      </c>
      <c r="BA57" t="str">
        <f>IF(OR(AND(AQ57&gt;7,AW57&gt;1),AND(AQ57&gt;4,AV57&gt;2)),"SP","RP")</f>
        <v>SP</v>
      </c>
      <c r="BC57">
        <f>VLOOKUP($A57,'Draft List'!$A$4:$V$530,22,FALSE)</f>
        <v>0</v>
      </c>
      <c r="BD57" t="s">
        <v>50</v>
      </c>
      <c r="BE57" t="str">
        <f>IF(AVERAGE($O57:$Q57)&gt;=6,"Likely",IF(AVERAGE($O57:$Q57)&gt;=4,"Possible","Unlikely"))</f>
        <v>Possible</v>
      </c>
      <c r="BG57" t="str">
        <f>IF(VLOOKUP($B57,'Draft List'!$D$4:$AB$2598,BG$3,FALSE)&lt;&gt;0,VLOOKUP($B57,'Draft List'!$D$4:$AB$2598,BG$3,FALSE),"")</f>
        <v/>
      </c>
      <c r="BH57" t="str">
        <f>IF(VLOOKUP($B57,'Draft List'!$D$4:$AB$2598,BH$3,FALSE)&lt;&gt;0,VLOOKUP($B57,'Draft List'!$D$4:$AB$2598,BH$3,FALSE),"")</f>
        <v/>
      </c>
      <c r="BI57" t="str">
        <f>IF(VLOOKUP($B57,'Draft List'!$D$4:$AB$2598,BI$3,FALSE)&lt;&gt;0,VLOOKUP($B57,'Draft List'!$D$4:$AB$2598,BI$3,FALSE),"")</f>
        <v/>
      </c>
      <c r="BJ57" t="str">
        <f>IF(OR(C57="SP",C57="MR",C57="CL"),"P",VLOOKUP($A57,Bat!$A$4:$AP$1287,42,FALSE))</f>
        <v>P</v>
      </c>
    </row>
    <row r="58" spans="1:62">
      <c r="A58" t="str">
        <f>C58&amp;D58&amp;E58</f>
        <v>CLClay Thompson21</v>
      </c>
      <c r="B58">
        <f>VLOOKUP($A58,draft_listing_pitchers_stats!$A$1:$B$1324,2,FALSE)</f>
        <v>2299</v>
      </c>
      <c r="C58" s="1" t="s">
        <v>2032</v>
      </c>
      <c r="D58" s="1" t="s">
        <v>1093</v>
      </c>
      <c r="E58" s="1">
        <v>21</v>
      </c>
      <c r="F58" s="1" t="s">
        <v>2022</v>
      </c>
      <c r="G58" s="1" t="s">
        <v>2022</v>
      </c>
      <c r="H58" s="1" t="s">
        <v>2033</v>
      </c>
      <c r="I58" s="31" t="s">
        <v>2023</v>
      </c>
      <c r="J58" s="1" t="s">
        <v>2030</v>
      </c>
      <c r="K58" s="31" t="s">
        <v>2025</v>
      </c>
      <c r="L58" s="1">
        <v>5</v>
      </c>
      <c r="M58" s="1">
        <v>3</v>
      </c>
      <c r="N58" s="31">
        <v>3</v>
      </c>
      <c r="O58" s="1">
        <v>8</v>
      </c>
      <c r="P58" s="1">
        <v>3</v>
      </c>
      <c r="Q58" s="31">
        <v>5</v>
      </c>
      <c r="R58" s="1">
        <v>7</v>
      </c>
      <c r="S58" s="1">
        <v>8</v>
      </c>
      <c r="T58" s="1">
        <v>2</v>
      </c>
      <c r="U58" s="1">
        <v>7</v>
      </c>
      <c r="V58" s="1">
        <v>3</v>
      </c>
      <c r="W58" s="1">
        <v>3</v>
      </c>
      <c r="X58" s="1" t="s">
        <v>2027</v>
      </c>
      <c r="Y58" s="1" t="s">
        <v>2027</v>
      </c>
      <c r="Z58" s="1" t="s">
        <v>2027</v>
      </c>
      <c r="AA58" s="1" t="s">
        <v>2027</v>
      </c>
      <c r="AB58" s="1" t="s">
        <v>2027</v>
      </c>
      <c r="AC58" s="1" t="s">
        <v>2027</v>
      </c>
      <c r="AD58" s="1" t="s">
        <v>2027</v>
      </c>
      <c r="AE58" s="1" t="s">
        <v>2027</v>
      </c>
      <c r="AF58" s="1" t="s">
        <v>2027</v>
      </c>
      <c r="AG58" s="1" t="s">
        <v>2027</v>
      </c>
      <c r="AH58" s="1" t="s">
        <v>2027</v>
      </c>
      <c r="AI58" s="1" t="s">
        <v>2027</v>
      </c>
      <c r="AJ58" s="1" t="s">
        <v>2027</v>
      </c>
      <c r="AK58" s="1" t="s">
        <v>2027</v>
      </c>
      <c r="AL58" s="1" t="s">
        <v>2027</v>
      </c>
      <c r="AM58" s="1" t="s">
        <v>2027</v>
      </c>
      <c r="AN58" s="1" t="s">
        <v>2027</v>
      </c>
      <c r="AO58" s="31" t="s">
        <v>2027</v>
      </c>
      <c r="AP58" s="1" t="s">
        <v>2028</v>
      </c>
      <c r="AQ58" s="1">
        <v>1</v>
      </c>
      <c r="AR58" s="32">
        <v>0.43</v>
      </c>
      <c r="AS58" s="45" t="s">
        <v>2029</v>
      </c>
      <c r="AT58" s="9">
        <f>($O$3*(L58-$O$1)/$O$2+$P$3*(M58-$P$1)/$P$2+$Q$3*(N58-$P$1)/$Q$2)/SUM($O$3:$Q$3)</f>
        <v>-1.0472143749625724</v>
      </c>
      <c r="AU58" s="9">
        <f>($O$3*(O58-$O$1)/$O$2+$P$3*(P58-$P$1)/$P$2+$Q$3*(Q58-$Q$1)/$Q$2)/SUM($O$3:$Q$3)</f>
        <v>0.46699548141024055</v>
      </c>
      <c r="AV58">
        <f>COUNT(R58:AO58)/2</f>
        <v>3</v>
      </c>
      <c r="AW58">
        <f>COUNTIF(R58:AO58,"&gt;5")/2</f>
        <v>1.5</v>
      </c>
      <c r="AX58" s="6">
        <f>VLOOKUP(AP58,COND!$A$10:$B$31,2,FALSE)</f>
        <v>1.05</v>
      </c>
      <c r="AY58" s="9">
        <f>($AT$3*AT58+$AU$3*AU58+$AV$3*AV58+$AW$3*AW58)*AX58*IF(AQ58&lt;5,0.95,IF(AQ58&lt;7,0.975,1))+$J$3*VLOOKUP(J58,[1]Con!$A$2:$C$7,2,FALSE)+$K$3*VLOOKUP(K58,[1]Con!$A$2:$C$7,3,FALSE)+IF(BA58="SP",$BA$3,0)</f>
        <v>43.224203086329268</v>
      </c>
      <c r="AZ58" s="37">
        <f>STANDARDIZE(AY58,AVERAGE($AY$5:$AY$1116),STDEVP($AY$5:$AY$1116))</f>
        <v>0.73853089727819288</v>
      </c>
      <c r="BA58" t="str">
        <f>IF(OR(AND(AQ58&gt;7,AW58&gt;1),AND(AQ58&gt;4,AV58&gt;2)),"SP","RP")</f>
        <v>RP</v>
      </c>
      <c r="BC58">
        <f>VLOOKUP($A58,'Draft List'!$A$4:$V$530,22,FALSE)</f>
        <v>0</v>
      </c>
      <c r="BD58" t="s">
        <v>155</v>
      </c>
      <c r="BE58" t="str">
        <f>IF(AVERAGE($O58:$Q58)&gt;=6,"Likely",IF(AVERAGE($O58:$Q58)&gt;=4,"Possible","Unlikely"))</f>
        <v>Possible</v>
      </c>
      <c r="BG58" t="str">
        <f>IF(VLOOKUP($B58,'Draft List'!$D$4:$AB$2598,BG$3,FALSE)&lt;&gt;0,VLOOKUP($B58,'Draft List'!$D$4:$AB$2598,BG$3,FALSE),"")</f>
        <v/>
      </c>
      <c r="BH58" t="str">
        <f>IF(VLOOKUP($B58,'Draft List'!$D$4:$AB$2598,BH$3,FALSE)&lt;&gt;0,VLOOKUP($B58,'Draft List'!$D$4:$AB$2598,BH$3,FALSE),"")</f>
        <v/>
      </c>
      <c r="BI58" t="str">
        <f>IF(VLOOKUP($B58,'Draft List'!$D$4:$AB$2598,BI$3,FALSE)&lt;&gt;0,VLOOKUP($B58,'Draft List'!$D$4:$AB$2598,BI$3,FALSE),"")</f>
        <v/>
      </c>
      <c r="BJ58" t="str">
        <f>IF(OR(C58="SP",C58="MR",C58="CL"),"P",VLOOKUP($A58,Bat!$A$4:$AP$1287,42,FALSE))</f>
        <v>P</v>
      </c>
    </row>
    <row r="59" spans="1:62">
      <c r="A59" t="str">
        <f>C59&amp;D59&amp;E59</f>
        <v>SPKeith Gordon21</v>
      </c>
      <c r="B59">
        <f>VLOOKUP($A59,draft_listing_pitchers_stats!$A$1:$B$1324,2,FALSE)</f>
        <v>3069</v>
      </c>
      <c r="C59" s="1" t="s">
        <v>2003</v>
      </c>
      <c r="D59" s="1" t="s">
        <v>1295</v>
      </c>
      <c r="E59" s="1">
        <v>21</v>
      </c>
      <c r="F59" s="1" t="s">
        <v>2038</v>
      </c>
      <c r="G59" s="1" t="s">
        <v>2038</v>
      </c>
      <c r="H59" s="1" t="s">
        <v>2033</v>
      </c>
      <c r="I59" s="31" t="s">
        <v>2023</v>
      </c>
      <c r="J59" s="1" t="s">
        <v>2025</v>
      </c>
      <c r="K59" s="31" t="s">
        <v>2025</v>
      </c>
      <c r="L59" s="1">
        <v>4</v>
      </c>
      <c r="M59" s="1">
        <v>5</v>
      </c>
      <c r="N59" s="31">
        <v>4</v>
      </c>
      <c r="O59" s="1">
        <v>4</v>
      </c>
      <c r="P59" s="1">
        <v>6</v>
      </c>
      <c r="Q59" s="31">
        <v>6</v>
      </c>
      <c r="R59" s="1" t="s">
        <v>2027</v>
      </c>
      <c r="S59" s="1" t="s">
        <v>2027</v>
      </c>
      <c r="T59" s="1" t="s">
        <v>2027</v>
      </c>
      <c r="U59" s="1" t="s">
        <v>2027</v>
      </c>
      <c r="V59" s="1">
        <v>4</v>
      </c>
      <c r="W59" s="1">
        <v>6</v>
      </c>
      <c r="X59" s="1" t="s">
        <v>2027</v>
      </c>
      <c r="Y59" s="1" t="s">
        <v>2027</v>
      </c>
      <c r="Z59" s="1" t="s">
        <v>2027</v>
      </c>
      <c r="AA59" s="1" t="s">
        <v>2027</v>
      </c>
      <c r="AB59" s="1" t="s">
        <v>2027</v>
      </c>
      <c r="AC59" s="1" t="s">
        <v>2027</v>
      </c>
      <c r="AD59" s="1">
        <v>5</v>
      </c>
      <c r="AE59" s="1">
        <v>6</v>
      </c>
      <c r="AF59" s="1" t="s">
        <v>2027</v>
      </c>
      <c r="AG59" s="1" t="s">
        <v>2027</v>
      </c>
      <c r="AH59" s="1" t="s">
        <v>2027</v>
      </c>
      <c r="AI59" s="1" t="s">
        <v>2027</v>
      </c>
      <c r="AJ59" s="1" t="s">
        <v>2027</v>
      </c>
      <c r="AK59" s="1" t="s">
        <v>2027</v>
      </c>
      <c r="AL59" s="1" t="s">
        <v>2027</v>
      </c>
      <c r="AM59" s="1" t="s">
        <v>2027</v>
      </c>
      <c r="AN59" s="1" t="s">
        <v>2027</v>
      </c>
      <c r="AO59" s="31" t="s">
        <v>2027</v>
      </c>
      <c r="AP59" s="1" t="s">
        <v>2039</v>
      </c>
      <c r="AQ59" s="1">
        <v>3</v>
      </c>
      <c r="AR59" s="32">
        <v>0.61</v>
      </c>
      <c r="AS59" s="45" t="s">
        <v>2029</v>
      </c>
      <c r="AT59" s="9">
        <f>($O$3*(L59-$O$1)/$O$2+$P$3*(M59-$P$1)/$P$2+$Q$3*(N59-$P$1)/$Q$2)/SUM($O$3:$Q$3)</f>
        <v>-0.60872170055752461</v>
      </c>
      <c r="AU59" s="9">
        <f>($O$3*(O59-$O$1)/$O$2+$P$3*(P59-$P$1)/$P$2+$Q$3*(Q59-$Q$1)/$Q$2)/SUM($O$3:$Q$3)</f>
        <v>0.51684589871782316</v>
      </c>
      <c r="AV59">
        <f>COUNT(R59:AO59)/2</f>
        <v>2</v>
      </c>
      <c r="AW59">
        <f>COUNTIF(R59:AO59,"&gt;5")/2</f>
        <v>1</v>
      </c>
      <c r="AX59" s="6">
        <f>VLOOKUP(AP59,COND!$A$10:$B$31,2,FALSE)</f>
        <v>1.0249999999999999</v>
      </c>
      <c r="AY59" s="9">
        <f>($AT$3*AT59+$AU$3*AU59+$AV$3*AV59+$AW$3*AW59)*AX59*IF(AQ59&lt;5,0.95,IF(AQ59&lt;7,0.975,1))+$J$3*VLOOKUP(J59,[1]Con!$A$2:$C$7,2,FALSE)+$K$3*VLOOKUP(K59,[1]Con!$A$2:$C$7,3,FALSE)+IF(BA59="SP",$BA$3,0)</f>
        <v>42.137962826346026</v>
      </c>
      <c r="AZ59" s="37">
        <f>STANDARDIZE(AY59,AVERAGE($AY$5:$AY$1116),STDEVP($AY$5:$AY$1116))</f>
        <v>0.65229804102379274</v>
      </c>
      <c r="BA59" t="str">
        <f>IF(OR(AND(AQ59&gt;7,AW59&gt;1),AND(AQ59&gt;4,AV59&gt;2)),"SP","RP")</f>
        <v>RP</v>
      </c>
      <c r="BC59">
        <f>VLOOKUP($A59,'Draft List'!$A$4:$V$530,22,FALSE)</f>
        <v>0</v>
      </c>
      <c r="BD59" t="s">
        <v>154</v>
      </c>
      <c r="BE59" t="str">
        <f>IF(AVERAGE($O59:$Q59)&gt;=6,"Likely",IF(AVERAGE($O59:$Q59)&gt;=4,"Possible","Unlikely"))</f>
        <v>Possible</v>
      </c>
      <c r="BG59" t="str">
        <f>IF(VLOOKUP($B59,'Draft List'!$D$4:$AB$2598,BG$3,FALSE)&lt;&gt;0,VLOOKUP($B59,'Draft List'!$D$4:$AB$2598,BG$3,FALSE),"")</f>
        <v/>
      </c>
      <c r="BH59" t="str">
        <f>IF(VLOOKUP($B59,'Draft List'!$D$4:$AB$2598,BH$3,FALSE)&lt;&gt;0,VLOOKUP($B59,'Draft List'!$D$4:$AB$2598,BH$3,FALSE),"")</f>
        <v/>
      </c>
      <c r="BI59" t="str">
        <f>IF(VLOOKUP($B59,'Draft List'!$D$4:$AB$2598,BI$3,FALSE)&lt;&gt;0,VLOOKUP($B59,'Draft List'!$D$4:$AB$2598,BI$3,FALSE),"")</f>
        <v/>
      </c>
      <c r="BJ59" t="str">
        <f>IF(OR(C59="SP",C59="MR",C59="CL"),"P",VLOOKUP($A59,Bat!$A$4:$AP$1287,42,FALSE))</f>
        <v>P</v>
      </c>
    </row>
    <row r="60" spans="1:62">
      <c r="A60" t="str">
        <f>C60&amp;D60&amp;E60</f>
        <v>MRMáximo Padilla21</v>
      </c>
      <c r="B60" t="e">
        <f>VLOOKUP($A60,draft_listing_pitchers_stats!$A$1:$B$1324,2,FALSE)</f>
        <v>#N/A</v>
      </c>
      <c r="C60" s="1" t="s">
        <v>2021</v>
      </c>
      <c r="D60" s="1" t="s">
        <v>1142</v>
      </c>
      <c r="E60" s="1">
        <v>21</v>
      </c>
      <c r="F60" s="1" t="s">
        <v>2022</v>
      </c>
      <c r="G60" s="1" t="s">
        <v>2022</v>
      </c>
      <c r="H60" s="1" t="s">
        <v>2033</v>
      </c>
      <c r="I60" s="31" t="s">
        <v>2023</v>
      </c>
      <c r="J60" s="1" t="s">
        <v>2025</v>
      </c>
      <c r="K60" s="31" t="s">
        <v>2025</v>
      </c>
      <c r="L60" s="1">
        <v>4</v>
      </c>
      <c r="M60" s="1">
        <v>5</v>
      </c>
      <c r="N60" s="31">
        <v>2</v>
      </c>
      <c r="O60" s="1">
        <v>6</v>
      </c>
      <c r="P60" s="1">
        <v>5</v>
      </c>
      <c r="Q60" s="31">
        <v>5</v>
      </c>
      <c r="R60" s="1" t="s">
        <v>2027</v>
      </c>
      <c r="S60" s="1" t="s">
        <v>2027</v>
      </c>
      <c r="T60" s="1" t="s">
        <v>2027</v>
      </c>
      <c r="U60" s="1" t="s">
        <v>2027</v>
      </c>
      <c r="V60" s="1">
        <v>3</v>
      </c>
      <c r="W60" s="1">
        <v>7</v>
      </c>
      <c r="X60" s="1" t="s">
        <v>2027</v>
      </c>
      <c r="Y60" s="1" t="s">
        <v>2027</v>
      </c>
      <c r="Z60" s="1" t="s">
        <v>2027</v>
      </c>
      <c r="AA60" s="1" t="s">
        <v>2027</v>
      </c>
      <c r="AB60" s="1" t="s">
        <v>2027</v>
      </c>
      <c r="AC60" s="1" t="s">
        <v>2027</v>
      </c>
      <c r="AD60" s="1">
        <v>6</v>
      </c>
      <c r="AE60" s="1">
        <v>6</v>
      </c>
      <c r="AF60" s="1" t="s">
        <v>2027</v>
      </c>
      <c r="AG60" s="1" t="s">
        <v>2027</v>
      </c>
      <c r="AH60" s="1" t="s">
        <v>2027</v>
      </c>
      <c r="AI60" s="1" t="s">
        <v>2027</v>
      </c>
      <c r="AJ60" s="1" t="s">
        <v>2027</v>
      </c>
      <c r="AK60" s="1" t="s">
        <v>2027</v>
      </c>
      <c r="AL60" s="1" t="s">
        <v>2027</v>
      </c>
      <c r="AM60" s="1" t="s">
        <v>2027</v>
      </c>
      <c r="AN60" s="1" t="s">
        <v>2027</v>
      </c>
      <c r="AO60" s="31" t="s">
        <v>2027</v>
      </c>
      <c r="AP60" s="1" t="s">
        <v>2042</v>
      </c>
      <c r="AQ60" s="1">
        <v>7</v>
      </c>
      <c r="AR60" s="32">
        <v>0.5</v>
      </c>
      <c r="AS60" s="45" t="s">
        <v>2029</v>
      </c>
      <c r="AT60" s="9">
        <f>($O$3*(L60-$O$1)/$O$2+$P$3*(M60-$P$1)/$P$2+$Q$3*(N60-$P$1)/$Q$2)/SUM($O$3:$Q$3)</f>
        <v>-1.0933628326657454</v>
      </c>
      <c r="AU60" s="9">
        <f>($O$3*(O60-$O$1)/$O$2+$P$3*(P60-$P$1)/$P$2+$Q$3*(Q60-$Q$1)/$Q$2)/SUM($O$3:$Q$3)</f>
        <v>0.46847626525200436</v>
      </c>
      <c r="AV60">
        <f>COUNT(R60:AO60)/2</f>
        <v>2</v>
      </c>
      <c r="AW60">
        <f>COUNTIF(R60:AO60,"&gt;5")/2</f>
        <v>1.5</v>
      </c>
      <c r="AX60" s="6">
        <f>VLOOKUP(AP60,COND!$A$10:$B$31,2,FALSE)</f>
        <v>1</v>
      </c>
      <c r="AY60" s="9">
        <f>($AT$3*AT60+$AU$3*AU60+$AV$3*AV60+$AW$3*AW60)*AX60*IF(AQ60&lt;5,0.95,IF(AQ60&lt;7,0.975,1))+$J$3*VLOOKUP(J60,[1]Con!$A$2:$C$7,2,FALSE)+$K$3*VLOOKUP(K60,[1]Con!$A$2:$C$7,3,FALSE)+IF(BA60="SP",$BA$3,0)</f>
        <v>42.025852738506941</v>
      </c>
      <c r="AZ60" s="37">
        <f>STANDARDIZE(AY60,AVERAGE($AY$5:$AY$1116),STDEVP($AY$5:$AY$1116))</f>
        <v>0.64339800900928701</v>
      </c>
      <c r="BA60" t="str">
        <f>IF(OR(AND(AQ60&gt;7,AW60&gt;1),AND(AQ60&gt;4,AV60&gt;2)),"SP","RP")</f>
        <v>RP</v>
      </c>
      <c r="BC60" t="e">
        <f>VLOOKUP($A60,'Draft List'!$A$4:$V$530,22,FALSE)</f>
        <v>#N/A</v>
      </c>
      <c r="BD60" t="s">
        <v>29</v>
      </c>
      <c r="BE60" t="str">
        <f>IF(AVERAGE($O60:$Q60)&gt;=6,"Likely",IF(AVERAGE($O60:$Q60)&gt;=4,"Possible","Unlikely"))</f>
        <v>Possible</v>
      </c>
      <c r="BG60" t="e">
        <f>IF(VLOOKUP($B60,'Draft List'!$D$4:$AB$2598,BG$3,FALSE)&lt;&gt;0,VLOOKUP($B60,'Draft List'!$D$4:$AB$2598,BG$3,FALSE),"")</f>
        <v>#N/A</v>
      </c>
      <c r="BH60" t="e">
        <f>IF(VLOOKUP($B60,'Draft List'!$D$4:$AB$2598,BH$3,FALSE)&lt;&gt;0,VLOOKUP($B60,'Draft List'!$D$4:$AB$2598,BH$3,FALSE),"")</f>
        <v>#N/A</v>
      </c>
      <c r="BI60" t="e">
        <f>IF(VLOOKUP($B60,'Draft List'!$D$4:$AB$2598,BI$3,FALSE)&lt;&gt;0,VLOOKUP($B60,'Draft List'!$D$4:$AB$2598,BI$3,FALSE),"")</f>
        <v>#N/A</v>
      </c>
      <c r="BJ60" t="str">
        <f>IF(OR(C60="SP",C60="MR",C60="CL"),"P",VLOOKUP($A60,Bat!$A$4:$AP$1287,42,FALSE))</f>
        <v>P</v>
      </c>
    </row>
    <row r="61" spans="1:62">
      <c r="A61" t="str">
        <f>C61&amp;D61&amp;E61</f>
        <v>SPTom Harrell18</v>
      </c>
      <c r="B61">
        <f>VLOOKUP($A61,draft_listing_pitchers_stats!$A$1:$B$1324,2,FALSE)</f>
        <v>13914</v>
      </c>
      <c r="C61" s="1" t="s">
        <v>2003</v>
      </c>
      <c r="D61" s="1" t="s">
        <v>1120</v>
      </c>
      <c r="E61" s="1">
        <v>18</v>
      </c>
      <c r="F61" s="1" t="s">
        <v>2022</v>
      </c>
      <c r="G61" s="1" t="s">
        <v>2038</v>
      </c>
      <c r="H61" s="1" t="s">
        <v>2033</v>
      </c>
      <c r="I61" s="31" t="s">
        <v>2023</v>
      </c>
      <c r="J61" s="1" t="s">
        <v>2030</v>
      </c>
      <c r="K61" s="31" t="s">
        <v>2036</v>
      </c>
      <c r="L61" s="1">
        <v>2</v>
      </c>
      <c r="M61" s="1">
        <v>4</v>
      </c>
      <c r="N61" s="31">
        <v>1</v>
      </c>
      <c r="O61" s="1">
        <v>5</v>
      </c>
      <c r="P61" s="1">
        <v>4</v>
      </c>
      <c r="Q61" s="31">
        <v>6</v>
      </c>
      <c r="R61" s="1">
        <v>4</v>
      </c>
      <c r="S61" s="1">
        <v>5</v>
      </c>
      <c r="T61" s="1">
        <v>2</v>
      </c>
      <c r="U61" s="1">
        <v>4</v>
      </c>
      <c r="V61" s="1" t="s">
        <v>2027</v>
      </c>
      <c r="W61" s="1" t="s">
        <v>2027</v>
      </c>
      <c r="X61" s="1">
        <v>2</v>
      </c>
      <c r="Y61" s="1">
        <v>6</v>
      </c>
      <c r="Z61" s="1" t="s">
        <v>2027</v>
      </c>
      <c r="AA61" s="1" t="s">
        <v>2027</v>
      </c>
      <c r="AB61" s="1" t="s">
        <v>2027</v>
      </c>
      <c r="AC61" s="1" t="s">
        <v>2027</v>
      </c>
      <c r="AD61" s="1" t="s">
        <v>2027</v>
      </c>
      <c r="AE61" s="1" t="s">
        <v>2027</v>
      </c>
      <c r="AF61" s="1" t="s">
        <v>2027</v>
      </c>
      <c r="AG61" s="1" t="s">
        <v>2027</v>
      </c>
      <c r="AH61" s="1" t="s">
        <v>2027</v>
      </c>
      <c r="AI61" s="1" t="s">
        <v>2027</v>
      </c>
      <c r="AJ61" s="1" t="s">
        <v>2027</v>
      </c>
      <c r="AK61" s="1" t="s">
        <v>2027</v>
      </c>
      <c r="AL61" s="1" t="s">
        <v>2027</v>
      </c>
      <c r="AM61" s="1" t="s">
        <v>2027</v>
      </c>
      <c r="AN61" s="1" t="s">
        <v>2027</v>
      </c>
      <c r="AO61" s="31" t="s">
        <v>2027</v>
      </c>
      <c r="AP61" s="1" t="s">
        <v>2034</v>
      </c>
      <c r="AQ61" s="1">
        <v>7</v>
      </c>
      <c r="AR61" s="32">
        <v>0.53</v>
      </c>
      <c r="AS61" s="45">
        <v>2800000</v>
      </c>
      <c r="AT61" s="9">
        <f>($O$3*(L61-$O$1)/$O$2+$P$3*(M61-$P$1)/$P$2+$Q$3*(N61-$P$1)/$Q$2)/SUM($O$3:$Q$3)</f>
        <v>-1.9204977641682581</v>
      </c>
      <c r="AU61" s="9">
        <f>($O$3*(O61-$O$1)/$O$2+$P$3*(P61-$P$1)/$P$2+$Q$3*(Q61-$Q$1)/$Q$2)/SUM($O$3:$Q$3)</f>
        <v>0.32067379036688581</v>
      </c>
      <c r="AV61">
        <f>COUNT(R61:AO61)/2</f>
        <v>3</v>
      </c>
      <c r="AW61">
        <f>COUNTIF(R61:AO61,"&gt;5")/2</f>
        <v>0.5</v>
      </c>
      <c r="AX61" s="6">
        <f>VLOOKUP(AP61,COND!$A$10:$B$31,2,FALSE)</f>
        <v>1</v>
      </c>
      <c r="AY61" s="9">
        <f>($AT$3*AT61+$AU$3*AU61+$AV$3*AV61+$AW$3*AW61)*AX61*IF(AQ61&lt;5,0.95,IF(AQ61&lt;7,0.975,1))+$J$3*VLOOKUP(J61,[1]Con!$A$2:$C$7,2,FALSE)+$K$3*VLOOKUP(K61,[1]Con!$A$2:$C$7,3,FALSE)+IF(BA61="SP",$BA$3,0)</f>
        <v>41.954376254504069</v>
      </c>
      <c r="AZ61" s="37">
        <f>STANDARDIZE(AY61,AVERAGE($AY$5:$AY$1116),STDEVP($AY$5:$AY$1116))</f>
        <v>0.6377237382262424</v>
      </c>
      <c r="BA61" t="str">
        <f>IF(OR(AND(AQ61&gt;7,AW61&gt;1),AND(AQ61&gt;4,AV61&gt;2)),"SP","RP")</f>
        <v>SP</v>
      </c>
      <c r="BC61">
        <f>VLOOKUP($A61,'Draft List'!$A$4:$V$530,22,FALSE)</f>
        <v>0</v>
      </c>
      <c r="BD61" t="s">
        <v>162</v>
      </c>
      <c r="BE61" t="str">
        <f>IF(AVERAGE($O61:$Q61)&gt;=6,"Likely",IF(AVERAGE($O61:$Q61)&gt;=4,"Possible","Unlikely"))</f>
        <v>Possible</v>
      </c>
      <c r="BG61" t="str">
        <f>IF(VLOOKUP($B61,'Draft List'!$D$4:$AB$2598,BG$3,FALSE)&lt;&gt;0,VLOOKUP($B61,'Draft List'!$D$4:$AB$2598,BG$3,FALSE),"")</f>
        <v/>
      </c>
      <c r="BH61" t="str">
        <f>IF(VLOOKUP($B61,'Draft List'!$D$4:$AB$2598,BH$3,FALSE)&lt;&gt;0,VLOOKUP($B61,'Draft List'!$D$4:$AB$2598,BH$3,FALSE),"")</f>
        <v/>
      </c>
      <c r="BI61" t="str">
        <f>IF(VLOOKUP($B61,'Draft List'!$D$4:$AB$2598,BI$3,FALSE)&lt;&gt;0,VLOOKUP($B61,'Draft List'!$D$4:$AB$2598,BI$3,FALSE),"")</f>
        <v/>
      </c>
      <c r="BJ61" t="str">
        <f>IF(OR(C61="SP",C61="MR",C61="CL"),"P",VLOOKUP($A61,Bat!$A$4:$AP$1287,42,FALSE))</f>
        <v>P</v>
      </c>
    </row>
    <row r="62" spans="1:62">
      <c r="A62" t="str">
        <f>C62&amp;D62&amp;E62</f>
        <v>MRSteven Crawford21</v>
      </c>
      <c r="B62">
        <f>VLOOKUP($A62,draft_listing_pitchers_stats!$A$1:$B$1324,2,FALSE)</f>
        <v>2527</v>
      </c>
      <c r="C62" s="1" t="s">
        <v>2021</v>
      </c>
      <c r="D62" s="1" t="s">
        <v>1104</v>
      </c>
      <c r="E62" s="1">
        <v>21</v>
      </c>
      <c r="F62" s="1" t="s">
        <v>2022</v>
      </c>
      <c r="G62" s="1" t="s">
        <v>2022</v>
      </c>
      <c r="H62" s="1" t="s">
        <v>2033</v>
      </c>
      <c r="I62" s="31" t="s">
        <v>2023</v>
      </c>
      <c r="J62" s="1" t="s">
        <v>2026</v>
      </c>
      <c r="K62" s="31" t="s">
        <v>2025</v>
      </c>
      <c r="L62" s="1">
        <v>5</v>
      </c>
      <c r="M62" s="1">
        <v>4</v>
      </c>
      <c r="N62" s="31">
        <v>2</v>
      </c>
      <c r="O62" s="1">
        <v>6</v>
      </c>
      <c r="P62" s="1">
        <v>4</v>
      </c>
      <c r="Q62" s="31">
        <v>6</v>
      </c>
      <c r="R62" s="1">
        <v>6</v>
      </c>
      <c r="S62" s="1">
        <v>7</v>
      </c>
      <c r="T62" s="1" t="s">
        <v>2027</v>
      </c>
      <c r="U62" s="1" t="s">
        <v>2027</v>
      </c>
      <c r="V62" s="1" t="s">
        <v>2027</v>
      </c>
      <c r="W62" s="1" t="s">
        <v>2027</v>
      </c>
      <c r="X62" s="1">
        <v>4</v>
      </c>
      <c r="Y62" s="1">
        <v>5</v>
      </c>
      <c r="Z62" s="1" t="s">
        <v>2027</v>
      </c>
      <c r="AA62" s="1" t="s">
        <v>2027</v>
      </c>
      <c r="AB62" s="1" t="s">
        <v>2027</v>
      </c>
      <c r="AC62" s="1" t="s">
        <v>2027</v>
      </c>
      <c r="AD62" s="1" t="s">
        <v>2027</v>
      </c>
      <c r="AE62" s="1" t="s">
        <v>2027</v>
      </c>
      <c r="AF62" s="1" t="s">
        <v>2027</v>
      </c>
      <c r="AG62" s="1" t="s">
        <v>2027</v>
      </c>
      <c r="AH62" s="1" t="s">
        <v>2027</v>
      </c>
      <c r="AI62" s="1" t="s">
        <v>2027</v>
      </c>
      <c r="AJ62" s="1" t="s">
        <v>2027</v>
      </c>
      <c r="AK62" s="1" t="s">
        <v>2027</v>
      </c>
      <c r="AL62" s="1" t="s">
        <v>2027</v>
      </c>
      <c r="AM62" s="1" t="s">
        <v>2027</v>
      </c>
      <c r="AN62" s="1" t="s">
        <v>2027</v>
      </c>
      <c r="AO62" s="31" t="s">
        <v>2027</v>
      </c>
      <c r="AP62" s="1" t="s">
        <v>2031</v>
      </c>
      <c r="AQ62" s="1">
        <v>6</v>
      </c>
      <c r="AR62" s="32">
        <v>0.4</v>
      </c>
      <c r="AS62" s="45" t="s">
        <v>2029</v>
      </c>
      <c r="AT62" s="9">
        <f>($O$3*(L62-$O$1)/$O$2+$P$3*(M62-$P$1)/$P$2+$Q$3*(N62-$P$1)/$Q$2)/SUM($O$3:$Q$3)</f>
        <v>-1.0941032245866273</v>
      </c>
      <c r="AU62" s="9">
        <f>($O$3*(O62-$O$1)/$O$2+$P$3*(P62-$P$1)/$P$2+$Q$3*(Q62-$Q$1)/$Q$2)/SUM($O$3:$Q$3)</f>
        <v>0.5153651148760594</v>
      </c>
      <c r="AV62">
        <f>COUNT(R62:AO62)/2</f>
        <v>2</v>
      </c>
      <c r="AW62">
        <f>COUNTIF(R62:AO62,"&gt;5")/2</f>
        <v>1</v>
      </c>
      <c r="AX62" s="6">
        <f>VLOOKUP(AP62,COND!$A$10:$B$31,2,FALSE)</f>
        <v>1.05</v>
      </c>
      <c r="AY62" s="9">
        <f>($AT$3*AT62+$AU$3*AU62+$AV$3*AV62+$AW$3*AW62)*AX62*IF(AQ62&lt;5,0.95,IF(AQ62&lt;7,0.975,1))+$J$3*VLOOKUP(J62,[1]Con!$A$2:$C$7,2,FALSE)+$K$3*VLOOKUP(K62,[1]Con!$A$2:$C$7,3,FALSE)+IF(BA62="SP",$BA$3,0)</f>
        <v>41.881520591853203</v>
      </c>
      <c r="AZ62" s="37">
        <f>STANDARDIZE(AY62,AVERAGE($AY$5:$AY$1116),STDEVP($AY$5:$AY$1116))</f>
        <v>0.6319399792217768</v>
      </c>
      <c r="BA62" t="str">
        <f>IF(OR(AND(AQ62&gt;7,AW62&gt;1),AND(AQ62&gt;4,AV62&gt;2)),"SP","RP")</f>
        <v>RP</v>
      </c>
      <c r="BC62">
        <f>VLOOKUP($A62,'Draft List'!$A$4:$V$530,22,FALSE)</f>
        <v>0</v>
      </c>
      <c r="BD62" t="s">
        <v>51</v>
      </c>
      <c r="BE62" t="str">
        <f>IF(AVERAGE($O62:$Q62)&gt;=6,"Likely",IF(AVERAGE($O62:$Q62)&gt;=4,"Possible","Unlikely"))</f>
        <v>Possible</v>
      </c>
      <c r="BG62" t="str">
        <f>IF(VLOOKUP($B62,'Draft List'!$D$4:$AB$2598,BG$3,FALSE)&lt;&gt;0,VLOOKUP($B62,'Draft List'!$D$4:$AB$2598,BG$3,FALSE),"")</f>
        <v/>
      </c>
      <c r="BH62" t="str">
        <f>IF(VLOOKUP($B62,'Draft List'!$D$4:$AB$2598,BH$3,FALSE)&lt;&gt;0,VLOOKUP($B62,'Draft List'!$D$4:$AB$2598,BH$3,FALSE),"")</f>
        <v/>
      </c>
      <c r="BI62" t="str">
        <f>IF(VLOOKUP($B62,'Draft List'!$D$4:$AB$2598,BI$3,FALSE)&lt;&gt;0,VLOOKUP($B62,'Draft List'!$D$4:$AB$2598,BI$3,FALSE),"")</f>
        <v/>
      </c>
      <c r="BJ62" t="str">
        <f>IF(OR(C62="SP",C62="MR",C62="CL"),"P",VLOOKUP($A62,Bat!$A$4:$AP$1287,42,FALSE))</f>
        <v>P</v>
      </c>
    </row>
    <row r="63" spans="1:62">
      <c r="A63" t="str">
        <f>C63&amp;D63&amp;E63</f>
        <v>SPGreg Alexander21</v>
      </c>
      <c r="B63">
        <f>VLOOKUP($A63,draft_listing_pitchers_stats!$A$1:$B$1324,2,FALSE)</f>
        <v>2539</v>
      </c>
      <c r="C63" s="1" t="s">
        <v>2003</v>
      </c>
      <c r="D63" s="1" t="s">
        <v>1096</v>
      </c>
      <c r="E63" s="1">
        <v>21</v>
      </c>
      <c r="F63" s="1" t="s">
        <v>2038</v>
      </c>
      <c r="G63" s="1" t="s">
        <v>2038</v>
      </c>
      <c r="H63" s="1" t="s">
        <v>2033</v>
      </c>
      <c r="I63" s="31" t="s">
        <v>2023</v>
      </c>
      <c r="J63" s="1" t="s">
        <v>2036</v>
      </c>
      <c r="K63" s="31" t="s">
        <v>2036</v>
      </c>
      <c r="L63" s="1">
        <v>3</v>
      </c>
      <c r="M63" s="1">
        <v>6</v>
      </c>
      <c r="N63" s="31">
        <v>2</v>
      </c>
      <c r="O63" s="1">
        <v>4</v>
      </c>
      <c r="P63" s="1">
        <v>6</v>
      </c>
      <c r="Q63" s="31">
        <v>5</v>
      </c>
      <c r="R63" s="1">
        <v>3</v>
      </c>
      <c r="S63" s="1">
        <v>4</v>
      </c>
      <c r="T63" s="1">
        <v>3</v>
      </c>
      <c r="U63" s="1">
        <v>5</v>
      </c>
      <c r="V63" s="1" t="s">
        <v>2027</v>
      </c>
      <c r="W63" s="1" t="s">
        <v>2027</v>
      </c>
      <c r="X63" s="1" t="s">
        <v>2027</v>
      </c>
      <c r="Y63" s="1" t="s">
        <v>2027</v>
      </c>
      <c r="Z63" s="1" t="s">
        <v>2027</v>
      </c>
      <c r="AA63" s="1" t="s">
        <v>2027</v>
      </c>
      <c r="AB63" s="1" t="s">
        <v>2027</v>
      </c>
      <c r="AC63" s="1" t="s">
        <v>2027</v>
      </c>
      <c r="AD63" s="1">
        <v>4</v>
      </c>
      <c r="AE63" s="1">
        <v>5</v>
      </c>
      <c r="AF63" s="1">
        <v>4</v>
      </c>
      <c r="AG63" s="1">
        <v>4</v>
      </c>
      <c r="AH63" s="1" t="s">
        <v>2027</v>
      </c>
      <c r="AI63" s="1" t="s">
        <v>2027</v>
      </c>
      <c r="AJ63" s="1">
        <v>1</v>
      </c>
      <c r="AK63" s="1">
        <v>2</v>
      </c>
      <c r="AL63" s="1" t="s">
        <v>2027</v>
      </c>
      <c r="AM63" s="1" t="s">
        <v>2027</v>
      </c>
      <c r="AN63" s="1" t="s">
        <v>2027</v>
      </c>
      <c r="AO63" s="31" t="s">
        <v>2027</v>
      </c>
      <c r="AP63" s="1" t="s">
        <v>2059</v>
      </c>
      <c r="AQ63" s="1">
        <v>9</v>
      </c>
      <c r="AR63" s="32">
        <v>0.51</v>
      </c>
      <c r="AS63" s="45" t="s">
        <v>2029</v>
      </c>
      <c r="AT63" s="9">
        <f>($O$3*(L63-$O$1)/$O$2+$P$3*(M63-$P$1)/$P$2+$Q$3*(N63-$P$1)/$Q$2)/SUM($O$3:$Q$3)</f>
        <v>-1.0926224407448637</v>
      </c>
      <c r="AU63" s="9">
        <f>($O$3*(O63-$O$1)/$O$2+$P$3*(P63-$P$1)/$P$2+$Q$3*(Q63-$Q$1)/$Q$2)/SUM($O$3:$Q$3)</f>
        <v>0.27452533266371276</v>
      </c>
      <c r="AV63">
        <f>COUNT(R63:AO63)/2</f>
        <v>5</v>
      </c>
      <c r="AW63">
        <f>COUNTIF(R63:AO63,"&gt;5")/2</f>
        <v>0</v>
      </c>
      <c r="AX63" s="6">
        <f>VLOOKUP(AP63,COND!$A$10:$B$31,2,FALSE)</f>
        <v>0.9</v>
      </c>
      <c r="AY63" s="9">
        <f>($AT$3*AT63+$AU$3*AU63+$AV$3*AV63+$AW$3*AW63)*AX63*IF(AQ63&lt;5,0.95,IF(AQ63&lt;7,0.975,1))+$J$3*VLOOKUP(J63,[1]Con!$A$2:$C$7,2,FALSE)+$K$3*VLOOKUP(K63,[1]Con!$A$2:$C$7,3,FALSE)+IF(BA63="SP",$BA$3,0)</f>
        <v>41.094783948612758</v>
      </c>
      <c r="AZ63" s="37">
        <f>STANDARDIZE(AY63,AVERAGE($AY$5:$AY$1116),STDEVP($AY$5:$AY$1116))</f>
        <v>0.5694836789299158</v>
      </c>
      <c r="BA63" t="str">
        <f>IF(OR(AND(AQ63&gt;7,AW63&gt;1),AND(AQ63&gt;4,AV63&gt;2)),"SP","RP")</f>
        <v>SP</v>
      </c>
      <c r="BC63">
        <f>VLOOKUP($A63,'Draft List'!$A$4:$V$530,22,FALSE)</f>
        <v>0</v>
      </c>
      <c r="BD63" t="s">
        <v>45</v>
      </c>
      <c r="BE63" t="str">
        <f>IF(AVERAGE($O63:$Q63)&gt;=6,"Likely",IF(AVERAGE($O63:$Q63)&gt;=4,"Possible","Unlikely"))</f>
        <v>Possible</v>
      </c>
      <c r="BG63" t="str">
        <f>IF(VLOOKUP($B63,'Draft List'!$D$4:$AB$2598,BG$3,FALSE)&lt;&gt;0,VLOOKUP($B63,'Draft List'!$D$4:$AB$2598,BG$3,FALSE),"")</f>
        <v/>
      </c>
      <c r="BH63" t="str">
        <f>IF(VLOOKUP($B63,'Draft List'!$D$4:$AB$2598,BH$3,FALSE)&lt;&gt;0,VLOOKUP($B63,'Draft List'!$D$4:$AB$2598,BH$3,FALSE),"")</f>
        <v/>
      </c>
      <c r="BI63" t="str">
        <f>IF(VLOOKUP($B63,'Draft List'!$D$4:$AB$2598,BI$3,FALSE)&lt;&gt;0,VLOOKUP($B63,'Draft List'!$D$4:$AB$2598,BI$3,FALSE),"")</f>
        <v/>
      </c>
      <c r="BJ63" t="str">
        <f>IF(OR(C63="SP",C63="MR",C63="CL"),"P",VLOOKUP($A63,Bat!$A$4:$AP$1287,42,FALSE))</f>
        <v>P</v>
      </c>
    </row>
    <row r="64" spans="1:62">
      <c r="A64" t="str">
        <f>C64&amp;D64&amp;E64</f>
        <v>MRJúlio Parra21</v>
      </c>
      <c r="B64">
        <f>VLOOKUP($A64,draft_listing_pitchers_stats!$A$1:$B$1324,2,FALSE)</f>
        <v>5794</v>
      </c>
      <c r="C64" s="1" t="s">
        <v>2021</v>
      </c>
      <c r="D64" s="1" t="s">
        <v>1143</v>
      </c>
      <c r="E64" s="1">
        <v>21</v>
      </c>
      <c r="F64" s="1" t="s">
        <v>2038</v>
      </c>
      <c r="G64" s="1" t="s">
        <v>2022</v>
      </c>
      <c r="H64" s="1" t="s">
        <v>2033</v>
      </c>
      <c r="I64" s="31" t="s">
        <v>2023</v>
      </c>
      <c r="J64" s="1" t="s">
        <v>2026</v>
      </c>
      <c r="K64" s="31" t="s">
        <v>2036</v>
      </c>
      <c r="L64" s="1">
        <v>6</v>
      </c>
      <c r="M64" s="1">
        <v>5</v>
      </c>
      <c r="N64" s="31">
        <v>2</v>
      </c>
      <c r="O64" s="1">
        <v>8</v>
      </c>
      <c r="P64" s="1">
        <v>5</v>
      </c>
      <c r="Q64" s="31">
        <v>3</v>
      </c>
      <c r="R64" s="1">
        <v>7</v>
      </c>
      <c r="S64" s="1">
        <v>8</v>
      </c>
      <c r="T64" s="1">
        <v>1</v>
      </c>
      <c r="U64" s="1">
        <v>2</v>
      </c>
      <c r="V64" s="1">
        <v>5</v>
      </c>
      <c r="W64" s="1">
        <v>7</v>
      </c>
      <c r="X64" s="1" t="s">
        <v>2027</v>
      </c>
      <c r="Y64" s="1" t="s">
        <v>2027</v>
      </c>
      <c r="Z64" s="1" t="s">
        <v>2027</v>
      </c>
      <c r="AA64" s="1" t="s">
        <v>2027</v>
      </c>
      <c r="AB64" s="1" t="s">
        <v>2027</v>
      </c>
      <c r="AC64" s="1" t="s">
        <v>2027</v>
      </c>
      <c r="AD64" s="1" t="s">
        <v>2027</v>
      </c>
      <c r="AE64" s="1" t="s">
        <v>2027</v>
      </c>
      <c r="AF64" s="1" t="s">
        <v>2027</v>
      </c>
      <c r="AG64" s="1" t="s">
        <v>2027</v>
      </c>
      <c r="AH64" s="1" t="s">
        <v>2027</v>
      </c>
      <c r="AI64" s="1" t="s">
        <v>2027</v>
      </c>
      <c r="AJ64" s="1" t="s">
        <v>2027</v>
      </c>
      <c r="AK64" s="1" t="s">
        <v>2027</v>
      </c>
      <c r="AL64" s="1" t="s">
        <v>2027</v>
      </c>
      <c r="AM64" s="1" t="s">
        <v>2027</v>
      </c>
      <c r="AN64" s="1" t="s">
        <v>2027</v>
      </c>
      <c r="AO64" s="31" t="s">
        <v>2027</v>
      </c>
      <c r="AP64" s="1" t="s">
        <v>2048</v>
      </c>
      <c r="AQ64" s="1">
        <v>1</v>
      </c>
      <c r="AR64" s="32">
        <v>0.56999999999999995</v>
      </c>
      <c r="AS64" s="45" t="s">
        <v>2029</v>
      </c>
      <c r="AT64" s="9">
        <f>($O$3*(L64-$O$1)/$O$2+$P$3*(M64-$P$1)/$P$2+$Q$3*(N64-$P$1)/$Q$2)/SUM($O$3:$Q$3)</f>
        <v>-0.70398018364739845</v>
      </c>
      <c r="AU64" s="9">
        <f>($O$3*(O64-$O$1)/$O$2+$P$3*(P64-$P$1)/$P$2+$Q$3*(Q64-$Q$1)/$Q$2)/SUM($O$3:$Q$3)</f>
        <v>0.37321778216213058</v>
      </c>
      <c r="AV64">
        <f>COUNT(R64:AO64)/2</f>
        <v>3</v>
      </c>
      <c r="AW64">
        <f>COUNTIF(R64:AO64,"&gt;5")/2</f>
        <v>1.5</v>
      </c>
      <c r="AX64" s="6">
        <f>VLOOKUP(AP64,COND!$A$10:$B$31,2,FALSE)</f>
        <v>1.05</v>
      </c>
      <c r="AY64" s="9">
        <f>($AT$3*AT64+$AU$3*AU64+$AV$3*AV64+$AW$3*AW64)*AX64*IF(AQ64&lt;5,0.95,IF(AQ64&lt;7,0.975,1))+$J$3*VLOOKUP(J64,[1]Con!$A$2:$C$7,2,FALSE)+$K$3*VLOOKUP(K64,[1]Con!$A$2:$C$7,3,FALSE)+IF(BA64="SP",$BA$3,0)</f>
        <v>40.971813207496851</v>
      </c>
      <c r="AZ64" s="37">
        <f>STANDARDIZE(AY64,AVERAGE($AY$5:$AY$1116),STDEVP($AY$5:$AY$1116))</f>
        <v>0.55972145722556776</v>
      </c>
      <c r="BA64" t="str">
        <f>IF(OR(AND(AQ64&gt;7,AW64&gt;1),AND(AQ64&gt;4,AV64&gt;2)),"SP","RP")</f>
        <v>RP</v>
      </c>
      <c r="BC64">
        <f>VLOOKUP($A64,'Draft List'!$A$4:$V$530,22,FALSE)</f>
        <v>0</v>
      </c>
      <c r="BD64" t="s">
        <v>156</v>
      </c>
      <c r="BE64" t="str">
        <f>IF(AVERAGE($O64:$Q64)&gt;=6,"Likely",IF(AVERAGE($O64:$Q64)&gt;=4,"Possible","Unlikely"))</f>
        <v>Possible</v>
      </c>
      <c r="BG64" t="str">
        <f>IF(VLOOKUP($B64,'Draft List'!$D$4:$AB$2598,BG$3,FALSE)&lt;&gt;0,VLOOKUP($B64,'Draft List'!$D$4:$AB$2598,BG$3,FALSE),"")</f>
        <v/>
      </c>
      <c r="BH64" t="str">
        <f>IF(VLOOKUP($B64,'Draft List'!$D$4:$AB$2598,BH$3,FALSE)&lt;&gt;0,VLOOKUP($B64,'Draft List'!$D$4:$AB$2598,BH$3,FALSE),"")</f>
        <v/>
      </c>
      <c r="BI64" t="str">
        <f>IF(VLOOKUP($B64,'Draft List'!$D$4:$AB$2598,BI$3,FALSE)&lt;&gt;0,VLOOKUP($B64,'Draft List'!$D$4:$AB$2598,BI$3,FALSE),"")</f>
        <v/>
      </c>
      <c r="BJ64" t="str">
        <f>IF(OR(C64="SP",C64="MR",C64="CL"),"P",VLOOKUP($A64,Bat!$A$4:$AP$1287,42,FALSE))</f>
        <v>P</v>
      </c>
    </row>
    <row r="65" spans="1:62">
      <c r="A65" t="str">
        <f>C65&amp;D65&amp;E65</f>
        <v>SPRobbie Ward21</v>
      </c>
      <c r="B65" t="e">
        <f>VLOOKUP($A65,draft_listing_pitchers_stats!$A$1:$B$1324,2,FALSE)</f>
        <v>#N/A</v>
      </c>
      <c r="C65" s="1" t="s">
        <v>2003</v>
      </c>
      <c r="D65" s="1" t="s">
        <v>1162</v>
      </c>
      <c r="E65" s="1">
        <v>21</v>
      </c>
      <c r="F65" s="1" t="s">
        <v>2022</v>
      </c>
      <c r="G65" s="1" t="s">
        <v>2022</v>
      </c>
      <c r="H65" s="1" t="s">
        <v>2033</v>
      </c>
      <c r="I65" s="31" t="s">
        <v>2023</v>
      </c>
      <c r="J65" s="1" t="s">
        <v>2025</v>
      </c>
      <c r="K65" s="31" t="s">
        <v>2030</v>
      </c>
      <c r="L65" s="1">
        <v>4</v>
      </c>
      <c r="M65" s="1">
        <v>5</v>
      </c>
      <c r="N65" s="31">
        <v>2</v>
      </c>
      <c r="O65" s="1">
        <v>4</v>
      </c>
      <c r="P65" s="1">
        <v>5</v>
      </c>
      <c r="Q65" s="31">
        <v>6</v>
      </c>
      <c r="R65" s="1">
        <v>5</v>
      </c>
      <c r="S65" s="1">
        <v>5</v>
      </c>
      <c r="T65" s="1">
        <v>2</v>
      </c>
      <c r="U65" s="1">
        <v>2</v>
      </c>
      <c r="V65" s="1">
        <v>3</v>
      </c>
      <c r="W65" s="1">
        <v>4</v>
      </c>
      <c r="X65" s="1" t="s">
        <v>2027</v>
      </c>
      <c r="Y65" s="1" t="s">
        <v>2027</v>
      </c>
      <c r="Z65" s="1" t="s">
        <v>2027</v>
      </c>
      <c r="AA65" s="1" t="s">
        <v>2027</v>
      </c>
      <c r="AB65" s="1">
        <v>4</v>
      </c>
      <c r="AC65" s="1">
        <v>5</v>
      </c>
      <c r="AD65" s="1" t="s">
        <v>2027</v>
      </c>
      <c r="AE65" s="1" t="s">
        <v>2027</v>
      </c>
      <c r="AF65" s="1" t="s">
        <v>2027</v>
      </c>
      <c r="AG65" s="1" t="s">
        <v>2027</v>
      </c>
      <c r="AH65" s="1" t="s">
        <v>2027</v>
      </c>
      <c r="AI65" s="1" t="s">
        <v>2027</v>
      </c>
      <c r="AJ65" s="1" t="s">
        <v>2027</v>
      </c>
      <c r="AK65" s="1" t="s">
        <v>2027</v>
      </c>
      <c r="AL65" s="1" t="s">
        <v>2027</v>
      </c>
      <c r="AM65" s="1" t="s">
        <v>2027</v>
      </c>
      <c r="AN65" s="1" t="s">
        <v>2027</v>
      </c>
      <c r="AO65" s="31" t="s">
        <v>2027</v>
      </c>
      <c r="AP65" s="1" t="s">
        <v>2044</v>
      </c>
      <c r="AQ65" s="1">
        <v>8</v>
      </c>
      <c r="AR65" s="32">
        <v>0.52</v>
      </c>
      <c r="AS65" s="45" t="s">
        <v>2029</v>
      </c>
      <c r="AT65" s="9">
        <f>($O$3*(L65-$O$1)/$O$2+$P$3*(M65-$P$1)/$P$2+$Q$3*(N65-$P$1)/$Q$2)/SUM($O$3:$Q$3)</f>
        <v>-1.0933628326657454</v>
      </c>
      <c r="AU65" s="9">
        <f>($O$3*(O65-$O$1)/$O$2+$P$3*(P65-$P$1)/$P$2+$Q$3*(Q65-$Q$1)/$Q$2)/SUM($O$3:$Q$3)</f>
        <v>0.32141418228776775</v>
      </c>
      <c r="AV65">
        <f>COUNT(R65:AO65)/2</f>
        <v>4</v>
      </c>
      <c r="AW65">
        <f>COUNTIF(R65:AO65,"&gt;5")/2</f>
        <v>0</v>
      </c>
      <c r="AX65" s="6">
        <f>VLOOKUP(AP65,COND!$A$10:$B$31,2,FALSE)</f>
        <v>1</v>
      </c>
      <c r="AY65" s="9">
        <f>($AT$3*AT65+$AU$3*AU65+$AV$3*AV65+$AW$3*AW65)*AX65*IF(AQ65&lt;5,0.95,IF(AQ65&lt;7,0.975,1))+$J$3*VLOOKUP(J65,[1]Con!$A$2:$C$7,2,FALSE)+$K$3*VLOOKUP(K65,[1]Con!$A$2:$C$7,3,FALSE)+IF(BA65="SP",$BA$3,0)</f>
        <v>40.959611079222206</v>
      </c>
      <c r="AZ65" s="37">
        <f>STANDARDIZE(AY65,AVERAGE($AY$5:$AY$1116),STDEVP($AY$5:$AY$1116))</f>
        <v>0.55875277247665101</v>
      </c>
      <c r="BA65" t="str">
        <f>IF(OR(AND(AQ65&gt;7,AW65&gt;1),AND(AQ65&gt;4,AV65&gt;2)),"SP","RP")</f>
        <v>SP</v>
      </c>
      <c r="BC65" t="e">
        <f>VLOOKUP($A65,'Draft List'!$A$4:$V$530,22,FALSE)</f>
        <v>#N/A</v>
      </c>
      <c r="BD65" t="s">
        <v>157</v>
      </c>
      <c r="BE65" t="str">
        <f>IF(AVERAGE($O65:$Q65)&gt;=6,"Likely",IF(AVERAGE($O65:$Q65)&gt;=4,"Possible","Unlikely"))</f>
        <v>Possible</v>
      </c>
      <c r="BG65" t="e">
        <f>IF(VLOOKUP($B65,'Draft List'!$D$4:$AB$2598,BG$3,FALSE)&lt;&gt;0,VLOOKUP($B65,'Draft List'!$D$4:$AB$2598,BG$3,FALSE),"")</f>
        <v>#N/A</v>
      </c>
      <c r="BH65" t="e">
        <f>IF(VLOOKUP($B65,'Draft List'!$D$4:$AB$2598,BH$3,FALSE)&lt;&gt;0,VLOOKUP($B65,'Draft List'!$D$4:$AB$2598,BH$3,FALSE),"")</f>
        <v>#N/A</v>
      </c>
      <c r="BI65" t="e">
        <f>IF(VLOOKUP($B65,'Draft List'!$D$4:$AB$2598,BI$3,FALSE)&lt;&gt;0,VLOOKUP($B65,'Draft List'!$D$4:$AB$2598,BI$3,FALSE),"")</f>
        <v>#N/A</v>
      </c>
      <c r="BJ65" t="str">
        <f>IF(OR(C65="SP",C65="MR",C65="CL"),"P",VLOOKUP($A65,Bat!$A$4:$AP$1287,42,FALSE))</f>
        <v>P</v>
      </c>
    </row>
    <row r="66" spans="1:62">
      <c r="A66" t="str">
        <f>C66&amp;D66&amp;E66</f>
        <v>SPRicardo Rodríguez21</v>
      </c>
      <c r="B66">
        <f>VLOOKUP($A66,draft_listing_pitchers_stats!$A$1:$B$1324,2,FALSE)</f>
        <v>7338</v>
      </c>
      <c r="C66" s="1" t="s">
        <v>2003</v>
      </c>
      <c r="D66" s="1" t="s">
        <v>1151</v>
      </c>
      <c r="E66" s="1">
        <v>21</v>
      </c>
      <c r="F66" s="1" t="s">
        <v>2038</v>
      </c>
      <c r="G66" s="1" t="s">
        <v>2022</v>
      </c>
      <c r="H66" s="1" t="s">
        <v>2033</v>
      </c>
      <c r="I66" s="31" t="s">
        <v>2023</v>
      </c>
      <c r="J66" s="1" t="s">
        <v>2030</v>
      </c>
      <c r="K66" s="31" t="s">
        <v>2026</v>
      </c>
      <c r="L66" s="1">
        <v>4</v>
      </c>
      <c r="M66" s="1">
        <v>5</v>
      </c>
      <c r="N66" s="31">
        <v>3</v>
      </c>
      <c r="O66" s="1">
        <v>5</v>
      </c>
      <c r="P66" s="1">
        <v>6</v>
      </c>
      <c r="Q66" s="31">
        <v>5</v>
      </c>
      <c r="R66" s="1">
        <v>4</v>
      </c>
      <c r="S66" s="1">
        <v>5</v>
      </c>
      <c r="T66" s="1" t="s">
        <v>2027</v>
      </c>
      <c r="U66" s="1" t="s">
        <v>2027</v>
      </c>
      <c r="V66" s="1">
        <v>2</v>
      </c>
      <c r="W66" s="1">
        <v>4</v>
      </c>
      <c r="X66" s="1">
        <v>3</v>
      </c>
      <c r="Y66" s="1">
        <v>5</v>
      </c>
      <c r="Z66" s="1" t="s">
        <v>2027</v>
      </c>
      <c r="AA66" s="1" t="s">
        <v>2027</v>
      </c>
      <c r="AB66" s="1">
        <v>5</v>
      </c>
      <c r="AC66" s="1">
        <v>5</v>
      </c>
      <c r="AD66" s="1" t="s">
        <v>2027</v>
      </c>
      <c r="AE66" s="1" t="s">
        <v>2027</v>
      </c>
      <c r="AF66" s="1" t="s">
        <v>2027</v>
      </c>
      <c r="AG66" s="1" t="s">
        <v>2027</v>
      </c>
      <c r="AH66" s="1" t="s">
        <v>2027</v>
      </c>
      <c r="AI66" s="1" t="s">
        <v>2027</v>
      </c>
      <c r="AJ66" s="1" t="s">
        <v>2027</v>
      </c>
      <c r="AK66" s="1" t="s">
        <v>2027</v>
      </c>
      <c r="AL66" s="1" t="s">
        <v>2027</v>
      </c>
      <c r="AM66" s="1" t="s">
        <v>2027</v>
      </c>
      <c r="AN66" s="1" t="s">
        <v>2027</v>
      </c>
      <c r="AO66" s="31" t="s">
        <v>2027</v>
      </c>
      <c r="AP66" s="1" t="s">
        <v>2041</v>
      </c>
      <c r="AQ66" s="1">
        <v>4</v>
      </c>
      <c r="AR66" s="32">
        <v>0.53</v>
      </c>
      <c r="AS66" s="45" t="s">
        <v>2029</v>
      </c>
      <c r="AT66" s="9">
        <f>($O$3*(L66-$O$1)/$O$2+$P$3*(M66-$P$1)/$P$2+$Q$3*(N66-$P$1)/$Q$2)/SUM($O$3:$Q$3)</f>
        <v>-0.85104226661163507</v>
      </c>
      <c r="AU66" s="9">
        <f>($O$3*(O66-$O$1)/$O$2+$P$3*(P66-$P$1)/$P$2+$Q$3*(Q66-$Q$1)/$Q$2)/SUM($O$3:$Q$3)</f>
        <v>0.4692166571728863</v>
      </c>
      <c r="AV66">
        <f>COUNT(R66:AO66)/2</f>
        <v>4</v>
      </c>
      <c r="AW66">
        <f>COUNTIF(R66:AO66,"&gt;5")/2</f>
        <v>0</v>
      </c>
      <c r="AX66" s="6">
        <f>VLOOKUP(AP66,COND!$A$10:$B$31,2,FALSE)</f>
        <v>1</v>
      </c>
      <c r="AY66" s="9">
        <f>($AT$3*AT66+$AU$3*AU66+$AV$3*AV66+$AW$3*AW66)*AX66*IF(AQ66&lt;5,0.95,IF(AQ66&lt;7,0.975,1))+$J$3*VLOOKUP(J66,[1]Con!$A$2:$C$7,2,FALSE)+$K$3*VLOOKUP(K66,[1]Con!$A$2:$C$7,3,FALSE)+IF(BA66="SP",$BA$3,0)</f>
        <v>40.653418455628625</v>
      </c>
      <c r="AZ66" s="37">
        <f>STANDARDIZE(AY66,AVERAGE($AY$5:$AY$1116),STDEVP($AY$5:$AY$1116))</f>
        <v>0.53444519940169399</v>
      </c>
      <c r="BA66" t="str">
        <f>IF(OR(AND(AQ66&gt;7,AW66&gt;1),AND(AQ66&gt;4,AV66&gt;2)),"SP","RP")</f>
        <v>RP</v>
      </c>
      <c r="BC66">
        <f>VLOOKUP($A66,'Draft List'!$A$4:$V$530,22,FALSE)</f>
        <v>0</v>
      </c>
      <c r="BD66" t="s">
        <v>52</v>
      </c>
      <c r="BE66" t="str">
        <f>IF(AVERAGE($O66:$Q66)&gt;=6,"Likely",IF(AVERAGE($O66:$Q66)&gt;=4,"Possible","Unlikely"))</f>
        <v>Possible</v>
      </c>
      <c r="BG66" t="str">
        <f>IF(VLOOKUP($B66,'Draft List'!$D$4:$AB$2598,BG$3,FALSE)&lt;&gt;0,VLOOKUP($B66,'Draft List'!$D$4:$AB$2598,BG$3,FALSE),"")</f>
        <v/>
      </c>
      <c r="BH66" t="str">
        <f>IF(VLOOKUP($B66,'Draft List'!$D$4:$AB$2598,BH$3,FALSE)&lt;&gt;0,VLOOKUP($B66,'Draft List'!$D$4:$AB$2598,BH$3,FALSE),"")</f>
        <v/>
      </c>
      <c r="BI66" t="str">
        <f>IF(VLOOKUP($B66,'Draft List'!$D$4:$AB$2598,BI$3,FALSE)&lt;&gt;0,VLOOKUP($B66,'Draft List'!$D$4:$AB$2598,BI$3,FALSE),"")</f>
        <v/>
      </c>
      <c r="BJ66" t="str">
        <f>IF(OR(C66="SP",C66="MR",C66="CL"),"P",VLOOKUP($A66,Bat!$A$4:$AP$1287,42,FALSE))</f>
        <v>P</v>
      </c>
    </row>
    <row r="67" spans="1:62">
      <c r="A67" t="str">
        <f>C67&amp;D67&amp;E67</f>
        <v>SPRaúl Díaz22</v>
      </c>
      <c r="B67">
        <f>VLOOKUP($A67,draft_listing_pitchers_stats!$A$1:$B$1324,2,FALSE)</f>
        <v>3036</v>
      </c>
      <c r="C67" s="1" t="s">
        <v>2003</v>
      </c>
      <c r="D67" s="1" t="s">
        <v>2067</v>
      </c>
      <c r="E67" s="1">
        <v>22</v>
      </c>
      <c r="F67" s="1" t="s">
        <v>2022</v>
      </c>
      <c r="G67" s="1" t="s">
        <v>2022</v>
      </c>
      <c r="H67" s="1" t="s">
        <v>2033</v>
      </c>
      <c r="I67" s="31" t="s">
        <v>2023</v>
      </c>
      <c r="J67" s="1" t="s">
        <v>2030</v>
      </c>
      <c r="K67" s="31" t="s">
        <v>2025</v>
      </c>
      <c r="L67" s="1">
        <v>5</v>
      </c>
      <c r="M67" s="1">
        <v>5</v>
      </c>
      <c r="N67" s="31">
        <v>2</v>
      </c>
      <c r="O67" s="1">
        <v>6</v>
      </c>
      <c r="P67" s="1">
        <v>5</v>
      </c>
      <c r="Q67" s="31">
        <v>4</v>
      </c>
      <c r="R67" s="1" t="s">
        <v>2027</v>
      </c>
      <c r="S67" s="1" t="s">
        <v>2027</v>
      </c>
      <c r="T67" s="1">
        <v>5</v>
      </c>
      <c r="U67" s="1">
        <v>5</v>
      </c>
      <c r="V67" s="1" t="s">
        <v>2027</v>
      </c>
      <c r="W67" s="1" t="s">
        <v>2027</v>
      </c>
      <c r="X67" s="1">
        <v>5</v>
      </c>
      <c r="Y67" s="1">
        <v>6</v>
      </c>
      <c r="Z67" s="1" t="s">
        <v>2027</v>
      </c>
      <c r="AA67" s="1" t="s">
        <v>2027</v>
      </c>
      <c r="AB67" s="1">
        <v>5</v>
      </c>
      <c r="AC67" s="1">
        <v>5</v>
      </c>
      <c r="AD67" s="1">
        <v>5</v>
      </c>
      <c r="AE67" s="1">
        <v>6</v>
      </c>
      <c r="AF67" s="1" t="s">
        <v>2027</v>
      </c>
      <c r="AG67" s="1" t="s">
        <v>2027</v>
      </c>
      <c r="AH67" s="1" t="s">
        <v>2027</v>
      </c>
      <c r="AI67" s="1" t="s">
        <v>2027</v>
      </c>
      <c r="AJ67" s="1" t="s">
        <v>2027</v>
      </c>
      <c r="AK67" s="1" t="s">
        <v>2027</v>
      </c>
      <c r="AL67" s="1" t="s">
        <v>2027</v>
      </c>
      <c r="AM67" s="1" t="s">
        <v>2027</v>
      </c>
      <c r="AN67" s="1" t="s">
        <v>2027</v>
      </c>
      <c r="AO67" s="31" t="s">
        <v>2027</v>
      </c>
      <c r="AP67" s="1" t="s">
        <v>2047</v>
      </c>
      <c r="AQ67" s="1">
        <v>7</v>
      </c>
      <c r="AR67" s="32">
        <v>0.56000000000000005</v>
      </c>
      <c r="AS67" s="45" t="s">
        <v>2029</v>
      </c>
      <c r="AT67" s="9">
        <f>($O$3*(L67-$O$1)/$O$2+$P$3*(M67-$P$1)/$P$2+$Q$3*(N67-$P$1)/$Q$2)/SUM($O$3:$Q$3)</f>
        <v>-0.89867150815657204</v>
      </c>
      <c r="AU67" s="9">
        <f>($O$3*(O67-$O$1)/$O$2+$P$3*(P67-$P$1)/$P$2+$Q$3*(Q67-$Q$1)/$Q$2)/SUM($O$3:$Q$3)</f>
        <v>0.22615569919789399</v>
      </c>
      <c r="AV67">
        <f>COUNT(R67:AO67)/2</f>
        <v>4</v>
      </c>
      <c r="AW67">
        <f>COUNTIF(R67:AO67,"&gt;5")/2</f>
        <v>1</v>
      </c>
      <c r="AX67" s="6">
        <f>VLOOKUP(AP67,COND!$A$10:$B$31,2,FALSE)</f>
        <v>1.0249999999999999</v>
      </c>
      <c r="AY67" s="9">
        <f>($AT$3*AT67+$AU$3*AU67+$AV$3*AV67+$AW$3*AW67)*AX67*IF(AQ67&lt;5,0.95,IF(AQ67&lt;7,0.975,1))+$J$3*VLOOKUP(J67,[1]Con!$A$2:$C$7,2,FALSE)+$K$3*VLOOKUP(K67,[1]Con!$A$2:$C$7,3,FALSE)+IF(BA67="SP",$BA$3,0)</f>
        <v>40.533214174384725</v>
      </c>
      <c r="AZ67" s="37">
        <f>STANDARDIZE(AY67,AVERAGE($AY$5:$AY$1116),STDEVP($AY$5:$AY$1116))</f>
        <v>0.52490259737566647</v>
      </c>
      <c r="BA67" t="str">
        <f>IF(OR(AND(AQ67&gt;7,AW67&gt;1),AND(AQ67&gt;4,AV67&gt;2)),"SP","RP")</f>
        <v>SP</v>
      </c>
      <c r="BC67">
        <f>VLOOKUP($A67,'Draft List'!$A$4:$V$530,22,FALSE)</f>
        <v>0</v>
      </c>
      <c r="BD67" t="s">
        <v>53</v>
      </c>
      <c r="BE67" t="str">
        <f>IF(AVERAGE($O67:$Q67)&gt;=6,"Likely",IF(AVERAGE($O67:$Q67)&gt;=4,"Possible","Unlikely"))</f>
        <v>Possible</v>
      </c>
      <c r="BG67" t="str">
        <f>IF(VLOOKUP($B67,'Draft List'!$D$4:$AB$2598,BG$3,FALSE)&lt;&gt;0,VLOOKUP($B67,'Draft List'!$D$4:$AB$2598,BG$3,FALSE),"")</f>
        <v/>
      </c>
      <c r="BH67" t="str">
        <f>IF(VLOOKUP($B67,'Draft List'!$D$4:$AB$2598,BH$3,FALSE)&lt;&gt;0,VLOOKUP($B67,'Draft List'!$D$4:$AB$2598,BH$3,FALSE),"")</f>
        <v/>
      </c>
      <c r="BI67" t="str">
        <f>IF(VLOOKUP($B67,'Draft List'!$D$4:$AB$2598,BI$3,FALSE)&lt;&gt;0,VLOOKUP($B67,'Draft List'!$D$4:$AB$2598,BI$3,FALSE),"")</f>
        <v/>
      </c>
      <c r="BJ67" t="str">
        <f>IF(OR(C67="SP",C67="MR",C67="CL"),"P",VLOOKUP($A67,Bat!$A$4:$AP$1287,42,FALSE))</f>
        <v>P</v>
      </c>
    </row>
    <row r="68" spans="1:62">
      <c r="A68" t="str">
        <f>C68&amp;D68&amp;E68</f>
        <v>CLAnthony Greene21</v>
      </c>
      <c r="B68">
        <f>VLOOKUP($A68,draft_listing_pitchers_stats!$A$1:$B$1324,2,FALSE)</f>
        <v>4133</v>
      </c>
      <c r="C68" s="1" t="s">
        <v>2032</v>
      </c>
      <c r="D68" s="1" t="s">
        <v>1118</v>
      </c>
      <c r="E68" s="1">
        <v>21</v>
      </c>
      <c r="F68" s="1" t="s">
        <v>2022</v>
      </c>
      <c r="G68" s="1" t="s">
        <v>2022</v>
      </c>
      <c r="H68" s="1" t="s">
        <v>2033</v>
      </c>
      <c r="I68" s="31" t="s">
        <v>2023</v>
      </c>
      <c r="J68" s="1" t="s">
        <v>2036</v>
      </c>
      <c r="K68" s="31" t="s">
        <v>2040</v>
      </c>
      <c r="L68" s="1">
        <v>4</v>
      </c>
      <c r="M68" s="1">
        <v>4</v>
      </c>
      <c r="N68" s="31">
        <v>3</v>
      </c>
      <c r="O68" s="1">
        <v>4</v>
      </c>
      <c r="P68" s="1">
        <v>5</v>
      </c>
      <c r="Q68" s="31">
        <v>7</v>
      </c>
      <c r="R68" s="1">
        <v>4</v>
      </c>
      <c r="S68" s="1">
        <v>5</v>
      </c>
      <c r="T68" s="1">
        <v>3</v>
      </c>
      <c r="U68" s="1">
        <v>3</v>
      </c>
      <c r="V68" s="1">
        <v>2</v>
      </c>
      <c r="W68" s="1">
        <v>3</v>
      </c>
      <c r="X68" s="1">
        <v>3</v>
      </c>
      <c r="Y68" s="1">
        <v>3</v>
      </c>
      <c r="Z68" s="1" t="s">
        <v>2027</v>
      </c>
      <c r="AA68" s="1" t="s">
        <v>2027</v>
      </c>
      <c r="AB68" s="1" t="s">
        <v>2027</v>
      </c>
      <c r="AC68" s="1" t="s">
        <v>2027</v>
      </c>
      <c r="AD68" s="1" t="s">
        <v>2027</v>
      </c>
      <c r="AE68" s="1" t="s">
        <v>2027</v>
      </c>
      <c r="AF68" s="1" t="s">
        <v>2027</v>
      </c>
      <c r="AG68" s="1" t="s">
        <v>2027</v>
      </c>
      <c r="AH68" s="1" t="s">
        <v>2027</v>
      </c>
      <c r="AI68" s="1" t="s">
        <v>2027</v>
      </c>
      <c r="AJ68" s="1" t="s">
        <v>2027</v>
      </c>
      <c r="AK68" s="1" t="s">
        <v>2027</v>
      </c>
      <c r="AL68" s="1" t="s">
        <v>2027</v>
      </c>
      <c r="AM68" s="1" t="s">
        <v>2027</v>
      </c>
      <c r="AN68" s="1" t="s">
        <v>2027</v>
      </c>
      <c r="AO68" s="31" t="s">
        <v>2027</v>
      </c>
      <c r="AP68" s="1" t="s">
        <v>2034</v>
      </c>
      <c r="AQ68" s="1">
        <v>4</v>
      </c>
      <c r="AR68" s="32">
        <v>0.52</v>
      </c>
      <c r="AS68" s="45" t="s">
        <v>2029</v>
      </c>
      <c r="AT68" s="9">
        <f>($O$3*(L68-$O$1)/$O$2+$P$3*(M68-$P$1)/$P$2+$Q$3*(N68-$P$1)/$Q$2)/SUM($O$3:$Q$3)</f>
        <v>-1.0464739830416905</v>
      </c>
      <c r="AU68" s="9">
        <f>($O$3*(O68-$O$1)/$O$2+$P$3*(P68-$P$1)/$P$2+$Q$3*(Q68-$Q$1)/$Q$2)/SUM($O$3:$Q$3)</f>
        <v>0.56373474834187809</v>
      </c>
      <c r="AV68">
        <f>COUNT(R68:AO68)/2</f>
        <v>4</v>
      </c>
      <c r="AW68">
        <f>COUNTIF(R68:AO68,"&gt;5")/2</f>
        <v>0</v>
      </c>
      <c r="AX68" s="6">
        <f>VLOOKUP(AP68,COND!$A$10:$B$31,2,FALSE)</f>
        <v>1</v>
      </c>
      <c r="AY68" s="9">
        <f>($AT$3*AT68+$AU$3*AU68+$AV$3*AV68+$AW$3*AW68)*AX68*IF(AQ68&lt;5,0.95,IF(AQ68&lt;7,0.975,1))+$J$3*VLOOKUP(J68,[1]Con!$A$2:$C$7,2,FALSE)+$K$3*VLOOKUP(K68,[1]Con!$A$2:$C$7,3,FALSE)+IF(BA68="SP",$BA$3,0)</f>
        <v>40.462130161717766</v>
      </c>
      <c r="AZ68" s="37">
        <f>STANDARDIZE(AY68,AVERAGE($AY$5:$AY$1116),STDEVP($AY$5:$AY$1116))</f>
        <v>0.51925948353417584</v>
      </c>
      <c r="BA68" t="str">
        <f>IF(OR(AND(AQ68&gt;7,AW68&gt;1),AND(AQ68&gt;4,AV68&gt;2)),"SP","RP")</f>
        <v>RP</v>
      </c>
      <c r="BC68">
        <f>VLOOKUP($A68,'Draft List'!$A$4:$V$530,22,FALSE)</f>
        <v>0</v>
      </c>
      <c r="BD68" t="s">
        <v>54</v>
      </c>
      <c r="BE68" t="str">
        <f>IF(AVERAGE($O68:$Q68)&gt;=6,"Likely",IF(AVERAGE($O68:$Q68)&gt;=4,"Possible","Unlikely"))</f>
        <v>Possible</v>
      </c>
      <c r="BG68" t="str">
        <f>IF(VLOOKUP($B68,'Draft List'!$D$4:$AB$2598,BG$3,FALSE)&lt;&gt;0,VLOOKUP($B68,'Draft List'!$D$4:$AB$2598,BG$3,FALSE),"")</f>
        <v/>
      </c>
      <c r="BH68" t="str">
        <f>IF(VLOOKUP($B68,'Draft List'!$D$4:$AB$2598,BH$3,FALSE)&lt;&gt;0,VLOOKUP($B68,'Draft List'!$D$4:$AB$2598,BH$3,FALSE),"")</f>
        <v/>
      </c>
      <c r="BI68" t="str">
        <f>IF(VLOOKUP($B68,'Draft List'!$D$4:$AB$2598,BI$3,FALSE)&lt;&gt;0,VLOOKUP($B68,'Draft List'!$D$4:$AB$2598,BI$3,FALSE),"")</f>
        <v/>
      </c>
      <c r="BJ68" t="str">
        <f>IF(OR(C68="SP",C68="MR",C68="CL"),"P",VLOOKUP($A68,Bat!$A$4:$AP$1287,42,FALSE))</f>
        <v>P</v>
      </c>
    </row>
    <row r="69" spans="1:62">
      <c r="A69" t="str">
        <f>C69&amp;D69&amp;E69</f>
        <v>SPBill Martin21</v>
      </c>
      <c r="B69">
        <f>VLOOKUP($A69,draft_listing_pitchers_stats!$A$1:$B$1324,2,FALSE)</f>
        <v>5504</v>
      </c>
      <c r="C69" s="1" t="s">
        <v>2003</v>
      </c>
      <c r="D69" s="1" t="s">
        <v>1132</v>
      </c>
      <c r="E69" s="1">
        <v>21</v>
      </c>
      <c r="F69" s="1" t="s">
        <v>2049</v>
      </c>
      <c r="G69" s="1" t="s">
        <v>2022</v>
      </c>
      <c r="H69" s="1" t="s">
        <v>2033</v>
      </c>
      <c r="I69" s="31" t="s">
        <v>2023</v>
      </c>
      <c r="J69" s="1" t="s">
        <v>2025</v>
      </c>
      <c r="K69" s="31" t="s">
        <v>2040</v>
      </c>
      <c r="L69" s="1">
        <v>4</v>
      </c>
      <c r="M69" s="1">
        <v>4</v>
      </c>
      <c r="N69" s="31">
        <v>3</v>
      </c>
      <c r="O69" s="1">
        <v>6</v>
      </c>
      <c r="P69" s="1">
        <v>5</v>
      </c>
      <c r="Q69" s="31">
        <v>5</v>
      </c>
      <c r="R69" s="1">
        <v>6</v>
      </c>
      <c r="S69" s="1">
        <v>7</v>
      </c>
      <c r="T69" s="1">
        <v>1</v>
      </c>
      <c r="U69" s="1">
        <v>1</v>
      </c>
      <c r="V69" s="1">
        <v>4</v>
      </c>
      <c r="W69" s="1">
        <v>5</v>
      </c>
      <c r="X69" s="1" t="s">
        <v>2027</v>
      </c>
      <c r="Y69" s="1" t="s">
        <v>2027</v>
      </c>
      <c r="Z69" s="1" t="s">
        <v>2027</v>
      </c>
      <c r="AA69" s="1" t="s">
        <v>2027</v>
      </c>
      <c r="AB69" s="1">
        <v>5</v>
      </c>
      <c r="AC69" s="1">
        <v>6</v>
      </c>
      <c r="AD69" s="1" t="s">
        <v>2027</v>
      </c>
      <c r="AE69" s="1" t="s">
        <v>2027</v>
      </c>
      <c r="AF69" s="1" t="s">
        <v>2027</v>
      </c>
      <c r="AG69" s="1" t="s">
        <v>2027</v>
      </c>
      <c r="AH69" s="1" t="s">
        <v>2027</v>
      </c>
      <c r="AI69" s="1" t="s">
        <v>2027</v>
      </c>
      <c r="AJ69" s="1" t="s">
        <v>2027</v>
      </c>
      <c r="AK69" s="1" t="s">
        <v>2027</v>
      </c>
      <c r="AL69" s="1" t="s">
        <v>2027</v>
      </c>
      <c r="AM69" s="1" t="s">
        <v>2027</v>
      </c>
      <c r="AN69" s="1" t="s">
        <v>2027</v>
      </c>
      <c r="AO69" s="31" t="s">
        <v>2027</v>
      </c>
      <c r="AP69" s="1" t="s">
        <v>2031</v>
      </c>
      <c r="AQ69" s="1">
        <v>3</v>
      </c>
      <c r="AR69" s="32">
        <v>0.48</v>
      </c>
      <c r="AS69" s="45" t="s">
        <v>2029</v>
      </c>
      <c r="AT69" s="9">
        <f>($O$3*(L69-$O$1)/$O$2+$P$3*(M69-$P$1)/$P$2+$Q$3*(N69-$P$1)/$Q$2)/SUM($O$3:$Q$3)</f>
        <v>-1.0464739830416905</v>
      </c>
      <c r="AU69" s="9">
        <f>($O$3*(O69-$O$1)/$O$2+$P$3*(P69-$P$1)/$P$2+$Q$3*(Q69-$Q$1)/$Q$2)/SUM($O$3:$Q$3)</f>
        <v>0.46847626525200436</v>
      </c>
      <c r="AV69">
        <f>COUNT(R69:AO69)/2</f>
        <v>4</v>
      </c>
      <c r="AW69">
        <f>COUNTIF(R69:AO69,"&gt;5")/2</f>
        <v>1.5</v>
      </c>
      <c r="AX69" s="6">
        <f>VLOOKUP(AP69,COND!$A$10:$B$31,2,FALSE)</f>
        <v>1.05</v>
      </c>
      <c r="AY69" s="9">
        <f>($AT$3*AT69+$AU$3*AU69+$AV$3*AV69+$AW$3*AW69)*AX69*IF(AQ69&lt;5,0.95,IF(AQ69&lt;7,0.975,1))+$J$3*VLOOKUP(J69,[1]Con!$A$2:$C$7,2,FALSE)+$K$3*VLOOKUP(K69,[1]Con!$A$2:$C$7,3,FALSE)+IF(BA69="SP",$BA$3,0)</f>
        <v>40.00264243216067</v>
      </c>
      <c r="AZ69" s="37">
        <f>STANDARDIZE(AY69,AVERAGE($AY$5:$AY$1116),STDEVP($AY$5:$AY$1116))</f>
        <v>0.48278234234059769</v>
      </c>
      <c r="BA69" t="str">
        <f>IF(OR(AND(AQ69&gt;7,AW69&gt;1),AND(AQ69&gt;4,AV69&gt;2)),"SP","RP")</f>
        <v>RP</v>
      </c>
      <c r="BC69">
        <f>VLOOKUP($A69,'Draft List'!$A$4:$V$530,22,FALSE)</f>
        <v>0</v>
      </c>
      <c r="BD69" t="s">
        <v>55</v>
      </c>
      <c r="BE69" t="str">
        <f>IF(AVERAGE($O69:$Q69)&gt;=6,"Likely",IF(AVERAGE($O69:$Q69)&gt;=4,"Possible","Unlikely"))</f>
        <v>Possible</v>
      </c>
      <c r="BG69" t="str">
        <f>IF(VLOOKUP($B69,'Draft List'!$D$4:$AB$2598,BG$3,FALSE)&lt;&gt;0,VLOOKUP($B69,'Draft List'!$D$4:$AB$2598,BG$3,FALSE),"")</f>
        <v/>
      </c>
      <c r="BH69" t="str">
        <f>IF(VLOOKUP($B69,'Draft List'!$D$4:$AB$2598,BH$3,FALSE)&lt;&gt;0,VLOOKUP($B69,'Draft List'!$D$4:$AB$2598,BH$3,FALSE),"")</f>
        <v/>
      </c>
      <c r="BI69" t="str">
        <f>IF(VLOOKUP($B69,'Draft List'!$D$4:$AB$2598,BI$3,FALSE)&lt;&gt;0,VLOOKUP($B69,'Draft List'!$D$4:$AB$2598,BI$3,FALSE),"")</f>
        <v/>
      </c>
      <c r="BJ69" t="str">
        <f>IF(OR(C69="SP",C69="MR",C69="CL"),"P",VLOOKUP($A69,Bat!$A$4:$AP$1287,42,FALSE))</f>
        <v>P</v>
      </c>
    </row>
    <row r="70" spans="1:62">
      <c r="A70" t="str">
        <f>C70&amp;D70&amp;E70</f>
        <v>SPRamón Altagracia22</v>
      </c>
      <c r="B70">
        <f>VLOOKUP($A70,draft_listing_pitchers_stats!$A$1:$B$1324,2,FALSE)</f>
        <v>3037</v>
      </c>
      <c r="C70" s="1" t="s">
        <v>2003</v>
      </c>
      <c r="D70" s="1" t="s">
        <v>2062</v>
      </c>
      <c r="E70" s="1">
        <v>22</v>
      </c>
      <c r="F70" s="1" t="s">
        <v>2022</v>
      </c>
      <c r="G70" s="1" t="s">
        <v>2022</v>
      </c>
      <c r="H70" s="1" t="s">
        <v>2033</v>
      </c>
      <c r="I70" s="31" t="s">
        <v>2023</v>
      </c>
      <c r="J70" s="1" t="s">
        <v>2026</v>
      </c>
      <c r="K70" s="31" t="s">
        <v>2026</v>
      </c>
      <c r="L70" s="1">
        <v>4</v>
      </c>
      <c r="M70" s="1">
        <v>4</v>
      </c>
      <c r="N70" s="31">
        <v>4</v>
      </c>
      <c r="O70" s="1">
        <v>4</v>
      </c>
      <c r="P70" s="1">
        <v>4</v>
      </c>
      <c r="Q70" s="31">
        <v>7</v>
      </c>
      <c r="R70" s="1">
        <v>4</v>
      </c>
      <c r="S70" s="1">
        <v>4</v>
      </c>
      <c r="T70" s="1">
        <v>1</v>
      </c>
      <c r="U70" s="1">
        <v>1</v>
      </c>
      <c r="V70" s="1">
        <v>4</v>
      </c>
      <c r="W70" s="1">
        <v>4</v>
      </c>
      <c r="X70" s="1">
        <v>4</v>
      </c>
      <c r="Y70" s="1">
        <v>5</v>
      </c>
      <c r="Z70" s="1" t="s">
        <v>2027</v>
      </c>
      <c r="AA70" s="1" t="s">
        <v>2027</v>
      </c>
      <c r="AB70" s="1" t="s">
        <v>2027</v>
      </c>
      <c r="AC70" s="1" t="s">
        <v>2027</v>
      </c>
      <c r="AD70" s="1" t="s">
        <v>2027</v>
      </c>
      <c r="AE70" s="1" t="s">
        <v>2027</v>
      </c>
      <c r="AF70" s="1">
        <v>4</v>
      </c>
      <c r="AG70" s="1">
        <v>4</v>
      </c>
      <c r="AH70" s="1" t="s">
        <v>2027</v>
      </c>
      <c r="AI70" s="1" t="s">
        <v>2027</v>
      </c>
      <c r="AJ70" s="1" t="s">
        <v>2027</v>
      </c>
      <c r="AK70" s="1" t="s">
        <v>2027</v>
      </c>
      <c r="AL70" s="1" t="s">
        <v>2027</v>
      </c>
      <c r="AM70" s="1" t="s">
        <v>2027</v>
      </c>
      <c r="AN70" s="1" t="s">
        <v>2027</v>
      </c>
      <c r="AO70" s="31" t="s">
        <v>2027</v>
      </c>
      <c r="AP70" s="1" t="s">
        <v>2054</v>
      </c>
      <c r="AQ70" s="1">
        <v>6</v>
      </c>
      <c r="AR70" s="32">
        <v>0.55000000000000004</v>
      </c>
      <c r="AS70" s="45" t="s">
        <v>2029</v>
      </c>
      <c r="AT70" s="9">
        <f>($O$3*(L70-$O$1)/$O$2+$P$3*(M70-$P$1)/$P$2+$Q$3*(N70-$P$1)/$Q$2)/SUM($O$3:$Q$3)</f>
        <v>-0.80415341698758003</v>
      </c>
      <c r="AU70" s="9">
        <f>($O$3*(O70-$O$1)/$O$2+$P$3*(P70-$P$1)/$P$2+$Q$3*(Q70-$Q$1)/$Q$2)/SUM($O$3:$Q$3)</f>
        <v>0.36830303191182262</v>
      </c>
      <c r="AV70">
        <f>COUNT(R70:AO70)/2</f>
        <v>5</v>
      </c>
      <c r="AW70">
        <f>COUNTIF(R70:AO70,"&gt;5")/2</f>
        <v>0</v>
      </c>
      <c r="AX70" s="6">
        <f>VLOOKUP(AP70,COND!$A$10:$B$31,2,FALSE)</f>
        <v>1</v>
      </c>
      <c r="AY70" s="9">
        <f>($AT$3*AT70+$AU$3*AU70+$AV$3*AV70+$AW$3*AW70)*AX70*IF(AQ70&lt;5,0.95,IF(AQ70&lt;7,0.975,1))+$J$3*VLOOKUP(J70,[1]Con!$A$2:$C$7,2,FALSE)+$K$3*VLOOKUP(K70,[1]Con!$A$2:$C$7,3,FALSE)+IF(BA70="SP",$BA$3,0)</f>
        <v>39.962599205967962</v>
      </c>
      <c r="AZ70" s="37">
        <f>STANDARDIZE(AY70,AVERAGE($AY$5:$AY$1116),STDEVP($AY$5:$AY$1116))</f>
        <v>0.47960344914776809</v>
      </c>
      <c r="BA70" t="str">
        <f>IF(OR(AND(AQ70&gt;7,AW70&gt;1),AND(AQ70&gt;4,AV70&gt;2)),"SP","RP")</f>
        <v>SP</v>
      </c>
      <c r="BC70">
        <f>VLOOKUP($A70,'Draft List'!$A$4:$V$530,22,FALSE)</f>
        <v>0</v>
      </c>
      <c r="BD70" t="s">
        <v>44</v>
      </c>
      <c r="BE70" t="str">
        <f>IF(AVERAGE($O70:$Q70)&gt;=6,"Likely",IF(AVERAGE($O70:$Q70)&gt;=4,"Possible","Unlikely"))</f>
        <v>Possible</v>
      </c>
      <c r="BG70" t="str">
        <f>IF(VLOOKUP($B70,'Draft List'!$D$4:$AB$2598,BG$3,FALSE)&lt;&gt;0,VLOOKUP($B70,'Draft List'!$D$4:$AB$2598,BG$3,FALSE),"")</f>
        <v/>
      </c>
      <c r="BH70" t="str">
        <f>IF(VLOOKUP($B70,'Draft List'!$D$4:$AB$2598,BH$3,FALSE)&lt;&gt;0,VLOOKUP($B70,'Draft List'!$D$4:$AB$2598,BH$3,FALSE),"")</f>
        <v/>
      </c>
      <c r="BI70" t="str">
        <f>IF(VLOOKUP($B70,'Draft List'!$D$4:$AB$2598,BI$3,FALSE)&lt;&gt;0,VLOOKUP($B70,'Draft List'!$D$4:$AB$2598,BI$3,FALSE),"")</f>
        <v/>
      </c>
      <c r="BJ70" t="str">
        <f>IF(OR(C70="SP",C70="MR",C70="CL"),"P",VLOOKUP($A70,Bat!$A$4:$AP$1287,42,FALSE))</f>
        <v>P</v>
      </c>
    </row>
    <row r="71" spans="1:62">
      <c r="A71" t="str">
        <f>C71&amp;D71&amp;E71</f>
        <v>SPNelson Baker21</v>
      </c>
      <c r="B71">
        <f>VLOOKUP($A71,draft_listing_pitchers_stats!$A$1:$B$1324,2,FALSE)</f>
        <v>6870</v>
      </c>
      <c r="C71" s="1" t="s">
        <v>106</v>
      </c>
      <c r="D71" s="1" t="s">
        <v>1452</v>
      </c>
      <c r="E71" s="1">
        <v>21</v>
      </c>
      <c r="F71" s="1" t="s">
        <v>2022</v>
      </c>
      <c r="G71" s="1" t="s">
        <v>2022</v>
      </c>
      <c r="H71" s="1" t="s">
        <v>2033</v>
      </c>
      <c r="I71" s="31" t="s">
        <v>2033</v>
      </c>
      <c r="J71" s="1" t="s">
        <v>2025</v>
      </c>
      <c r="K71" s="31" t="s">
        <v>2040</v>
      </c>
      <c r="L71" s="1">
        <v>3</v>
      </c>
      <c r="M71" s="1">
        <v>5</v>
      </c>
      <c r="N71" s="31">
        <v>3</v>
      </c>
      <c r="O71" s="1">
        <v>4</v>
      </c>
      <c r="P71" s="1">
        <v>7</v>
      </c>
      <c r="Q71" s="31">
        <v>5</v>
      </c>
      <c r="R71" s="1" t="s">
        <v>2027</v>
      </c>
      <c r="S71" s="1" t="s">
        <v>2027</v>
      </c>
      <c r="T71" s="1">
        <v>6</v>
      </c>
      <c r="U71" s="1">
        <v>6</v>
      </c>
      <c r="V71" s="1" t="s">
        <v>2027</v>
      </c>
      <c r="W71" s="1" t="s">
        <v>2027</v>
      </c>
      <c r="X71" s="1">
        <v>3</v>
      </c>
      <c r="Y71" s="1">
        <v>5</v>
      </c>
      <c r="Z71" s="1" t="s">
        <v>2027</v>
      </c>
      <c r="AA71" s="1" t="s">
        <v>2027</v>
      </c>
      <c r="AB71" s="1" t="s">
        <v>2027</v>
      </c>
      <c r="AC71" s="1" t="s">
        <v>2027</v>
      </c>
      <c r="AD71" s="1">
        <v>3</v>
      </c>
      <c r="AE71" s="1">
        <v>5</v>
      </c>
      <c r="AF71" s="1" t="s">
        <v>2027</v>
      </c>
      <c r="AG71" s="1" t="s">
        <v>2027</v>
      </c>
      <c r="AH71" s="1" t="s">
        <v>2027</v>
      </c>
      <c r="AI71" s="1" t="s">
        <v>2027</v>
      </c>
      <c r="AJ71" s="1" t="s">
        <v>2027</v>
      </c>
      <c r="AK71" s="1" t="s">
        <v>2027</v>
      </c>
      <c r="AL71" s="1" t="s">
        <v>2027</v>
      </c>
      <c r="AM71" s="1" t="s">
        <v>2027</v>
      </c>
      <c r="AN71" s="1" t="s">
        <v>2027</v>
      </c>
      <c r="AO71" s="31" t="s">
        <v>2027</v>
      </c>
      <c r="AP71" s="1" t="s">
        <v>2059</v>
      </c>
      <c r="AQ71" s="1">
        <v>7</v>
      </c>
      <c r="AR71" s="32">
        <v>0.56999999999999995</v>
      </c>
      <c r="AS71" s="45" t="s">
        <v>2029</v>
      </c>
      <c r="AT71" s="9">
        <f>($O$3*(L71-$O$1)/$O$2+$P$3*(M71-$P$1)/$P$2+$Q$3*(N71-$P$1)/$Q$2)/SUM($O$3:$Q$3)</f>
        <v>-1.0457335911208085</v>
      </c>
      <c r="AU71" s="9">
        <f>($O$3*(O71-$O$1)/$O$2+$P$3*(P71-$P$1)/$P$2+$Q$3*(Q71-$Q$1)/$Q$2)/SUM($O$3:$Q$3)</f>
        <v>0.46995704909376823</v>
      </c>
      <c r="AV71">
        <f>COUNT(R71:AO71)/2</f>
        <v>3</v>
      </c>
      <c r="AW71">
        <f>COUNTIF(R71:AO71,"&gt;5")/2</f>
        <v>1</v>
      </c>
      <c r="AX71" s="6">
        <f>VLOOKUP(AP71,COND!$A$10:$B$31,2,FALSE)</f>
        <v>0.9</v>
      </c>
      <c r="AY71" s="9">
        <f>($AT$3*AT71+$AU$3*AU71+$AV$3*AV71+$AW$3*AW71)*AX71*IF(AQ71&lt;5,0.95,IF(AQ71&lt;7,0.975,1))+$J$3*VLOOKUP(J71,[1]Con!$A$2:$C$7,2,FALSE)+$K$3*VLOOKUP(K71,[1]Con!$A$2:$C$7,3,FALSE)+IF(BA71="SP",$BA$3,0)</f>
        <v>39.745994837286084</v>
      </c>
      <c r="AZ71" s="37">
        <f>STANDARDIZE(AY71,AVERAGE($AY$5:$AY$1116),STDEVP($AY$5:$AY$1116))</f>
        <v>0.4624079776883438</v>
      </c>
      <c r="BA71" t="str">
        <f>IF(OR(AND(AQ71&gt;7,AW71&gt;1),AND(AQ71&gt;4,AV71&gt;2)),"SP","RP")</f>
        <v>SP</v>
      </c>
      <c r="BC71">
        <f>VLOOKUP($A71,'Draft List'!$A$4:$V$530,22,FALSE)</f>
        <v>0</v>
      </c>
      <c r="BD71" t="s">
        <v>56</v>
      </c>
      <c r="BE71" t="str">
        <f>IF(AVERAGE($O71:$Q71)&gt;=6,"Likely",IF(AVERAGE($O71:$Q71)&gt;=4,"Possible","Unlikely"))</f>
        <v>Possible</v>
      </c>
      <c r="BG71" t="str">
        <f>IF(VLOOKUP($B71,'Draft List'!$D$4:$AB$2598,BG$3,FALSE)&lt;&gt;0,VLOOKUP($B71,'Draft List'!$D$4:$AB$2598,BG$3,FALSE),"")</f>
        <v/>
      </c>
      <c r="BH71" t="str">
        <f>IF(VLOOKUP($B71,'Draft List'!$D$4:$AB$2598,BH$3,FALSE)&lt;&gt;0,VLOOKUP($B71,'Draft List'!$D$4:$AB$2598,BH$3,FALSE),"")</f>
        <v/>
      </c>
      <c r="BI71" t="str">
        <f>IF(VLOOKUP($B71,'Draft List'!$D$4:$AB$2598,BI$3,FALSE)&lt;&gt;0,VLOOKUP($B71,'Draft List'!$D$4:$AB$2598,BI$3,FALSE),"")</f>
        <v/>
      </c>
      <c r="BJ71" t="str">
        <f>IF(OR(C71="SP",C71="MR",C71="CL"),"P",VLOOKUP($A71,Bat!$A$4:$AP$1287,42,FALSE))</f>
        <v>P</v>
      </c>
    </row>
    <row r="72" spans="1:62">
      <c r="A72" t="str">
        <f>C72&amp;D72&amp;E72</f>
        <v>MRDenny Davis21</v>
      </c>
      <c r="B72">
        <f>VLOOKUP($A72,draft_listing_pitchers_stats!$A$1:$B$1324,2,FALSE)</f>
        <v>2463</v>
      </c>
      <c r="C72" s="1" t="s">
        <v>2021</v>
      </c>
      <c r="D72" s="1" t="s">
        <v>1105</v>
      </c>
      <c r="E72" s="1">
        <v>21</v>
      </c>
      <c r="F72" s="1" t="s">
        <v>2022</v>
      </c>
      <c r="G72" s="1" t="s">
        <v>2022</v>
      </c>
      <c r="H72" s="1" t="s">
        <v>2033</v>
      </c>
      <c r="I72" s="31" t="s">
        <v>2023</v>
      </c>
      <c r="J72" s="1" t="s">
        <v>2030</v>
      </c>
      <c r="K72" s="31" t="s">
        <v>2036</v>
      </c>
      <c r="L72" s="1">
        <v>6</v>
      </c>
      <c r="M72" s="1">
        <v>4</v>
      </c>
      <c r="N72" s="31">
        <v>2</v>
      </c>
      <c r="O72" s="1">
        <v>7</v>
      </c>
      <c r="P72" s="1">
        <v>4</v>
      </c>
      <c r="Q72" s="31">
        <v>4</v>
      </c>
      <c r="R72" s="1">
        <v>6</v>
      </c>
      <c r="S72" s="1">
        <v>7</v>
      </c>
      <c r="T72" s="1" t="s">
        <v>2027</v>
      </c>
      <c r="U72" s="1" t="s">
        <v>2027</v>
      </c>
      <c r="V72" s="1" t="s">
        <v>2027</v>
      </c>
      <c r="W72" s="1" t="s">
        <v>2027</v>
      </c>
      <c r="X72" s="1">
        <v>7</v>
      </c>
      <c r="Y72" s="1">
        <v>7</v>
      </c>
      <c r="Z72" s="1" t="s">
        <v>2027</v>
      </c>
      <c r="AA72" s="1" t="s">
        <v>2027</v>
      </c>
      <c r="AB72" s="1" t="s">
        <v>2027</v>
      </c>
      <c r="AC72" s="1" t="s">
        <v>2027</v>
      </c>
      <c r="AD72" s="1" t="s">
        <v>2027</v>
      </c>
      <c r="AE72" s="1" t="s">
        <v>2027</v>
      </c>
      <c r="AF72" s="1" t="s">
        <v>2027</v>
      </c>
      <c r="AG72" s="1" t="s">
        <v>2027</v>
      </c>
      <c r="AH72" s="1" t="s">
        <v>2027</v>
      </c>
      <c r="AI72" s="1" t="s">
        <v>2027</v>
      </c>
      <c r="AJ72" s="1" t="s">
        <v>2027</v>
      </c>
      <c r="AK72" s="1" t="s">
        <v>2027</v>
      </c>
      <c r="AL72" s="1" t="s">
        <v>2027</v>
      </c>
      <c r="AM72" s="1" t="s">
        <v>2027</v>
      </c>
      <c r="AN72" s="1" t="s">
        <v>2027</v>
      </c>
      <c r="AO72" s="31" t="s">
        <v>2027</v>
      </c>
      <c r="AP72" s="1" t="s">
        <v>2031</v>
      </c>
      <c r="AQ72" s="1">
        <v>1</v>
      </c>
      <c r="AR72" s="32">
        <v>0.5</v>
      </c>
      <c r="AS72" s="45" t="s">
        <v>2029</v>
      </c>
      <c r="AT72" s="9">
        <f>($O$3*(L72-$O$1)/$O$2+$P$3*(M72-$P$1)/$P$2+$Q$3*(N72-$P$1)/$Q$2)/SUM($O$3:$Q$3)</f>
        <v>-0.89941190007745386</v>
      </c>
      <c r="AU72" s="9">
        <f>($O$3*(O72-$O$1)/$O$2+$P$3*(P72-$P$1)/$P$2+$Q$3*(Q72-$Q$1)/$Q$2)/SUM($O$3:$Q$3)</f>
        <v>0.22541530727701206</v>
      </c>
      <c r="AV72">
        <f>COUNT(R72:AO72)/2</f>
        <v>2</v>
      </c>
      <c r="AW72">
        <f>COUNTIF(R72:AO72,"&gt;5")/2</f>
        <v>2</v>
      </c>
      <c r="AX72" s="6">
        <f>VLOOKUP(AP72,COND!$A$10:$B$31,2,FALSE)</f>
        <v>1.05</v>
      </c>
      <c r="AY72" s="9">
        <f>($AT$3*AT72+$AU$3*AU72+$AV$3*AV72+$AW$3*AW72)*AX72*IF(AQ72&lt;5,0.95,IF(AQ72&lt;7,0.975,1))+$J$3*VLOOKUP(J72,[1]Con!$A$2:$C$7,2,FALSE)+$K$3*VLOOKUP(K72,[1]Con!$A$2:$C$7,3,FALSE)+IF(BA72="SP",$BA$3,0)</f>
        <v>39.608852706110937</v>
      </c>
      <c r="AZ72" s="37">
        <f>STANDARDIZE(AY72,AVERAGE($AY$5:$AY$1116),STDEVP($AY$5:$AY$1116))</f>
        <v>0.45152073835491041</v>
      </c>
      <c r="BA72" t="str">
        <f>IF(OR(AND(AQ72&gt;7,AW72&gt;1),AND(AQ72&gt;4,AV72&gt;2)),"SP","RP")</f>
        <v>RP</v>
      </c>
      <c r="BC72">
        <f>VLOOKUP($A72,'Draft List'!$A$4:$V$530,22,FALSE)</f>
        <v>0</v>
      </c>
      <c r="BD72" t="s">
        <v>57</v>
      </c>
      <c r="BE72" t="str">
        <f>IF(AVERAGE($O72:$Q72)&gt;=6,"Likely",IF(AVERAGE($O72:$Q72)&gt;=4,"Possible","Unlikely"))</f>
        <v>Possible</v>
      </c>
      <c r="BG72" t="str">
        <f>IF(VLOOKUP($B72,'Draft List'!$D$4:$AB$2598,BG$3,FALSE)&lt;&gt;0,VLOOKUP($B72,'Draft List'!$D$4:$AB$2598,BG$3,FALSE),"")</f>
        <v/>
      </c>
      <c r="BH72" t="str">
        <f>IF(VLOOKUP($B72,'Draft List'!$D$4:$AB$2598,BH$3,FALSE)&lt;&gt;0,VLOOKUP($B72,'Draft List'!$D$4:$AB$2598,BH$3,FALSE),"")</f>
        <v/>
      </c>
      <c r="BI72" t="str">
        <f>IF(VLOOKUP($B72,'Draft List'!$D$4:$AB$2598,BI$3,FALSE)&lt;&gt;0,VLOOKUP($B72,'Draft List'!$D$4:$AB$2598,BI$3,FALSE),"")</f>
        <v/>
      </c>
      <c r="BJ72" t="str">
        <f>IF(OR(C72="SP",C72="MR",C72="CL"),"P",VLOOKUP($A72,Bat!$A$4:$AP$1287,42,FALSE))</f>
        <v>P</v>
      </c>
    </row>
    <row r="73" spans="1:62">
      <c r="A73" t="str">
        <f>C73&amp;D73&amp;E73</f>
        <v>SPFelipe Soriano18</v>
      </c>
      <c r="B73">
        <f>VLOOKUP($A73,draft_listing_pitchers_stats!$A$1:$B$1324,2,FALSE)</f>
        <v>13841</v>
      </c>
      <c r="C73" s="1" t="s">
        <v>2003</v>
      </c>
      <c r="D73" s="1" t="s">
        <v>1157</v>
      </c>
      <c r="E73" s="1">
        <v>18</v>
      </c>
      <c r="F73" s="1" t="s">
        <v>2022</v>
      </c>
      <c r="G73" s="1" t="s">
        <v>2038</v>
      </c>
      <c r="H73" s="1" t="s">
        <v>2033</v>
      </c>
      <c r="I73" s="31" t="s">
        <v>2023</v>
      </c>
      <c r="J73" s="1" t="s">
        <v>2026</v>
      </c>
      <c r="K73" s="31" t="s">
        <v>2025</v>
      </c>
      <c r="L73" s="1">
        <v>1</v>
      </c>
      <c r="M73" s="1">
        <v>4</v>
      </c>
      <c r="N73" s="31">
        <v>1</v>
      </c>
      <c r="O73" s="1">
        <v>4</v>
      </c>
      <c r="P73" s="1">
        <v>5</v>
      </c>
      <c r="Q73" s="31">
        <v>6</v>
      </c>
      <c r="R73" s="1">
        <v>2</v>
      </c>
      <c r="S73" s="1">
        <v>5</v>
      </c>
      <c r="T73" s="1">
        <v>1</v>
      </c>
      <c r="U73" s="1">
        <v>6</v>
      </c>
      <c r="V73" s="1">
        <v>1</v>
      </c>
      <c r="W73" s="1">
        <v>2</v>
      </c>
      <c r="X73" s="1" t="s">
        <v>2027</v>
      </c>
      <c r="Y73" s="1" t="s">
        <v>2027</v>
      </c>
      <c r="Z73" s="1" t="s">
        <v>2027</v>
      </c>
      <c r="AA73" s="1" t="s">
        <v>2027</v>
      </c>
      <c r="AB73" s="1" t="s">
        <v>2027</v>
      </c>
      <c r="AC73" s="1" t="s">
        <v>2027</v>
      </c>
      <c r="AD73" s="1">
        <v>2</v>
      </c>
      <c r="AE73" s="1">
        <v>5</v>
      </c>
      <c r="AF73" s="1" t="s">
        <v>2027</v>
      </c>
      <c r="AG73" s="1" t="s">
        <v>2027</v>
      </c>
      <c r="AH73" s="1" t="s">
        <v>2027</v>
      </c>
      <c r="AI73" s="1" t="s">
        <v>2027</v>
      </c>
      <c r="AJ73" s="1" t="s">
        <v>2027</v>
      </c>
      <c r="AK73" s="1" t="s">
        <v>2027</v>
      </c>
      <c r="AL73" s="1" t="s">
        <v>2027</v>
      </c>
      <c r="AM73" s="1" t="s">
        <v>2027</v>
      </c>
      <c r="AN73" s="1" t="s">
        <v>2027</v>
      </c>
      <c r="AO73" s="31" t="s">
        <v>2027</v>
      </c>
      <c r="AP73" s="1" t="s">
        <v>2059</v>
      </c>
      <c r="AQ73" s="1">
        <v>5</v>
      </c>
      <c r="AR73" s="32">
        <v>0.53</v>
      </c>
      <c r="AS73" s="45" t="s">
        <v>2029</v>
      </c>
      <c r="AT73" s="9">
        <f>($O$3*(L73-$O$1)/$O$2+$P$3*(M73-$P$1)/$P$2+$Q$3*(N73-$P$1)/$Q$2)/SUM($O$3:$Q$3)</f>
        <v>-2.1151890886774316</v>
      </c>
      <c r="AU73" s="9">
        <f>($O$3*(O73-$O$1)/$O$2+$P$3*(P73-$P$1)/$P$2+$Q$3*(Q73-$Q$1)/$Q$2)/SUM($O$3:$Q$3)</f>
        <v>0.32141418228776775</v>
      </c>
      <c r="AV73">
        <f>COUNT(R73:AO73)/2</f>
        <v>4</v>
      </c>
      <c r="AW73">
        <f>COUNTIF(R73:AO73,"&gt;5")/2</f>
        <v>0.5</v>
      </c>
      <c r="AX73" s="6">
        <f>VLOOKUP(AP73,COND!$A$10:$B$31,2,FALSE)</f>
        <v>0.9</v>
      </c>
      <c r="AY73" s="9">
        <f>($AT$3*AT73+$AU$3*AU73+$AV$3*AV73+$AW$3*AW73)*AX73*IF(AQ73&lt;5,0.95,IF(AQ73&lt;7,0.975,1))+$J$3*VLOOKUP(J73,[1]Con!$A$2:$C$7,2,FALSE)+$K$3*VLOOKUP(K73,[1]Con!$A$2:$C$7,3,FALSE)+IF(BA73="SP",$BA$3,0)</f>
        <v>38.823040714087441</v>
      </c>
      <c r="AZ73" s="37">
        <f>STANDARDIZE(AY73,AVERAGE($AY$5:$AY$1116),STDEVP($AY$5:$AY$1116))</f>
        <v>0.38913784292421499</v>
      </c>
      <c r="BA73" t="str">
        <f>IF(OR(AND(AQ73&gt;7,AW73&gt;1),AND(AQ73&gt;4,AV73&gt;2)),"SP","RP")</f>
        <v>SP</v>
      </c>
      <c r="BC73">
        <f>VLOOKUP($A73,'Draft List'!$A$4:$V$530,22,FALSE)</f>
        <v>0</v>
      </c>
      <c r="BD73" t="s">
        <v>58</v>
      </c>
      <c r="BE73" t="str">
        <f>IF(AVERAGE($O73:$Q73)&gt;=6,"Likely",IF(AVERAGE($O73:$Q73)&gt;=4,"Possible","Unlikely"))</f>
        <v>Possible</v>
      </c>
      <c r="BG73" t="str">
        <f>IF(VLOOKUP($B73,'Draft List'!$D$4:$AB$2598,BG$3,FALSE)&lt;&gt;0,VLOOKUP($B73,'Draft List'!$D$4:$AB$2598,BG$3,FALSE),"")</f>
        <v/>
      </c>
      <c r="BH73" t="str">
        <f>IF(VLOOKUP($B73,'Draft List'!$D$4:$AB$2598,BH$3,FALSE)&lt;&gt;0,VLOOKUP($B73,'Draft List'!$D$4:$AB$2598,BH$3,FALSE),"")</f>
        <v/>
      </c>
      <c r="BI73" t="str">
        <f>IF(VLOOKUP($B73,'Draft List'!$D$4:$AB$2598,BI$3,FALSE)&lt;&gt;0,VLOOKUP($B73,'Draft List'!$D$4:$AB$2598,BI$3,FALSE),"")</f>
        <v/>
      </c>
      <c r="BJ73" t="str">
        <f>IF(OR(C73="SP",C73="MR",C73="CL"),"P",VLOOKUP($A73,Bat!$A$4:$AP$1287,42,FALSE))</f>
        <v>P</v>
      </c>
    </row>
    <row r="74" spans="1:62">
      <c r="A74" t="str">
        <f>C74&amp;D74&amp;E74</f>
        <v>SPChris Longworth21</v>
      </c>
      <c r="B74">
        <f>VLOOKUP($A74,draft_listing_pitchers_stats!$A$1:$B$1324,2,FALSE)</f>
        <v>2149</v>
      </c>
      <c r="C74" s="1" t="s">
        <v>2003</v>
      </c>
      <c r="D74" s="1" t="s">
        <v>1129</v>
      </c>
      <c r="E74" s="1">
        <v>21</v>
      </c>
      <c r="F74" s="1" t="s">
        <v>2038</v>
      </c>
      <c r="G74" s="1" t="s">
        <v>2038</v>
      </c>
      <c r="H74" s="1" t="s">
        <v>2033</v>
      </c>
      <c r="I74" s="31" t="s">
        <v>2023</v>
      </c>
      <c r="J74" s="1" t="s">
        <v>2036</v>
      </c>
      <c r="K74" s="31" t="s">
        <v>2036</v>
      </c>
      <c r="L74" s="1">
        <v>5</v>
      </c>
      <c r="M74" s="1">
        <v>4</v>
      </c>
      <c r="N74" s="31">
        <v>1</v>
      </c>
      <c r="O74" s="1">
        <v>6</v>
      </c>
      <c r="P74" s="1">
        <v>4</v>
      </c>
      <c r="Q74" s="31">
        <v>4</v>
      </c>
      <c r="R74" s="1">
        <v>6</v>
      </c>
      <c r="S74" s="1">
        <v>7</v>
      </c>
      <c r="T74" s="1">
        <v>4</v>
      </c>
      <c r="U74" s="1">
        <v>4</v>
      </c>
      <c r="V74" s="1" t="s">
        <v>2027</v>
      </c>
      <c r="W74" s="1" t="s">
        <v>2027</v>
      </c>
      <c r="X74" s="1">
        <v>4</v>
      </c>
      <c r="Y74" s="1">
        <v>5</v>
      </c>
      <c r="Z74" s="1" t="s">
        <v>2027</v>
      </c>
      <c r="AA74" s="1" t="s">
        <v>2027</v>
      </c>
      <c r="AB74" s="1" t="s">
        <v>2027</v>
      </c>
      <c r="AC74" s="1" t="s">
        <v>2027</v>
      </c>
      <c r="AD74" s="1">
        <v>5</v>
      </c>
      <c r="AE74" s="1">
        <v>6</v>
      </c>
      <c r="AF74" s="1" t="s">
        <v>2027</v>
      </c>
      <c r="AG74" s="1" t="s">
        <v>2027</v>
      </c>
      <c r="AH74" s="1" t="s">
        <v>2027</v>
      </c>
      <c r="AI74" s="1" t="s">
        <v>2027</v>
      </c>
      <c r="AJ74" s="1" t="s">
        <v>2027</v>
      </c>
      <c r="AK74" s="1" t="s">
        <v>2027</v>
      </c>
      <c r="AL74" s="1" t="s">
        <v>2027</v>
      </c>
      <c r="AM74" s="1" t="s">
        <v>2027</v>
      </c>
      <c r="AN74" s="1" t="s">
        <v>2027</v>
      </c>
      <c r="AO74" s="31" t="s">
        <v>2027</v>
      </c>
      <c r="AP74" s="1" t="s">
        <v>2048</v>
      </c>
      <c r="AQ74" s="1">
        <v>6</v>
      </c>
      <c r="AR74" s="32">
        <v>0.5</v>
      </c>
      <c r="AS74" s="45" t="s">
        <v>2029</v>
      </c>
      <c r="AT74" s="9">
        <f>($O$3*(L74-$O$1)/$O$2+$P$3*(M74-$P$1)/$P$2+$Q$3*(N74-$P$1)/$Q$2)/SUM($O$3:$Q$3)</f>
        <v>-1.3364237906407377</v>
      </c>
      <c r="AU74" s="9">
        <f>($O$3*(O74-$O$1)/$O$2+$P$3*(P74-$P$1)/$P$2+$Q$3*(Q74-$Q$1)/$Q$2)/SUM($O$3:$Q$3)</f>
        <v>3.0723982767838571E-2</v>
      </c>
      <c r="AV74">
        <f>COUNT(R74:AO74)/2</f>
        <v>4</v>
      </c>
      <c r="AW74">
        <f>COUNTIF(R74:AO74,"&gt;5")/2</f>
        <v>1.5</v>
      </c>
      <c r="AX74" s="6">
        <f>VLOOKUP(AP74,COND!$A$10:$B$31,2,FALSE)</f>
        <v>1.05</v>
      </c>
      <c r="AY74" s="9">
        <f>($AT$3*AT74+$AU$3*AU74+$AV$3*AV74+$AW$3*AW74)*AX74*IF(AQ74&lt;5,0.95,IF(AQ74&lt;7,0.975,1))+$J$3*VLOOKUP(J74,[1]Con!$A$2:$C$7,2,FALSE)+$K$3*VLOOKUP(K74,[1]Con!$A$2:$C$7,3,FALSE)+IF(BA74="SP",$BA$3,0)</f>
        <v>38.422472026037809</v>
      </c>
      <c r="AZ74" s="37">
        <f>STANDARDIZE(AY74,AVERAGE($AY$5:$AY$1116),STDEVP($AY$5:$AY$1116))</f>
        <v>0.35733808059803279</v>
      </c>
      <c r="BA74" t="str">
        <f>IF(OR(AND(AQ74&gt;7,AW74&gt;1),AND(AQ74&gt;4,AV74&gt;2)),"SP","RP")</f>
        <v>SP</v>
      </c>
      <c r="BC74">
        <f>VLOOKUP($A74,'Draft List'!$A$4:$V$530,22,FALSE)</f>
        <v>0</v>
      </c>
      <c r="BD74" t="s">
        <v>162</v>
      </c>
      <c r="BE74" t="str">
        <f>IF(AVERAGE($O74:$Q74)&gt;=6,"Likely",IF(AVERAGE($O74:$Q74)&gt;=4,"Possible","Unlikely"))</f>
        <v>Possible</v>
      </c>
      <c r="BG74" t="str">
        <f>IF(VLOOKUP($B74,'Draft List'!$D$4:$AB$2598,BG$3,FALSE)&lt;&gt;0,VLOOKUP($B74,'Draft List'!$D$4:$AB$2598,BG$3,FALSE),"")</f>
        <v/>
      </c>
      <c r="BH74" t="str">
        <f>IF(VLOOKUP($B74,'Draft List'!$D$4:$AB$2598,BH$3,FALSE)&lt;&gt;0,VLOOKUP($B74,'Draft List'!$D$4:$AB$2598,BH$3,FALSE),"")</f>
        <v/>
      </c>
      <c r="BI74" t="str">
        <f>IF(VLOOKUP($B74,'Draft List'!$D$4:$AB$2598,BI$3,FALSE)&lt;&gt;0,VLOOKUP($B74,'Draft List'!$D$4:$AB$2598,BI$3,FALSE),"")</f>
        <v/>
      </c>
      <c r="BJ74" t="str">
        <f>IF(OR(C74="SP",C74="MR",C74="CL"),"P",VLOOKUP($A74,Bat!$A$4:$AP$1287,42,FALSE))</f>
        <v>P</v>
      </c>
    </row>
    <row r="75" spans="1:62">
      <c r="A75" t="str">
        <f>C75&amp;D75&amp;E75</f>
        <v>MRJim Lehman21</v>
      </c>
      <c r="B75">
        <f>VLOOKUP($A75,draft_listing_pitchers_stats!$A$1:$B$1324,2,FALSE)</f>
        <v>7780</v>
      </c>
      <c r="C75" s="1" t="s">
        <v>2021</v>
      </c>
      <c r="D75" s="1" t="s">
        <v>1127</v>
      </c>
      <c r="E75" s="1">
        <v>21</v>
      </c>
      <c r="F75" s="1" t="s">
        <v>2038</v>
      </c>
      <c r="G75" s="1" t="s">
        <v>2022</v>
      </c>
      <c r="H75" s="1" t="s">
        <v>2033</v>
      </c>
      <c r="I75" s="31" t="s">
        <v>2023</v>
      </c>
      <c r="J75" s="1" t="s">
        <v>2036</v>
      </c>
      <c r="K75" s="31" t="s">
        <v>2025</v>
      </c>
      <c r="L75" s="1">
        <v>4</v>
      </c>
      <c r="M75" s="1">
        <v>4</v>
      </c>
      <c r="N75" s="31">
        <v>3</v>
      </c>
      <c r="O75" s="1">
        <v>6</v>
      </c>
      <c r="P75" s="1">
        <v>4</v>
      </c>
      <c r="Q75" s="31">
        <v>5</v>
      </c>
      <c r="R75" s="1">
        <v>5</v>
      </c>
      <c r="S75" s="1">
        <v>6</v>
      </c>
      <c r="T75" s="1">
        <v>3</v>
      </c>
      <c r="U75" s="1">
        <v>7</v>
      </c>
      <c r="V75" s="1" t="s">
        <v>2027</v>
      </c>
      <c r="W75" s="1" t="s">
        <v>2027</v>
      </c>
      <c r="X75" s="1" t="s">
        <v>2027</v>
      </c>
      <c r="Y75" s="1" t="s">
        <v>2027</v>
      </c>
      <c r="Z75" s="1" t="s">
        <v>2027</v>
      </c>
      <c r="AA75" s="1" t="s">
        <v>2027</v>
      </c>
      <c r="AB75" s="1" t="s">
        <v>2027</v>
      </c>
      <c r="AC75" s="1" t="s">
        <v>2027</v>
      </c>
      <c r="AD75" s="1" t="s">
        <v>2027</v>
      </c>
      <c r="AE75" s="1" t="s">
        <v>2027</v>
      </c>
      <c r="AF75" s="1" t="s">
        <v>2027</v>
      </c>
      <c r="AG75" s="1" t="s">
        <v>2027</v>
      </c>
      <c r="AH75" s="1" t="s">
        <v>2027</v>
      </c>
      <c r="AI75" s="1" t="s">
        <v>2027</v>
      </c>
      <c r="AJ75" s="1" t="s">
        <v>2027</v>
      </c>
      <c r="AK75" s="1" t="s">
        <v>2027</v>
      </c>
      <c r="AL75" s="1" t="s">
        <v>2027</v>
      </c>
      <c r="AM75" s="1" t="s">
        <v>2027</v>
      </c>
      <c r="AN75" s="1" t="s">
        <v>2027</v>
      </c>
      <c r="AO75" s="31" t="s">
        <v>2027</v>
      </c>
      <c r="AP75" s="1" t="s">
        <v>2042</v>
      </c>
      <c r="AQ75" s="1">
        <v>6</v>
      </c>
      <c r="AR75" s="32">
        <v>0.41</v>
      </c>
      <c r="AS75" s="45" t="s">
        <v>2029</v>
      </c>
      <c r="AT75" s="9">
        <f>($O$3*(L75-$O$1)/$O$2+$P$3*(M75-$P$1)/$P$2+$Q$3*(N75-$P$1)/$Q$2)/SUM($O$3:$Q$3)</f>
        <v>-1.0464739830416905</v>
      </c>
      <c r="AU75" s="9">
        <f>($O$3*(O75-$O$1)/$O$2+$P$3*(P75-$P$1)/$P$2+$Q$3*(Q75-$Q$1)/$Q$2)/SUM($O$3:$Q$3)</f>
        <v>0.27304454882194901</v>
      </c>
      <c r="AV75">
        <f>COUNT(R75:AO75)/2</f>
        <v>2</v>
      </c>
      <c r="AW75">
        <f>COUNTIF(R75:AO75,"&gt;5")/2</f>
        <v>1</v>
      </c>
      <c r="AX75" s="6">
        <f>VLOOKUP(AP75,COND!$A$10:$B$31,2,FALSE)</f>
        <v>1</v>
      </c>
      <c r="AY75" s="9">
        <f>($AT$3*AT75+$AU$3*AU75+$AV$3*AV75+$AW$3*AW75)*AX75*IF(AQ75&lt;5,0.95,IF(AQ75&lt;7,0.975,1))+$J$3*VLOOKUP(J75,[1]Con!$A$2:$C$7,2,FALSE)+$K$3*VLOOKUP(K75,[1]Con!$A$2:$C$7,3,FALSE)+IF(BA75="SP",$BA$3,0)</f>
        <v>38.364056275334875</v>
      </c>
      <c r="AZ75" s="37">
        <f>STANDARDIZE(AY75,AVERAGE($AY$5:$AY$1116),STDEVP($AY$5:$AY$1116))</f>
        <v>0.35270065624641028</v>
      </c>
      <c r="BA75" t="str">
        <f>IF(OR(AND(AQ75&gt;7,AW75&gt;1),AND(AQ75&gt;4,AV75&gt;2)),"SP","RP")</f>
        <v>RP</v>
      </c>
      <c r="BC75">
        <f>VLOOKUP($A75,'Draft List'!$A$4:$V$530,22,FALSE)</f>
        <v>0</v>
      </c>
      <c r="BD75" t="s">
        <v>159</v>
      </c>
      <c r="BE75" t="str">
        <f>IF(AVERAGE($O75:$Q75)&gt;=6,"Likely",IF(AVERAGE($O75:$Q75)&gt;=4,"Possible","Unlikely"))</f>
        <v>Possible</v>
      </c>
      <c r="BG75" t="str">
        <f>IF(VLOOKUP($B75,'Draft List'!$D$4:$AB$2598,BG$3,FALSE)&lt;&gt;0,VLOOKUP($B75,'Draft List'!$D$4:$AB$2598,BG$3,FALSE),"")</f>
        <v/>
      </c>
      <c r="BH75" t="str">
        <f>IF(VLOOKUP($B75,'Draft List'!$D$4:$AB$2598,BH$3,FALSE)&lt;&gt;0,VLOOKUP($B75,'Draft List'!$D$4:$AB$2598,BH$3,FALSE),"")</f>
        <v/>
      </c>
      <c r="BI75" t="str">
        <f>IF(VLOOKUP($B75,'Draft List'!$D$4:$AB$2598,BI$3,FALSE)&lt;&gt;0,VLOOKUP($B75,'Draft List'!$D$4:$AB$2598,BI$3,FALSE),"")</f>
        <v/>
      </c>
      <c r="BJ75" t="str">
        <f>IF(OR(C75="SP",C75="MR",C75="CL"),"P",VLOOKUP($A75,Bat!$A$4:$AP$1287,42,FALSE))</f>
        <v>P</v>
      </c>
    </row>
    <row r="76" spans="1:62">
      <c r="A76" t="str">
        <f>C76&amp;D76&amp;E76</f>
        <v>SPArlen Roberts21</v>
      </c>
      <c r="B76">
        <f>VLOOKUP($A76,draft_listing_pitchers_stats!$A$1:$B$1324,2,FALSE)</f>
        <v>2286</v>
      </c>
      <c r="C76" s="1" t="s">
        <v>2003</v>
      </c>
      <c r="D76" s="1" t="s">
        <v>1147</v>
      </c>
      <c r="E76" s="1">
        <v>21</v>
      </c>
      <c r="F76" s="1" t="s">
        <v>2038</v>
      </c>
      <c r="G76" s="1" t="s">
        <v>2022</v>
      </c>
      <c r="H76" s="1" t="s">
        <v>2033</v>
      </c>
      <c r="I76" s="31" t="s">
        <v>2023</v>
      </c>
      <c r="J76" s="1" t="s">
        <v>2025</v>
      </c>
      <c r="K76" s="31" t="s">
        <v>2036</v>
      </c>
      <c r="L76" s="1">
        <v>5</v>
      </c>
      <c r="M76" s="1">
        <v>4</v>
      </c>
      <c r="N76" s="31">
        <v>2</v>
      </c>
      <c r="O76" s="1">
        <v>6</v>
      </c>
      <c r="P76" s="1">
        <v>4</v>
      </c>
      <c r="Q76" s="31">
        <v>4</v>
      </c>
      <c r="R76" s="1">
        <v>7</v>
      </c>
      <c r="S76" s="1">
        <v>8</v>
      </c>
      <c r="T76" s="1">
        <v>6</v>
      </c>
      <c r="U76" s="1">
        <v>6</v>
      </c>
      <c r="V76" s="1" t="s">
        <v>2027</v>
      </c>
      <c r="W76" s="1" t="s">
        <v>2027</v>
      </c>
      <c r="X76" s="1">
        <v>5</v>
      </c>
      <c r="Y76" s="1">
        <v>6</v>
      </c>
      <c r="Z76" s="1" t="s">
        <v>2027</v>
      </c>
      <c r="AA76" s="1" t="s">
        <v>2027</v>
      </c>
      <c r="AB76" s="1" t="s">
        <v>2027</v>
      </c>
      <c r="AC76" s="1" t="s">
        <v>2027</v>
      </c>
      <c r="AD76" s="1" t="s">
        <v>2027</v>
      </c>
      <c r="AE76" s="1" t="s">
        <v>2027</v>
      </c>
      <c r="AF76" s="1" t="s">
        <v>2027</v>
      </c>
      <c r="AG76" s="1" t="s">
        <v>2027</v>
      </c>
      <c r="AH76" s="1" t="s">
        <v>2027</v>
      </c>
      <c r="AI76" s="1" t="s">
        <v>2027</v>
      </c>
      <c r="AJ76" s="1" t="s">
        <v>2027</v>
      </c>
      <c r="AK76" s="1" t="s">
        <v>2027</v>
      </c>
      <c r="AL76" s="1" t="s">
        <v>2027</v>
      </c>
      <c r="AM76" s="1" t="s">
        <v>2027</v>
      </c>
      <c r="AN76" s="1" t="s">
        <v>2027</v>
      </c>
      <c r="AO76" s="31" t="s">
        <v>2027</v>
      </c>
      <c r="AP76" s="1" t="s">
        <v>2031</v>
      </c>
      <c r="AQ76" s="1">
        <v>6</v>
      </c>
      <c r="AR76" s="32">
        <v>0.5</v>
      </c>
      <c r="AS76" s="45" t="s">
        <v>2029</v>
      </c>
      <c r="AT76" s="9">
        <f>($O$3*(L76-$O$1)/$O$2+$P$3*(M76-$P$1)/$P$2+$Q$3*(N76-$P$1)/$Q$2)/SUM($O$3:$Q$3)</f>
        <v>-1.0941032245866273</v>
      </c>
      <c r="AU76" s="9">
        <f>($O$3*(O76-$O$1)/$O$2+$P$3*(P76-$P$1)/$P$2+$Q$3*(Q76-$Q$1)/$Q$2)/SUM($O$3:$Q$3)</f>
        <v>3.0723982767838571E-2</v>
      </c>
      <c r="AV76">
        <f>COUNT(R76:AO76)/2</f>
        <v>3</v>
      </c>
      <c r="AW76">
        <f>COUNTIF(R76:AO76,"&gt;5")/2</f>
        <v>2.5</v>
      </c>
      <c r="AX76" s="6">
        <f>VLOOKUP(AP76,COND!$A$10:$B$31,2,FALSE)</f>
        <v>1.05</v>
      </c>
      <c r="AY76" s="9">
        <f>($AT$3*AT76+$AU$3*AU76+$AV$3*AV76+$AW$3*AW76)*AX76*IF(AQ76&lt;5,0.95,IF(AQ76&lt;7,0.975,1))+$J$3*VLOOKUP(J76,[1]Con!$A$2:$C$7,2,FALSE)+$K$3*VLOOKUP(K76,[1]Con!$A$2:$C$7,3,FALSE)+IF(BA76="SP",$BA$3,0)</f>
        <v>38.189899661937389</v>
      </c>
      <c r="AZ76" s="37">
        <f>STANDARDIZE(AY76,AVERAGE($AY$5:$AY$1116),STDEVP($AY$5:$AY$1116))</f>
        <v>0.33887496522563171</v>
      </c>
      <c r="BA76" t="str">
        <f>IF(OR(AND(AQ76&gt;7,AW76&gt;1),AND(AQ76&gt;4,AV76&gt;2)),"SP","RP")</f>
        <v>SP</v>
      </c>
      <c r="BC76">
        <f>VLOOKUP($A76,'Draft List'!$A$4:$V$530,22,FALSE)</f>
        <v>0</v>
      </c>
      <c r="BD76" t="s">
        <v>160</v>
      </c>
      <c r="BE76" t="str">
        <f>IF(AVERAGE($O76:$Q76)&gt;=6,"Likely",IF(AVERAGE($O76:$Q76)&gt;=4,"Possible","Unlikely"))</f>
        <v>Possible</v>
      </c>
      <c r="BG76" t="str">
        <f>IF(VLOOKUP($B76,'Draft List'!$D$4:$AB$2598,BG$3,FALSE)&lt;&gt;0,VLOOKUP($B76,'Draft List'!$D$4:$AB$2598,BG$3,FALSE),"")</f>
        <v/>
      </c>
      <c r="BH76" t="str">
        <f>IF(VLOOKUP($B76,'Draft List'!$D$4:$AB$2598,BH$3,FALSE)&lt;&gt;0,VLOOKUP($B76,'Draft List'!$D$4:$AB$2598,BH$3,FALSE),"")</f>
        <v/>
      </c>
      <c r="BI76" t="str">
        <f>IF(VLOOKUP($B76,'Draft List'!$D$4:$AB$2598,BI$3,FALSE)&lt;&gt;0,VLOOKUP($B76,'Draft List'!$D$4:$AB$2598,BI$3,FALSE),"")</f>
        <v/>
      </c>
      <c r="BJ76" t="str">
        <f>IF(OR(C76="SP",C76="MR",C76="CL"),"P",VLOOKUP($A76,Bat!$A$4:$AP$1287,42,FALSE))</f>
        <v>P</v>
      </c>
    </row>
    <row r="77" spans="1:62">
      <c r="A77" t="str">
        <f>C77&amp;D77&amp;E77</f>
        <v>SPJon Burris18</v>
      </c>
      <c r="B77">
        <f>VLOOKUP($A77,draft_listing_pitchers_stats!$A$1:$B$1324,2,FALSE)</f>
        <v>13757</v>
      </c>
      <c r="C77" s="1" t="s">
        <v>2003</v>
      </c>
      <c r="D77" s="1" t="s">
        <v>1101</v>
      </c>
      <c r="E77" s="1">
        <v>18</v>
      </c>
      <c r="F77" s="1" t="s">
        <v>2049</v>
      </c>
      <c r="G77" s="1" t="s">
        <v>2022</v>
      </c>
      <c r="H77" s="1" t="s">
        <v>2033</v>
      </c>
      <c r="I77" s="31" t="s">
        <v>2023</v>
      </c>
      <c r="J77" s="1" t="s">
        <v>2026</v>
      </c>
      <c r="K77" s="31" t="s">
        <v>2040</v>
      </c>
      <c r="L77" s="1">
        <v>1</v>
      </c>
      <c r="M77" s="1">
        <v>5</v>
      </c>
      <c r="N77" s="31">
        <v>1</v>
      </c>
      <c r="O77" s="1">
        <v>4</v>
      </c>
      <c r="P77" s="1">
        <v>7</v>
      </c>
      <c r="Q77" s="31">
        <v>5</v>
      </c>
      <c r="R77" s="1">
        <v>2</v>
      </c>
      <c r="S77" s="1">
        <v>4</v>
      </c>
      <c r="T77" s="1">
        <v>1</v>
      </c>
      <c r="U77" s="1">
        <v>6</v>
      </c>
      <c r="V77" s="1">
        <v>1</v>
      </c>
      <c r="W77" s="1">
        <v>5</v>
      </c>
      <c r="X77" s="1" t="s">
        <v>2027</v>
      </c>
      <c r="Y77" s="1" t="s">
        <v>2027</v>
      </c>
      <c r="Z77" s="1" t="s">
        <v>2027</v>
      </c>
      <c r="AA77" s="1" t="s">
        <v>2027</v>
      </c>
      <c r="AB77" s="1" t="s">
        <v>2027</v>
      </c>
      <c r="AC77" s="1" t="s">
        <v>2027</v>
      </c>
      <c r="AD77" s="1" t="s">
        <v>2027</v>
      </c>
      <c r="AE77" s="1" t="s">
        <v>2027</v>
      </c>
      <c r="AF77" s="1" t="s">
        <v>2027</v>
      </c>
      <c r="AG77" s="1" t="s">
        <v>2027</v>
      </c>
      <c r="AH77" s="1" t="s">
        <v>2027</v>
      </c>
      <c r="AI77" s="1" t="s">
        <v>2027</v>
      </c>
      <c r="AJ77" s="1" t="s">
        <v>2027</v>
      </c>
      <c r="AK77" s="1" t="s">
        <v>2027</v>
      </c>
      <c r="AL77" s="1" t="s">
        <v>2027</v>
      </c>
      <c r="AM77" s="1" t="s">
        <v>2027</v>
      </c>
      <c r="AN77" s="1" t="s">
        <v>2027</v>
      </c>
      <c r="AO77" s="31" t="s">
        <v>2027</v>
      </c>
      <c r="AP77" s="1" t="s">
        <v>2059</v>
      </c>
      <c r="AQ77" s="1">
        <v>6</v>
      </c>
      <c r="AR77" s="32">
        <v>0.57999999999999996</v>
      </c>
      <c r="AS77" s="45" t="s">
        <v>2029</v>
      </c>
      <c r="AT77" s="9">
        <f>($O$3*(L77-$O$1)/$O$2+$P$3*(M77-$P$1)/$P$2+$Q$3*(N77-$P$1)/$Q$2)/SUM($O$3:$Q$3)</f>
        <v>-1.9197573722473762</v>
      </c>
      <c r="AU77" s="9">
        <f>($O$3*(O77-$O$1)/$O$2+$P$3*(P77-$P$1)/$P$2+$Q$3*(Q77-$Q$1)/$Q$2)/SUM($O$3:$Q$3)</f>
        <v>0.46995704909376823</v>
      </c>
      <c r="AV77">
        <f>COUNT(R77:AO77)/2</f>
        <v>3</v>
      </c>
      <c r="AW77">
        <f>COUNTIF(R77:AO77,"&gt;5")/2</f>
        <v>0.5</v>
      </c>
      <c r="AX77" s="6">
        <f>VLOOKUP(AP77,COND!$A$10:$B$31,2,FALSE)</f>
        <v>0.9</v>
      </c>
      <c r="AY77" s="9">
        <f>($AT$3*AT77+$AU$3*AU77+$AV$3*AV77+$AW$3*AW77)*AX77*IF(AQ77&lt;5,0.95,IF(AQ77&lt;7,0.975,1))+$J$3*VLOOKUP(J77,[1]Con!$A$2:$C$7,2,FALSE)+$K$3*VLOOKUP(K77,[1]Con!$A$2:$C$7,3,FALSE)+IF(BA77="SP",$BA$3,0)</f>
        <v>38.02551629276622</v>
      </c>
      <c r="AZ77" s="37">
        <f>STANDARDIZE(AY77,AVERAGE($AY$5:$AY$1116),STDEVP($AY$5:$AY$1116))</f>
        <v>0.32582513825220494</v>
      </c>
      <c r="BA77" t="str">
        <f>IF(OR(AND(AQ77&gt;7,AW77&gt;1),AND(AQ77&gt;4,AV77&gt;2)),"SP","RP")</f>
        <v>SP</v>
      </c>
      <c r="BC77">
        <f>VLOOKUP($A77,'Draft List'!$A$4:$V$530,22,FALSE)</f>
        <v>0</v>
      </c>
      <c r="BD77" t="s">
        <v>59</v>
      </c>
      <c r="BE77" t="str">
        <f>IF(AVERAGE($O77:$Q77)&gt;=6,"Likely",IF(AVERAGE($O77:$Q77)&gt;=4,"Possible","Unlikely"))</f>
        <v>Possible</v>
      </c>
      <c r="BG77" t="str">
        <f>IF(VLOOKUP($B77,'Draft List'!$D$4:$AB$2598,BG$3,FALSE)&lt;&gt;0,VLOOKUP($B77,'Draft List'!$D$4:$AB$2598,BG$3,FALSE),"")</f>
        <v/>
      </c>
      <c r="BH77" t="str">
        <f>IF(VLOOKUP($B77,'Draft List'!$D$4:$AB$2598,BH$3,FALSE)&lt;&gt;0,VLOOKUP($B77,'Draft List'!$D$4:$AB$2598,BH$3,FALSE),"")</f>
        <v/>
      </c>
      <c r="BI77" t="str">
        <f>IF(VLOOKUP($B77,'Draft List'!$D$4:$AB$2598,BI$3,FALSE)&lt;&gt;0,VLOOKUP($B77,'Draft List'!$D$4:$AB$2598,BI$3,FALSE),"")</f>
        <v/>
      </c>
      <c r="BJ77" t="str">
        <f>IF(OR(C77="SP",C77="MR",C77="CL"),"P",VLOOKUP($A77,Bat!$A$4:$AP$1287,42,FALSE))</f>
        <v>P</v>
      </c>
    </row>
    <row r="78" spans="1:62">
      <c r="A78" t="str">
        <f>C78&amp;D78&amp;E78</f>
        <v>SPAndy Thompson23</v>
      </c>
      <c r="B78">
        <f>VLOOKUP($A78,draft_listing_pitchers_stats!$A$1:$B$1324,2,FALSE)</f>
        <v>1838</v>
      </c>
      <c r="C78" s="1" t="s">
        <v>2003</v>
      </c>
      <c r="D78" s="1" t="s">
        <v>2068</v>
      </c>
      <c r="E78" s="1">
        <v>23</v>
      </c>
      <c r="F78" s="1" t="s">
        <v>2022</v>
      </c>
      <c r="G78" s="1" t="s">
        <v>2022</v>
      </c>
      <c r="H78" s="1" t="s">
        <v>2033</v>
      </c>
      <c r="I78" s="31" t="s">
        <v>2023</v>
      </c>
      <c r="J78" s="1" t="s">
        <v>2040</v>
      </c>
      <c r="K78" s="31" t="s">
        <v>2030</v>
      </c>
      <c r="L78" s="1">
        <v>3</v>
      </c>
      <c r="M78" s="1">
        <v>4</v>
      </c>
      <c r="N78" s="31">
        <v>3</v>
      </c>
      <c r="O78" s="1">
        <v>4</v>
      </c>
      <c r="P78" s="1">
        <v>5</v>
      </c>
      <c r="Q78" s="31">
        <v>6</v>
      </c>
      <c r="R78" s="1">
        <v>4</v>
      </c>
      <c r="S78" s="1">
        <v>5</v>
      </c>
      <c r="T78" s="1">
        <v>2</v>
      </c>
      <c r="U78" s="1">
        <v>4</v>
      </c>
      <c r="V78" s="1" t="s">
        <v>2027</v>
      </c>
      <c r="W78" s="1" t="s">
        <v>2027</v>
      </c>
      <c r="X78" s="1">
        <v>4</v>
      </c>
      <c r="Y78" s="1">
        <v>4</v>
      </c>
      <c r="Z78" s="1" t="s">
        <v>2027</v>
      </c>
      <c r="AA78" s="1" t="s">
        <v>2027</v>
      </c>
      <c r="AB78" s="1">
        <v>4</v>
      </c>
      <c r="AC78" s="1">
        <v>4</v>
      </c>
      <c r="AD78" s="1" t="s">
        <v>2027</v>
      </c>
      <c r="AE78" s="1" t="s">
        <v>2027</v>
      </c>
      <c r="AF78" s="1" t="s">
        <v>2027</v>
      </c>
      <c r="AG78" s="1" t="s">
        <v>2027</v>
      </c>
      <c r="AH78" s="1" t="s">
        <v>2027</v>
      </c>
      <c r="AI78" s="1" t="s">
        <v>2027</v>
      </c>
      <c r="AJ78" s="1" t="s">
        <v>2027</v>
      </c>
      <c r="AK78" s="1" t="s">
        <v>2027</v>
      </c>
      <c r="AL78" s="1" t="s">
        <v>2027</v>
      </c>
      <c r="AM78" s="1" t="s">
        <v>2027</v>
      </c>
      <c r="AN78" s="1" t="s">
        <v>2027</v>
      </c>
      <c r="AO78" s="31" t="s">
        <v>2027</v>
      </c>
      <c r="AP78" s="1" t="s">
        <v>2034</v>
      </c>
      <c r="AQ78" s="1">
        <v>7</v>
      </c>
      <c r="AR78" s="32">
        <v>0.47</v>
      </c>
      <c r="AS78" s="45">
        <v>2200000</v>
      </c>
      <c r="AT78" s="9">
        <f>($O$3*(L78-$O$1)/$O$2+$P$3*(M78-$P$1)/$P$2+$Q$3*(N78-$P$1)/$Q$2)/SUM($O$3:$Q$3)</f>
        <v>-1.2411653075508642</v>
      </c>
      <c r="AU78" s="9">
        <f>($O$3*(O78-$O$1)/$O$2+$P$3*(P78-$P$1)/$P$2+$Q$3*(Q78-$Q$1)/$Q$2)/SUM($O$3:$Q$3)</f>
        <v>0.32141418228776775</v>
      </c>
      <c r="AV78">
        <f>COUNT(R78:AO78)/2</f>
        <v>4</v>
      </c>
      <c r="AW78">
        <f>COUNTIF(R78:AO78,"&gt;5")/2</f>
        <v>0</v>
      </c>
      <c r="AX78" s="6">
        <f>VLOOKUP(AP78,COND!$A$10:$B$31,2,FALSE)</f>
        <v>1</v>
      </c>
      <c r="AY78" s="9">
        <f>($AT$3*AT78+$AU$3*AU78+$AV$3*AV78+$AW$3*AW78)*AX78*IF(AQ78&lt;5,0.95,IF(AQ78&lt;7,0.975,1))+$J$3*VLOOKUP(J78,[1]Con!$A$2:$C$7,2,FALSE)+$K$3*VLOOKUP(K78,[1]Con!$A$2:$C$7,3,FALSE)+IF(BA78="SP",$BA$3,0)</f>
        <v>37.93005058424518</v>
      </c>
      <c r="AZ78" s="37">
        <f>STANDARDIZE(AY78,AVERAGE($AY$5:$AY$1116),STDEVP($AY$5:$AY$1116))</f>
        <v>0.31824644592842172</v>
      </c>
      <c r="BA78" t="str">
        <f>IF(OR(AND(AQ78&gt;7,AW78&gt;1),AND(AQ78&gt;4,AV78&gt;2)),"SP","RP")</f>
        <v>SP</v>
      </c>
      <c r="BC78">
        <f>VLOOKUP($A78,'Draft List'!$A$4:$V$530,22,FALSE)</f>
        <v>0</v>
      </c>
      <c r="BD78" t="s">
        <v>4</v>
      </c>
      <c r="BE78" t="str">
        <f>IF(AVERAGE($O78:$Q78)&gt;=6,"Likely",IF(AVERAGE($O78:$Q78)&gt;=4,"Possible","Unlikely"))</f>
        <v>Possible</v>
      </c>
      <c r="BG78" t="str">
        <f>IF(VLOOKUP($B78,'Draft List'!$D$4:$AB$2598,BG$3,FALSE)&lt;&gt;0,VLOOKUP($B78,'Draft List'!$D$4:$AB$2598,BG$3,FALSE),"")</f>
        <v/>
      </c>
      <c r="BH78" t="str">
        <f>IF(VLOOKUP($B78,'Draft List'!$D$4:$AB$2598,BH$3,FALSE)&lt;&gt;0,VLOOKUP($B78,'Draft List'!$D$4:$AB$2598,BH$3,FALSE),"")</f>
        <v/>
      </c>
      <c r="BI78" t="str">
        <f>IF(VLOOKUP($B78,'Draft List'!$D$4:$AB$2598,BI$3,FALSE)&lt;&gt;0,VLOOKUP($B78,'Draft List'!$D$4:$AB$2598,BI$3,FALSE),"")</f>
        <v/>
      </c>
      <c r="BJ78" t="str">
        <f>IF(OR(C78="SP",C78="MR",C78="CL"),"P",VLOOKUP($A78,Bat!$A$4:$AP$1287,42,FALSE))</f>
        <v>P</v>
      </c>
    </row>
    <row r="79" spans="1:62">
      <c r="A79" t="str">
        <f>C79&amp;D79&amp;E79</f>
        <v>CLCharlie McJannett21</v>
      </c>
      <c r="B79" t="e">
        <f>VLOOKUP($A79,draft_listing_pitchers_stats!$A$1:$B$1324,2,FALSE)</f>
        <v>#N/A</v>
      </c>
      <c r="C79" s="1" t="s">
        <v>2032</v>
      </c>
      <c r="D79" s="1" t="s">
        <v>1135</v>
      </c>
      <c r="E79" s="1">
        <v>21</v>
      </c>
      <c r="F79" s="1" t="s">
        <v>2038</v>
      </c>
      <c r="G79" s="1" t="s">
        <v>2022</v>
      </c>
      <c r="H79" s="1" t="s">
        <v>2033</v>
      </c>
      <c r="I79" s="31" t="s">
        <v>2023</v>
      </c>
      <c r="J79" s="1" t="s">
        <v>2025</v>
      </c>
      <c r="K79" s="31" t="s">
        <v>2025</v>
      </c>
      <c r="L79" s="1">
        <v>5</v>
      </c>
      <c r="M79" s="1">
        <v>4</v>
      </c>
      <c r="N79" s="31">
        <v>2</v>
      </c>
      <c r="O79" s="1">
        <v>6</v>
      </c>
      <c r="P79" s="1">
        <v>5</v>
      </c>
      <c r="Q79" s="31">
        <v>4</v>
      </c>
      <c r="R79" s="1">
        <v>6</v>
      </c>
      <c r="S79" s="1">
        <v>7</v>
      </c>
      <c r="T79" s="1" t="s">
        <v>2027</v>
      </c>
      <c r="U79" s="1" t="s">
        <v>2027</v>
      </c>
      <c r="V79" s="1" t="s">
        <v>2027</v>
      </c>
      <c r="W79" s="1" t="s">
        <v>2027</v>
      </c>
      <c r="X79" s="1">
        <v>6</v>
      </c>
      <c r="Y79" s="1">
        <v>6</v>
      </c>
      <c r="Z79" s="1" t="s">
        <v>2027</v>
      </c>
      <c r="AA79" s="1" t="s">
        <v>2027</v>
      </c>
      <c r="AB79" s="1" t="s">
        <v>2027</v>
      </c>
      <c r="AC79" s="1" t="s">
        <v>2027</v>
      </c>
      <c r="AD79" s="1" t="s">
        <v>2027</v>
      </c>
      <c r="AE79" s="1" t="s">
        <v>2027</v>
      </c>
      <c r="AF79" s="1" t="s">
        <v>2027</v>
      </c>
      <c r="AG79" s="1" t="s">
        <v>2027</v>
      </c>
      <c r="AH79" s="1" t="s">
        <v>2027</v>
      </c>
      <c r="AI79" s="1" t="s">
        <v>2027</v>
      </c>
      <c r="AJ79" s="1" t="s">
        <v>2027</v>
      </c>
      <c r="AK79" s="1" t="s">
        <v>2027</v>
      </c>
      <c r="AL79" s="1" t="s">
        <v>2027</v>
      </c>
      <c r="AM79" s="1" t="s">
        <v>2027</v>
      </c>
      <c r="AN79" s="1" t="s">
        <v>2027</v>
      </c>
      <c r="AO79" s="31" t="s">
        <v>2027</v>
      </c>
      <c r="AP79" s="1" t="s">
        <v>2041</v>
      </c>
      <c r="AQ79" s="1">
        <v>7</v>
      </c>
      <c r="AR79" s="32">
        <v>0.49</v>
      </c>
      <c r="AS79" s="45" t="s">
        <v>2029</v>
      </c>
      <c r="AT79" s="9">
        <f>($O$3*(L79-$O$1)/$O$2+$P$3*(M79-$P$1)/$P$2+$Q$3*(N79-$P$1)/$Q$2)/SUM($O$3:$Q$3)</f>
        <v>-1.0941032245866273</v>
      </c>
      <c r="AU79" s="9">
        <f>($O$3*(O79-$O$1)/$O$2+$P$3*(P79-$P$1)/$P$2+$Q$3*(Q79-$Q$1)/$Q$2)/SUM($O$3:$Q$3)</f>
        <v>0.22615569919789399</v>
      </c>
      <c r="AV79">
        <f>COUNT(R79:AO79)/2</f>
        <v>2</v>
      </c>
      <c r="AW79">
        <f>COUNTIF(R79:AO79,"&gt;5")/2</f>
        <v>2</v>
      </c>
      <c r="AX79" s="6">
        <f>VLOOKUP(AP79,COND!$A$10:$B$31,2,FALSE)</f>
        <v>1</v>
      </c>
      <c r="AY79" s="9">
        <f>($AT$3*AT79+$AU$3*AU79+$AV$3*AV79+$AW$3*AW79)*AX79*IF(AQ79&lt;5,0.95,IF(AQ79&lt;7,0.975,1))+$J$3*VLOOKUP(J79,[1]Con!$A$2:$C$7,2,FALSE)+$K$3*VLOOKUP(K79,[1]Con!$A$2:$C$7,3,FALSE)+IF(BA79="SP",$BA$3,0)</f>
        <v>37.804293339040555</v>
      </c>
      <c r="AZ79" s="37">
        <f>STANDARDIZE(AY79,AVERAGE($AY$5:$AY$1116),STDEVP($AY$5:$AY$1116))</f>
        <v>0.30826301330473399</v>
      </c>
      <c r="BA79" t="str">
        <f>IF(OR(AND(AQ79&gt;7,AW79&gt;1),AND(AQ79&gt;4,AV79&gt;2)),"SP","RP")</f>
        <v>RP</v>
      </c>
      <c r="BC79" t="e">
        <f>VLOOKUP($A79,'Draft List'!$A$4:$V$530,22,FALSE)</f>
        <v>#N/A</v>
      </c>
      <c r="BD79" t="s">
        <v>60</v>
      </c>
      <c r="BE79" t="str">
        <f>IF(AVERAGE($O79:$Q79)&gt;=6,"Likely",IF(AVERAGE($O79:$Q79)&gt;=4,"Possible","Unlikely"))</f>
        <v>Possible</v>
      </c>
      <c r="BG79" t="e">
        <f>IF(VLOOKUP($B79,'Draft List'!$D$4:$AB$2598,BG$3,FALSE)&lt;&gt;0,VLOOKUP($B79,'Draft List'!$D$4:$AB$2598,BG$3,FALSE),"")</f>
        <v>#N/A</v>
      </c>
      <c r="BH79" t="e">
        <f>IF(VLOOKUP($B79,'Draft List'!$D$4:$AB$2598,BH$3,FALSE)&lt;&gt;0,VLOOKUP($B79,'Draft List'!$D$4:$AB$2598,BH$3,FALSE),"")</f>
        <v>#N/A</v>
      </c>
      <c r="BI79" t="e">
        <f>IF(VLOOKUP($B79,'Draft List'!$D$4:$AB$2598,BI$3,FALSE)&lt;&gt;0,VLOOKUP($B79,'Draft List'!$D$4:$AB$2598,BI$3,FALSE),"")</f>
        <v>#N/A</v>
      </c>
      <c r="BJ79" t="str">
        <f>IF(OR(C79="SP",C79="MR",C79="CL"),"P",VLOOKUP($A79,Bat!$A$4:$AP$1287,42,FALSE))</f>
        <v>P</v>
      </c>
    </row>
    <row r="80" spans="1:62">
      <c r="A80" t="str">
        <f>C80&amp;D80&amp;E80</f>
        <v>SPTomás Miranda20</v>
      </c>
      <c r="B80">
        <f>VLOOKUP($A80,draft_listing_pitchers_stats!$A$1:$B$1324,2,FALSE)</f>
        <v>13913</v>
      </c>
      <c r="C80" s="1" t="s">
        <v>2003</v>
      </c>
      <c r="D80" s="1" t="s">
        <v>1136</v>
      </c>
      <c r="E80" s="1">
        <v>20</v>
      </c>
      <c r="F80" s="1" t="s">
        <v>2049</v>
      </c>
      <c r="G80" s="1" t="s">
        <v>2022</v>
      </c>
      <c r="H80" s="1" t="s">
        <v>2033</v>
      </c>
      <c r="I80" s="31" t="s">
        <v>2023</v>
      </c>
      <c r="J80" s="1" t="s">
        <v>2025</v>
      </c>
      <c r="K80" s="31" t="s">
        <v>2030</v>
      </c>
      <c r="L80" s="1">
        <v>4</v>
      </c>
      <c r="M80" s="1">
        <v>4</v>
      </c>
      <c r="N80" s="31">
        <v>2</v>
      </c>
      <c r="O80" s="1">
        <v>4</v>
      </c>
      <c r="P80" s="1">
        <v>4</v>
      </c>
      <c r="Q80" s="31">
        <v>6</v>
      </c>
      <c r="R80" s="1">
        <v>5</v>
      </c>
      <c r="S80" s="1">
        <v>6</v>
      </c>
      <c r="T80" s="1">
        <v>3</v>
      </c>
      <c r="U80" s="1">
        <v>4</v>
      </c>
      <c r="V80" s="1">
        <v>3</v>
      </c>
      <c r="W80" s="1">
        <v>4</v>
      </c>
      <c r="X80" s="1">
        <v>4</v>
      </c>
      <c r="Y80" s="1">
        <v>5</v>
      </c>
      <c r="Z80" s="1" t="s">
        <v>2027</v>
      </c>
      <c r="AA80" s="1" t="s">
        <v>2027</v>
      </c>
      <c r="AB80" s="1" t="s">
        <v>2027</v>
      </c>
      <c r="AC80" s="1" t="s">
        <v>2027</v>
      </c>
      <c r="AD80" s="1" t="s">
        <v>2027</v>
      </c>
      <c r="AE80" s="1" t="s">
        <v>2027</v>
      </c>
      <c r="AF80" s="1" t="s">
        <v>2027</v>
      </c>
      <c r="AG80" s="1" t="s">
        <v>2027</v>
      </c>
      <c r="AH80" s="1" t="s">
        <v>2027</v>
      </c>
      <c r="AI80" s="1" t="s">
        <v>2027</v>
      </c>
      <c r="AJ80" s="1" t="s">
        <v>2027</v>
      </c>
      <c r="AK80" s="1" t="s">
        <v>2027</v>
      </c>
      <c r="AL80" s="1" t="s">
        <v>2027</v>
      </c>
      <c r="AM80" s="1" t="s">
        <v>2027</v>
      </c>
      <c r="AN80" s="1" t="s">
        <v>2027</v>
      </c>
      <c r="AO80" s="31" t="s">
        <v>2027</v>
      </c>
      <c r="AP80" s="1" t="s">
        <v>2047</v>
      </c>
      <c r="AQ80" s="1">
        <v>8</v>
      </c>
      <c r="AR80" s="32">
        <v>0.44</v>
      </c>
      <c r="AS80" s="45">
        <v>190000</v>
      </c>
      <c r="AT80" s="9">
        <f>($O$3*(L80-$O$1)/$O$2+$P$3*(M80-$P$1)/$P$2+$Q$3*(N80-$P$1)/$Q$2)/SUM($O$3:$Q$3)</f>
        <v>-1.288794549095801</v>
      </c>
      <c r="AU80" s="9">
        <f>($O$3*(O80-$O$1)/$O$2+$P$3*(P80-$P$1)/$P$2+$Q$3*(Q80-$Q$1)/$Q$2)/SUM($O$3:$Q$3)</f>
        <v>0.12598246585771228</v>
      </c>
      <c r="AV80">
        <f>COUNT(R80:AO80)/2</f>
        <v>4</v>
      </c>
      <c r="AW80">
        <f>COUNTIF(R80:AO80,"&gt;5")/2</f>
        <v>0.5</v>
      </c>
      <c r="AX80" s="6">
        <f>VLOOKUP(AP80,COND!$A$10:$B$31,2,FALSE)</f>
        <v>1.0249999999999999</v>
      </c>
      <c r="AY80" s="9">
        <f>($AT$3*AT80+$AU$3*AU80+$AV$3*AV80+$AW$3*AW80)*AX80*IF(AQ80&lt;5,0.95,IF(AQ80&lt;7,0.975,1))+$J$3*VLOOKUP(J80,[1]Con!$A$2:$C$7,2,FALSE)+$K$3*VLOOKUP(K80,[1]Con!$A$2:$C$7,3,FALSE)+IF(BA80="SP",$BA$3,0)</f>
        <v>37.759062667518464</v>
      </c>
      <c r="AZ80" s="37">
        <f>STANDARDIZE(AY80,AVERAGE($AY$5:$AY$1116),STDEVP($AY$5:$AY$1116))</f>
        <v>0.30467230677382834</v>
      </c>
      <c r="BA80" t="str">
        <f>IF(OR(AND(AQ80&gt;7,AW80&gt;1),AND(AQ80&gt;4,AV80&gt;2)),"SP","RP")</f>
        <v>SP</v>
      </c>
      <c r="BC80">
        <f>VLOOKUP($A80,'Draft List'!$A$4:$V$530,22,FALSE)</f>
        <v>0</v>
      </c>
      <c r="BD80" t="s">
        <v>19</v>
      </c>
      <c r="BE80" t="str">
        <f>IF(AVERAGE($O80:$Q80)&gt;=6,"Likely",IF(AVERAGE($O80:$Q80)&gt;=4,"Possible","Unlikely"))</f>
        <v>Possible</v>
      </c>
      <c r="BG80" t="str">
        <f>IF(VLOOKUP($B80,'Draft List'!$D$4:$AB$2598,BG$3,FALSE)&lt;&gt;0,VLOOKUP($B80,'Draft List'!$D$4:$AB$2598,BG$3,FALSE),"")</f>
        <v/>
      </c>
      <c r="BH80" t="str">
        <f>IF(VLOOKUP($B80,'Draft List'!$D$4:$AB$2598,BH$3,FALSE)&lt;&gt;0,VLOOKUP($B80,'Draft List'!$D$4:$AB$2598,BH$3,FALSE),"")</f>
        <v/>
      </c>
      <c r="BI80" t="str">
        <f>IF(VLOOKUP($B80,'Draft List'!$D$4:$AB$2598,BI$3,FALSE)&lt;&gt;0,VLOOKUP($B80,'Draft List'!$D$4:$AB$2598,BI$3,FALSE),"")</f>
        <v/>
      </c>
      <c r="BJ80" t="str">
        <f>IF(OR(C80="SP",C80="MR",C80="CL"),"P",VLOOKUP($A80,Bat!$A$4:$AP$1287,42,FALSE))</f>
        <v>P</v>
      </c>
    </row>
    <row r="81" spans="1:62">
      <c r="A81" t="str">
        <f>C81&amp;D81&amp;E81</f>
        <v>SPDave Pharr18</v>
      </c>
      <c r="B81" t="e">
        <f>VLOOKUP($A81,draft_listing_pitchers_stats!$A$1:$B$1324,2,FALSE)</f>
        <v>#N/A</v>
      </c>
      <c r="C81" s="1" t="s">
        <v>2003</v>
      </c>
      <c r="D81" s="1" t="s">
        <v>1145</v>
      </c>
      <c r="E81" s="1">
        <v>18</v>
      </c>
      <c r="F81" s="1" t="s">
        <v>2022</v>
      </c>
      <c r="G81" s="1" t="s">
        <v>2022</v>
      </c>
      <c r="H81" s="1" t="s">
        <v>2033</v>
      </c>
      <c r="I81" s="31" t="s">
        <v>2023</v>
      </c>
      <c r="J81" s="1" t="s">
        <v>2025</v>
      </c>
      <c r="K81" s="31" t="s">
        <v>2025</v>
      </c>
      <c r="L81" s="1">
        <v>2</v>
      </c>
      <c r="M81" s="1">
        <v>5</v>
      </c>
      <c r="N81" s="31">
        <v>1</v>
      </c>
      <c r="O81" s="1">
        <v>4</v>
      </c>
      <c r="P81" s="1">
        <v>7</v>
      </c>
      <c r="Q81" s="31">
        <v>4</v>
      </c>
      <c r="R81" s="1">
        <v>2</v>
      </c>
      <c r="S81" s="1">
        <v>4</v>
      </c>
      <c r="T81" s="1">
        <v>2</v>
      </c>
      <c r="U81" s="1">
        <v>6</v>
      </c>
      <c r="V81" s="1" t="s">
        <v>2027</v>
      </c>
      <c r="W81" s="1" t="s">
        <v>2027</v>
      </c>
      <c r="X81" s="1">
        <v>2</v>
      </c>
      <c r="Y81" s="1">
        <v>4</v>
      </c>
      <c r="Z81" s="1" t="s">
        <v>2027</v>
      </c>
      <c r="AA81" s="1" t="s">
        <v>2027</v>
      </c>
      <c r="AB81" s="1" t="s">
        <v>2027</v>
      </c>
      <c r="AC81" s="1" t="s">
        <v>2027</v>
      </c>
      <c r="AD81" s="1" t="s">
        <v>2027</v>
      </c>
      <c r="AE81" s="1" t="s">
        <v>2027</v>
      </c>
      <c r="AF81" s="1" t="s">
        <v>2027</v>
      </c>
      <c r="AG81" s="1" t="s">
        <v>2027</v>
      </c>
      <c r="AH81" s="1" t="s">
        <v>2027</v>
      </c>
      <c r="AI81" s="1" t="s">
        <v>2027</v>
      </c>
      <c r="AJ81" s="1" t="s">
        <v>2027</v>
      </c>
      <c r="AK81" s="1" t="s">
        <v>2027</v>
      </c>
      <c r="AL81" s="1" t="s">
        <v>2027</v>
      </c>
      <c r="AM81" s="1" t="s">
        <v>2027</v>
      </c>
      <c r="AN81" s="1" t="s">
        <v>2027</v>
      </c>
      <c r="AO81" s="31" t="s">
        <v>2027</v>
      </c>
      <c r="AP81" s="1" t="s">
        <v>2063</v>
      </c>
      <c r="AQ81" s="1">
        <v>7</v>
      </c>
      <c r="AR81" s="32">
        <v>0.56999999999999995</v>
      </c>
      <c r="AS81" s="45" t="s">
        <v>2029</v>
      </c>
      <c r="AT81" s="9">
        <f>($O$3*(L81-$O$1)/$O$2+$P$3*(M81-$P$1)/$P$2+$Q$3*(N81-$P$1)/$Q$2)/SUM($O$3:$Q$3)</f>
        <v>-1.7250660477382029</v>
      </c>
      <c r="AU81" s="9">
        <f>($O$3*(O81-$O$1)/$O$2+$P$3*(P81-$P$1)/$P$2+$Q$3*(Q81-$Q$1)/$Q$2)/SUM($O$3:$Q$3)</f>
        <v>0.22763648303965781</v>
      </c>
      <c r="AV81">
        <f>COUNT(R81:AO81)/2</f>
        <v>3</v>
      </c>
      <c r="AW81">
        <f>COUNTIF(R81:AO81,"&gt;5")/2</f>
        <v>0.5</v>
      </c>
      <c r="AX81" s="6">
        <f>VLOOKUP(AP81,COND!$A$10:$B$31,2,FALSE)</f>
        <v>0.9</v>
      </c>
      <c r="AY81" s="9">
        <f>($AT$3*AT81+$AU$3*AU81+$AV$3*AV81+$AW$3*AW81)*AX81*IF(AQ81&lt;5,0.95,IF(AQ81&lt;7,0.975,1))+$J$3*VLOOKUP(J81,[1]Con!$A$2:$C$7,2,FALSE)+$K$3*VLOOKUP(K81,[1]Con!$A$2:$C$7,3,FALSE)+IF(BA81="SP",$BA$3,0)</f>
        <v>37.699444806120965</v>
      </c>
      <c r="AZ81" s="37">
        <f>STANDARDIZE(AY81,AVERAGE($AY$5:$AY$1116),STDEVP($AY$5:$AY$1116))</f>
        <v>0.2999394510130185</v>
      </c>
      <c r="BA81" t="str">
        <f>IF(OR(AND(AQ81&gt;7,AW81&gt;1),AND(AQ81&gt;4,AV81&gt;2)),"SP","RP")</f>
        <v>SP</v>
      </c>
      <c r="BC81" t="e">
        <f>VLOOKUP($A81,'Draft List'!$A$4:$V$530,22,FALSE)</f>
        <v>#N/A</v>
      </c>
      <c r="BD81" t="s">
        <v>61</v>
      </c>
      <c r="BE81" t="str">
        <f>IF(AVERAGE($O81:$Q81)&gt;=6,"Likely",IF(AVERAGE($O81:$Q81)&gt;=4,"Possible","Unlikely"))</f>
        <v>Possible</v>
      </c>
      <c r="BG81" t="e">
        <f>IF(VLOOKUP($B81,'Draft List'!$D$4:$AB$2598,BG$3,FALSE)&lt;&gt;0,VLOOKUP($B81,'Draft List'!$D$4:$AB$2598,BG$3,FALSE),"")</f>
        <v>#N/A</v>
      </c>
      <c r="BH81" t="e">
        <f>IF(VLOOKUP($B81,'Draft List'!$D$4:$AB$2598,BH$3,FALSE)&lt;&gt;0,VLOOKUP($B81,'Draft List'!$D$4:$AB$2598,BH$3,FALSE),"")</f>
        <v>#N/A</v>
      </c>
      <c r="BI81" t="e">
        <f>IF(VLOOKUP($B81,'Draft List'!$D$4:$AB$2598,BI$3,FALSE)&lt;&gt;0,VLOOKUP($B81,'Draft List'!$D$4:$AB$2598,BI$3,FALSE),"")</f>
        <v>#N/A</v>
      </c>
      <c r="BJ81" t="str">
        <f>IF(OR(C81="SP",C81="MR",C81="CL"),"P",VLOOKUP($A81,Bat!$A$4:$AP$1287,42,FALSE))</f>
        <v>P</v>
      </c>
    </row>
    <row r="82" spans="1:62">
      <c r="A82" t="str">
        <f>C82&amp;D82&amp;E82</f>
        <v>SPEd Boerboom22</v>
      </c>
      <c r="B82">
        <f>VLOOKUP($A82,draft_listing_pitchers_stats!$A$1:$B$1324,2,FALSE)</f>
        <v>11978</v>
      </c>
      <c r="C82" s="1" t="s">
        <v>2003</v>
      </c>
      <c r="D82" s="1" t="s">
        <v>2066</v>
      </c>
      <c r="E82" s="1">
        <v>22</v>
      </c>
      <c r="F82" s="1" t="s">
        <v>2022</v>
      </c>
      <c r="G82" s="1" t="s">
        <v>2022</v>
      </c>
      <c r="H82" s="1" t="s">
        <v>2033</v>
      </c>
      <c r="I82" s="31" t="s">
        <v>2023</v>
      </c>
      <c r="J82" s="1" t="s">
        <v>2040</v>
      </c>
      <c r="K82" s="31" t="s">
        <v>2030</v>
      </c>
      <c r="L82" s="1">
        <v>4</v>
      </c>
      <c r="M82" s="1">
        <v>5</v>
      </c>
      <c r="N82" s="31">
        <v>2</v>
      </c>
      <c r="O82" s="1">
        <v>5</v>
      </c>
      <c r="P82" s="1">
        <v>6</v>
      </c>
      <c r="Q82" s="31">
        <v>4</v>
      </c>
      <c r="R82" s="1">
        <v>6</v>
      </c>
      <c r="S82" s="1">
        <v>7</v>
      </c>
      <c r="T82" s="1">
        <v>3</v>
      </c>
      <c r="U82" s="1">
        <v>4</v>
      </c>
      <c r="V82" s="1" t="s">
        <v>2027</v>
      </c>
      <c r="W82" s="1" t="s">
        <v>2027</v>
      </c>
      <c r="X82" s="1">
        <v>4</v>
      </c>
      <c r="Y82" s="1">
        <v>5</v>
      </c>
      <c r="Z82" s="1" t="s">
        <v>2027</v>
      </c>
      <c r="AA82" s="1" t="s">
        <v>2027</v>
      </c>
      <c r="AB82" s="1">
        <v>5</v>
      </c>
      <c r="AC82" s="1">
        <v>5</v>
      </c>
      <c r="AD82" s="1" t="s">
        <v>2027</v>
      </c>
      <c r="AE82" s="1" t="s">
        <v>2027</v>
      </c>
      <c r="AF82" s="1" t="s">
        <v>2027</v>
      </c>
      <c r="AG82" s="1" t="s">
        <v>2027</v>
      </c>
      <c r="AH82" s="1" t="s">
        <v>2027</v>
      </c>
      <c r="AI82" s="1" t="s">
        <v>2027</v>
      </c>
      <c r="AJ82" s="1" t="s">
        <v>2027</v>
      </c>
      <c r="AK82" s="1" t="s">
        <v>2027</v>
      </c>
      <c r="AL82" s="1" t="s">
        <v>2027</v>
      </c>
      <c r="AM82" s="1" t="s">
        <v>2027</v>
      </c>
      <c r="AN82" s="1" t="s">
        <v>2027</v>
      </c>
      <c r="AO82" s="31" t="s">
        <v>2027</v>
      </c>
      <c r="AP82" s="1" t="s">
        <v>2048</v>
      </c>
      <c r="AQ82" s="1">
        <v>9</v>
      </c>
      <c r="AR82" s="32">
        <v>0.65</v>
      </c>
      <c r="AS82" s="45">
        <v>2800000</v>
      </c>
      <c r="AT82" s="9">
        <f>($O$3*(L82-$O$1)/$O$2+$P$3*(M82-$P$1)/$P$2+$Q$3*(N82-$P$1)/$Q$2)/SUM($O$3:$Q$3)</f>
        <v>-1.0933628326657454</v>
      </c>
      <c r="AU82" s="9">
        <f>($O$3*(O82-$O$1)/$O$2+$P$3*(P82-$P$1)/$P$2+$Q$3*(Q82-$Q$1)/$Q$2)/SUM($O$3:$Q$3)</f>
        <v>0.22689609111877593</v>
      </c>
      <c r="AV82">
        <f>COUNT(R82:AO82)/2</f>
        <v>4</v>
      </c>
      <c r="AW82">
        <f>COUNTIF(R82:AO82,"&gt;5")/2</f>
        <v>1</v>
      </c>
      <c r="AX82" s="6">
        <f>VLOOKUP(AP82,COND!$A$10:$B$31,2,FALSE)</f>
        <v>1.05</v>
      </c>
      <c r="AY82" s="9">
        <f>($AT$3*AT82+$AU$3*AU82+$AV$3*AV82+$AW$3*AW82)*AX82*IF(AQ82&lt;5,0.95,IF(AQ82&lt;7,0.975,1))+$J$3*VLOOKUP(J82,[1]Con!$A$2:$C$7,2,FALSE)+$K$3*VLOOKUP(K82,[1]Con!$A$2:$C$7,3,FALSE)+IF(BA82="SP",$BA$3,0)</f>
        <v>37.697711718634487</v>
      </c>
      <c r="AZ82" s="37">
        <f>STANDARDIZE(AY82,AVERAGE($AY$5:$AY$1116),STDEVP($AY$5:$AY$1116))</f>
        <v>0.29980186719330254</v>
      </c>
      <c r="BA82" t="str">
        <f>IF(OR(AND(AQ82&gt;7,AW82&gt;1),AND(AQ82&gt;4,AV82&gt;2)),"SP","RP")</f>
        <v>SP</v>
      </c>
      <c r="BC82">
        <f>VLOOKUP($A82,'Draft List'!$A$4:$V$530,22,FALSE)</f>
        <v>0</v>
      </c>
      <c r="BD82" t="s">
        <v>161</v>
      </c>
      <c r="BE82" t="str">
        <f>IF(AVERAGE($O82:$Q82)&gt;=6,"Likely",IF(AVERAGE($O82:$Q82)&gt;=4,"Possible","Unlikely"))</f>
        <v>Possible</v>
      </c>
      <c r="BG82" t="str">
        <f>IF(VLOOKUP($B82,'Draft List'!$D$4:$AB$2598,BG$3,FALSE)&lt;&gt;0,VLOOKUP($B82,'Draft List'!$D$4:$AB$2598,BG$3,FALSE),"")</f>
        <v/>
      </c>
      <c r="BH82" t="str">
        <f>IF(VLOOKUP($B82,'Draft List'!$D$4:$AB$2598,BH$3,FALSE)&lt;&gt;0,VLOOKUP($B82,'Draft List'!$D$4:$AB$2598,BH$3,FALSE),"")</f>
        <v/>
      </c>
      <c r="BI82" t="str">
        <f>IF(VLOOKUP($B82,'Draft List'!$D$4:$AB$2598,BI$3,FALSE)&lt;&gt;0,VLOOKUP($B82,'Draft List'!$D$4:$AB$2598,BI$3,FALSE),"")</f>
        <v/>
      </c>
      <c r="BJ82" t="str">
        <f>IF(OR(C82="SP",C82="MR",C82="CL"),"P",VLOOKUP($A82,Bat!$A$4:$AP$1287,42,FALSE))</f>
        <v>P</v>
      </c>
    </row>
    <row r="83" spans="1:62">
      <c r="A83" t="str">
        <f>C83&amp;D83&amp;E83</f>
        <v>MRRob Gunter21</v>
      </c>
      <c r="B83">
        <f>VLOOKUP($A83,draft_listing_pitchers_stats!$A$1:$B$1324,2,FALSE)</f>
        <v>2843</v>
      </c>
      <c r="C83" s="1" t="s">
        <v>2021</v>
      </c>
      <c r="D83" s="1" t="s">
        <v>1119</v>
      </c>
      <c r="E83" s="1">
        <v>21</v>
      </c>
      <c r="F83" s="1" t="s">
        <v>2022</v>
      </c>
      <c r="G83" s="1" t="s">
        <v>2022</v>
      </c>
      <c r="H83" s="1" t="s">
        <v>2033</v>
      </c>
      <c r="I83" s="31" t="s">
        <v>2023</v>
      </c>
      <c r="J83" s="1" t="s">
        <v>2040</v>
      </c>
      <c r="K83" s="31" t="s">
        <v>2026</v>
      </c>
      <c r="L83" s="1">
        <v>5</v>
      </c>
      <c r="M83" s="1">
        <v>4</v>
      </c>
      <c r="N83" s="31">
        <v>3</v>
      </c>
      <c r="O83" s="1">
        <v>7</v>
      </c>
      <c r="P83" s="1">
        <v>4</v>
      </c>
      <c r="Q83" s="31">
        <v>5</v>
      </c>
      <c r="R83" s="1">
        <v>6</v>
      </c>
      <c r="S83" s="1">
        <v>7</v>
      </c>
      <c r="T83" s="1" t="s">
        <v>2027</v>
      </c>
      <c r="U83" s="1" t="s">
        <v>2027</v>
      </c>
      <c r="V83" s="1" t="s">
        <v>2027</v>
      </c>
      <c r="W83" s="1" t="s">
        <v>2027</v>
      </c>
      <c r="X83" s="1">
        <v>4</v>
      </c>
      <c r="Y83" s="1">
        <v>5</v>
      </c>
      <c r="Z83" s="1" t="s">
        <v>2027</v>
      </c>
      <c r="AA83" s="1" t="s">
        <v>2027</v>
      </c>
      <c r="AB83" s="1" t="s">
        <v>2027</v>
      </c>
      <c r="AC83" s="1" t="s">
        <v>2027</v>
      </c>
      <c r="AD83" s="1" t="s">
        <v>2027</v>
      </c>
      <c r="AE83" s="1" t="s">
        <v>2027</v>
      </c>
      <c r="AF83" s="1" t="s">
        <v>2027</v>
      </c>
      <c r="AG83" s="1" t="s">
        <v>2027</v>
      </c>
      <c r="AH83" s="1" t="s">
        <v>2027</v>
      </c>
      <c r="AI83" s="1" t="s">
        <v>2027</v>
      </c>
      <c r="AJ83" s="1" t="s">
        <v>2027</v>
      </c>
      <c r="AK83" s="1" t="s">
        <v>2027</v>
      </c>
      <c r="AL83" s="1" t="s">
        <v>2027</v>
      </c>
      <c r="AM83" s="1" t="s">
        <v>2027</v>
      </c>
      <c r="AN83" s="1" t="s">
        <v>2027</v>
      </c>
      <c r="AO83" s="31" t="s">
        <v>2027</v>
      </c>
      <c r="AP83" s="1" t="s">
        <v>2028</v>
      </c>
      <c r="AQ83" s="1">
        <v>3</v>
      </c>
      <c r="AR83" s="32">
        <v>0.54</v>
      </c>
      <c r="AS83" s="45" t="s">
        <v>2029</v>
      </c>
      <c r="AT83" s="9">
        <f>($O$3*(L83-$O$1)/$O$2+$P$3*(M83-$P$1)/$P$2+$Q$3*(N83-$P$1)/$Q$2)/SUM($O$3:$Q$3)</f>
        <v>-0.851782658532517</v>
      </c>
      <c r="AU83" s="9">
        <f>($O$3*(O83-$O$1)/$O$2+$P$3*(P83-$P$1)/$P$2+$Q$3*(Q83-$Q$1)/$Q$2)/SUM($O$3:$Q$3)</f>
        <v>0.46773587333112243</v>
      </c>
      <c r="AV83">
        <f>COUNT(R83:AO83)/2</f>
        <v>2</v>
      </c>
      <c r="AW83">
        <f>COUNTIF(R83:AO83,"&gt;5")/2</f>
        <v>1</v>
      </c>
      <c r="AX83" s="6">
        <f>VLOOKUP(AP83,COND!$A$10:$B$31,2,FALSE)</f>
        <v>1.05</v>
      </c>
      <c r="AY83" s="9">
        <f>($AT$3*AT83+$AU$3*AU83+$AV$3*AV83+$AW$3*AW83)*AX83*IF(AQ83&lt;5,0.95,IF(AQ83&lt;7,0.975,1))+$J$3*VLOOKUP(J83,[1]Con!$A$2:$C$7,2,FALSE)+$K$3*VLOOKUP(K83,[1]Con!$A$2:$C$7,3,FALSE)+IF(BA83="SP",$BA$3,0)</f>
        <v>37.655775032578653</v>
      </c>
      <c r="AZ83" s="37">
        <f>STANDARDIZE(AY83,AVERAGE($AY$5:$AY$1116),STDEVP($AY$5:$AY$1116))</f>
        <v>0.29647265877260337</v>
      </c>
      <c r="BA83" t="str">
        <f>IF(OR(AND(AQ83&gt;7,AW83&gt;1),AND(AQ83&gt;4,AV83&gt;2)),"SP","RP")</f>
        <v>RP</v>
      </c>
      <c r="BC83">
        <f>VLOOKUP($A83,'Draft List'!$A$4:$V$530,22,FALSE)</f>
        <v>0</v>
      </c>
      <c r="BD83" t="s">
        <v>48</v>
      </c>
      <c r="BE83" t="str">
        <f>IF(AVERAGE($O83:$Q83)&gt;=6,"Likely",IF(AVERAGE($O83:$Q83)&gt;=4,"Possible","Unlikely"))</f>
        <v>Possible</v>
      </c>
      <c r="BG83" t="str">
        <f>IF(VLOOKUP($B83,'Draft List'!$D$4:$AB$2598,BG$3,FALSE)&lt;&gt;0,VLOOKUP($B83,'Draft List'!$D$4:$AB$2598,BG$3,FALSE),"")</f>
        <v/>
      </c>
      <c r="BH83" t="str">
        <f>IF(VLOOKUP($B83,'Draft List'!$D$4:$AB$2598,BH$3,FALSE)&lt;&gt;0,VLOOKUP($B83,'Draft List'!$D$4:$AB$2598,BH$3,FALSE),"")</f>
        <v/>
      </c>
      <c r="BI83" t="str">
        <f>IF(VLOOKUP($B83,'Draft List'!$D$4:$AB$2598,BI$3,FALSE)&lt;&gt;0,VLOOKUP($B83,'Draft List'!$D$4:$AB$2598,BI$3,FALSE),"")</f>
        <v/>
      </c>
      <c r="BJ83" t="str">
        <f>IF(OR(C83="SP",C83="MR",C83="CL"),"P",VLOOKUP($A83,Bat!$A$4:$AP$1287,42,FALSE))</f>
        <v>P</v>
      </c>
    </row>
    <row r="84" spans="1:62">
      <c r="A84" t="str">
        <f>C84&amp;D84&amp;E84</f>
        <v>SPGabriel Sandoval23</v>
      </c>
      <c r="B84">
        <f>VLOOKUP($A84,draft_listing_pitchers_stats!$A$1:$B$1324,2,FALSE)</f>
        <v>11035</v>
      </c>
      <c r="C84" s="1" t="s">
        <v>2003</v>
      </c>
      <c r="D84" s="1" t="s">
        <v>2073</v>
      </c>
      <c r="E84" s="1">
        <v>23</v>
      </c>
      <c r="F84" s="1" t="s">
        <v>2038</v>
      </c>
      <c r="G84" s="1" t="s">
        <v>2038</v>
      </c>
      <c r="H84" s="1" t="s">
        <v>2033</v>
      </c>
      <c r="I84" s="31" t="s">
        <v>2033</v>
      </c>
      <c r="J84" s="1" t="s">
        <v>2036</v>
      </c>
      <c r="K84" s="31" t="s">
        <v>2026</v>
      </c>
      <c r="L84" s="1">
        <v>4</v>
      </c>
      <c r="M84" s="1">
        <v>6</v>
      </c>
      <c r="N84" s="31">
        <v>2</v>
      </c>
      <c r="O84" s="1">
        <v>5</v>
      </c>
      <c r="P84" s="1">
        <v>6</v>
      </c>
      <c r="Q84" s="31">
        <v>4</v>
      </c>
      <c r="R84" s="1">
        <v>5</v>
      </c>
      <c r="S84" s="1">
        <v>6</v>
      </c>
      <c r="T84" s="1">
        <v>5</v>
      </c>
      <c r="U84" s="1">
        <v>6</v>
      </c>
      <c r="V84" s="1" t="s">
        <v>2027</v>
      </c>
      <c r="W84" s="1" t="s">
        <v>2027</v>
      </c>
      <c r="X84" s="1">
        <v>5</v>
      </c>
      <c r="Y84" s="1">
        <v>6</v>
      </c>
      <c r="Z84" s="1" t="s">
        <v>2027</v>
      </c>
      <c r="AA84" s="1" t="s">
        <v>2027</v>
      </c>
      <c r="AB84" s="1" t="s">
        <v>2027</v>
      </c>
      <c r="AC84" s="1" t="s">
        <v>2027</v>
      </c>
      <c r="AD84" s="1" t="s">
        <v>2027</v>
      </c>
      <c r="AE84" s="1" t="s">
        <v>2027</v>
      </c>
      <c r="AF84" s="1" t="s">
        <v>2027</v>
      </c>
      <c r="AG84" s="1" t="s">
        <v>2027</v>
      </c>
      <c r="AH84" s="1" t="s">
        <v>2027</v>
      </c>
      <c r="AI84" s="1" t="s">
        <v>2027</v>
      </c>
      <c r="AJ84" s="1" t="s">
        <v>2027</v>
      </c>
      <c r="AK84" s="1" t="s">
        <v>2027</v>
      </c>
      <c r="AL84" s="1" t="s">
        <v>2027</v>
      </c>
      <c r="AM84" s="1" t="s">
        <v>2027</v>
      </c>
      <c r="AN84" s="1" t="s">
        <v>2027</v>
      </c>
      <c r="AO84" s="31" t="s">
        <v>2027</v>
      </c>
      <c r="AP84" s="1" t="s">
        <v>2041</v>
      </c>
      <c r="AQ84" s="1">
        <v>4</v>
      </c>
      <c r="AR84" s="32">
        <v>0.42</v>
      </c>
      <c r="AS84" s="45">
        <v>2200000</v>
      </c>
      <c r="AT84" s="9">
        <f>($O$3*(L84-$O$1)/$O$2+$P$3*(M84-$P$1)/$P$2+$Q$3*(N84-$P$1)/$Q$2)/SUM($O$3:$Q$3)</f>
        <v>-0.89793111623569011</v>
      </c>
      <c r="AU84" s="9">
        <f>($O$3*(O84-$O$1)/$O$2+$P$3*(P84-$P$1)/$P$2+$Q$3*(Q84-$Q$1)/$Q$2)/SUM($O$3:$Q$3)</f>
        <v>0.22689609111877593</v>
      </c>
      <c r="AV84">
        <f>COUNT(R84:AO84)/2</f>
        <v>3</v>
      </c>
      <c r="AW84">
        <f>COUNTIF(R84:AO84,"&gt;5")/2</f>
        <v>1.5</v>
      </c>
      <c r="AX84" s="6">
        <f>VLOOKUP(AP84,COND!$A$10:$B$31,2,FALSE)</f>
        <v>1</v>
      </c>
      <c r="AY84" s="9">
        <f>($AT$3*AT84+$AU$3*AU84+$AV$3*AV84+$AW$3*AW84)*AX84*IF(AQ84&lt;5,0.95,IF(AQ84&lt;7,0.975,1))+$J$3*VLOOKUP(J84,[1]Con!$A$2:$C$7,2,FALSE)+$K$3*VLOOKUP(K84,[1]Con!$A$2:$C$7,3,FALSE)+IF(BA84="SP",$BA$3,0)</f>
        <v>37.646668819171964</v>
      </c>
      <c r="AZ84" s="37">
        <f>STANDARDIZE(AY84,AVERAGE($AY$5:$AY$1116),STDEVP($AY$5:$AY$1116))</f>
        <v>0.29574974799434423</v>
      </c>
      <c r="BA84" t="str">
        <f>IF(OR(AND(AQ84&gt;7,AW84&gt;1),AND(AQ84&gt;4,AV84&gt;2)),"SP","RP")</f>
        <v>RP</v>
      </c>
      <c r="BC84">
        <f>VLOOKUP($A84,'Draft List'!$A$4:$V$530,22,FALSE)</f>
        <v>0</v>
      </c>
      <c r="BD84" t="s">
        <v>5</v>
      </c>
      <c r="BE84" t="str">
        <f>IF(AVERAGE($O84:$Q84)&gt;=6,"Likely",IF(AVERAGE($O84:$Q84)&gt;=4,"Possible","Unlikely"))</f>
        <v>Possible</v>
      </c>
      <c r="BG84" t="str">
        <f>IF(VLOOKUP($B84,'Draft List'!$D$4:$AB$2598,BG$3,FALSE)&lt;&gt;0,VLOOKUP($B84,'Draft List'!$D$4:$AB$2598,BG$3,FALSE),"")</f>
        <v/>
      </c>
      <c r="BH84" t="str">
        <f>IF(VLOOKUP($B84,'Draft List'!$D$4:$AB$2598,BH$3,FALSE)&lt;&gt;0,VLOOKUP($B84,'Draft List'!$D$4:$AB$2598,BH$3,FALSE),"")</f>
        <v/>
      </c>
      <c r="BI84" t="str">
        <f>IF(VLOOKUP($B84,'Draft List'!$D$4:$AB$2598,BI$3,FALSE)&lt;&gt;0,VLOOKUP($B84,'Draft List'!$D$4:$AB$2598,BI$3,FALSE),"")</f>
        <v/>
      </c>
      <c r="BJ84" t="str">
        <f>IF(OR(C84="SP",C84="MR",C84="CL"),"P",VLOOKUP($A84,Bat!$A$4:$AP$1287,42,FALSE))</f>
        <v>P</v>
      </c>
    </row>
    <row r="85" spans="1:62">
      <c r="A85" t="str">
        <f>C85&amp;D85&amp;E85</f>
        <v>SPEric Gardner18</v>
      </c>
      <c r="B85">
        <f>VLOOKUP($A85,draft_listing_pitchers_stats!$A$1:$B$1324,2,FALSE)</f>
        <v>1457</v>
      </c>
      <c r="C85" s="1" t="s">
        <v>2003</v>
      </c>
      <c r="D85" s="1" t="s">
        <v>1112</v>
      </c>
      <c r="E85" s="1">
        <v>18</v>
      </c>
      <c r="F85" s="1" t="s">
        <v>2022</v>
      </c>
      <c r="G85" s="1" t="s">
        <v>2022</v>
      </c>
      <c r="H85" s="1" t="s">
        <v>2033</v>
      </c>
      <c r="I85" s="31" t="s">
        <v>2023</v>
      </c>
      <c r="J85" s="1" t="s">
        <v>2040</v>
      </c>
      <c r="K85" s="31" t="s">
        <v>2025</v>
      </c>
      <c r="L85" s="1">
        <v>2</v>
      </c>
      <c r="M85" s="1">
        <v>5</v>
      </c>
      <c r="N85" s="31">
        <v>1</v>
      </c>
      <c r="O85" s="1">
        <v>4</v>
      </c>
      <c r="P85" s="1">
        <v>7</v>
      </c>
      <c r="Q85" s="31">
        <v>5</v>
      </c>
      <c r="R85" s="1" t="s">
        <v>2027</v>
      </c>
      <c r="S85" s="1" t="s">
        <v>2027</v>
      </c>
      <c r="T85" s="1">
        <v>1</v>
      </c>
      <c r="U85" s="1">
        <v>4</v>
      </c>
      <c r="V85" s="1">
        <v>2</v>
      </c>
      <c r="W85" s="1">
        <v>5</v>
      </c>
      <c r="X85" s="1" t="s">
        <v>2027</v>
      </c>
      <c r="Y85" s="1" t="s">
        <v>2027</v>
      </c>
      <c r="Z85" s="1" t="s">
        <v>2027</v>
      </c>
      <c r="AA85" s="1" t="s">
        <v>2027</v>
      </c>
      <c r="AB85" s="1" t="s">
        <v>2027</v>
      </c>
      <c r="AC85" s="1" t="s">
        <v>2027</v>
      </c>
      <c r="AD85" s="1">
        <v>3</v>
      </c>
      <c r="AE85" s="1">
        <v>5</v>
      </c>
      <c r="AF85" s="1">
        <v>3</v>
      </c>
      <c r="AG85" s="1">
        <v>4</v>
      </c>
      <c r="AH85" s="1" t="s">
        <v>2027</v>
      </c>
      <c r="AI85" s="1" t="s">
        <v>2027</v>
      </c>
      <c r="AJ85" s="1" t="s">
        <v>2027</v>
      </c>
      <c r="AK85" s="1" t="s">
        <v>2027</v>
      </c>
      <c r="AL85" s="1" t="s">
        <v>2027</v>
      </c>
      <c r="AM85" s="1" t="s">
        <v>2027</v>
      </c>
      <c r="AN85" s="1" t="s">
        <v>2027</v>
      </c>
      <c r="AO85" s="31" t="s">
        <v>2027</v>
      </c>
      <c r="AP85" s="1" t="s">
        <v>2042</v>
      </c>
      <c r="AQ85" s="1">
        <v>3</v>
      </c>
      <c r="AR85" s="32">
        <v>0.56999999999999995</v>
      </c>
      <c r="AS85" s="45" t="s">
        <v>2029</v>
      </c>
      <c r="AT85" s="9">
        <f>($O$3*(L85-$O$1)/$O$2+$P$3*(M85-$P$1)/$P$2+$Q$3*(N85-$P$1)/$Q$2)/SUM($O$3:$Q$3)</f>
        <v>-1.7250660477382029</v>
      </c>
      <c r="AU85" s="9">
        <f>($O$3*(O85-$O$1)/$O$2+$P$3*(P85-$P$1)/$P$2+$Q$3*(Q85-$Q$1)/$Q$2)/SUM($O$3:$Q$3)</f>
        <v>0.46995704909376823</v>
      </c>
      <c r="AV85">
        <f>COUNT(R85:AO85)/2</f>
        <v>4</v>
      </c>
      <c r="AW85">
        <f>COUNTIF(R85:AO85,"&gt;5")/2</f>
        <v>0</v>
      </c>
      <c r="AX85" s="6">
        <f>VLOOKUP(AP85,COND!$A$10:$B$31,2,FALSE)</f>
        <v>1</v>
      </c>
      <c r="AY85" s="9">
        <f>($AT$3*AT85+$AU$3*AU85+$AV$3*AV85+$AW$3*AW85)*AX85*IF(AQ85&lt;5,0.95,IF(AQ85&lt;7,0.975,1))+$J$3*VLOOKUP(J85,[1]Con!$A$2:$C$7,2,FALSE)+$K$3*VLOOKUP(K85,[1]Con!$A$2:$C$7,3,FALSE)+IF(BA85="SP",$BA$3,0)</f>
        <v>37.501421383711339</v>
      </c>
      <c r="AZ85" s="37">
        <f>STANDARDIZE(AY85,AVERAGE($AY$5:$AY$1116),STDEVP($AY$5:$AY$1116))</f>
        <v>0.28421905659501279</v>
      </c>
      <c r="BA85" t="str">
        <f>IF(OR(AND(AQ85&gt;7,AW85&gt;1),AND(AQ85&gt;4,AV85&gt;2)),"SP","RP")</f>
        <v>RP</v>
      </c>
      <c r="BC85">
        <f>VLOOKUP($A85,'Draft List'!$A$4:$V$530,22,FALSE)</f>
        <v>0</v>
      </c>
      <c r="BD85" t="s">
        <v>62</v>
      </c>
      <c r="BE85" t="str">
        <f>IF(AVERAGE($O85:$Q85)&gt;=6,"Likely",IF(AVERAGE($O85:$Q85)&gt;=4,"Possible","Unlikely"))</f>
        <v>Possible</v>
      </c>
      <c r="BG85" t="str">
        <f>IF(VLOOKUP($B85,'Draft List'!$D$4:$AB$2598,BG$3,FALSE)&lt;&gt;0,VLOOKUP($B85,'Draft List'!$D$4:$AB$2598,BG$3,FALSE),"")</f>
        <v/>
      </c>
      <c r="BH85" t="str">
        <f>IF(VLOOKUP($B85,'Draft List'!$D$4:$AB$2598,BH$3,FALSE)&lt;&gt;0,VLOOKUP($B85,'Draft List'!$D$4:$AB$2598,BH$3,FALSE),"")</f>
        <v/>
      </c>
      <c r="BI85" t="str">
        <f>IF(VLOOKUP($B85,'Draft List'!$D$4:$AB$2598,BI$3,FALSE)&lt;&gt;0,VLOOKUP($B85,'Draft List'!$D$4:$AB$2598,BI$3,FALSE),"")</f>
        <v/>
      </c>
      <c r="BJ85" t="str">
        <f>IF(OR(C85="SP",C85="MR",C85="CL"),"P",VLOOKUP($A85,Bat!$A$4:$AP$1287,42,FALSE))</f>
        <v>P</v>
      </c>
    </row>
    <row r="86" spans="1:62">
      <c r="A86" t="str">
        <f>C86&amp;D86&amp;E86</f>
        <v>MRMichael Burgess21</v>
      </c>
      <c r="B86">
        <f>VLOOKUP($A86,draft_listing_pitchers_stats!$A$1:$B$1324,2,FALSE)</f>
        <v>2847</v>
      </c>
      <c r="C86" s="1" t="s">
        <v>2021</v>
      </c>
      <c r="D86" s="1" t="s">
        <v>1100</v>
      </c>
      <c r="E86" s="1">
        <v>21</v>
      </c>
      <c r="F86" s="1" t="s">
        <v>2022</v>
      </c>
      <c r="G86" s="1" t="s">
        <v>2022</v>
      </c>
      <c r="H86" s="1" t="s">
        <v>2033</v>
      </c>
      <c r="I86" s="31" t="s">
        <v>2023</v>
      </c>
      <c r="J86" s="1" t="s">
        <v>2026</v>
      </c>
      <c r="K86" s="31" t="s">
        <v>2036</v>
      </c>
      <c r="L86" s="1">
        <v>5</v>
      </c>
      <c r="M86" s="1">
        <v>4</v>
      </c>
      <c r="N86" s="31">
        <v>1</v>
      </c>
      <c r="O86" s="1">
        <v>7</v>
      </c>
      <c r="P86" s="1">
        <v>4</v>
      </c>
      <c r="Q86" s="31">
        <v>4</v>
      </c>
      <c r="R86" s="1">
        <v>7</v>
      </c>
      <c r="S86" s="1">
        <v>8</v>
      </c>
      <c r="T86" s="1" t="s">
        <v>2027</v>
      </c>
      <c r="U86" s="1" t="s">
        <v>2027</v>
      </c>
      <c r="V86" s="1">
        <v>4</v>
      </c>
      <c r="W86" s="1">
        <v>6</v>
      </c>
      <c r="X86" s="1" t="s">
        <v>2027</v>
      </c>
      <c r="Y86" s="1" t="s">
        <v>2027</v>
      </c>
      <c r="Z86" s="1" t="s">
        <v>2027</v>
      </c>
      <c r="AA86" s="1" t="s">
        <v>2027</v>
      </c>
      <c r="AB86" s="1" t="s">
        <v>2027</v>
      </c>
      <c r="AC86" s="1" t="s">
        <v>2027</v>
      </c>
      <c r="AD86" s="1" t="s">
        <v>2027</v>
      </c>
      <c r="AE86" s="1" t="s">
        <v>2027</v>
      </c>
      <c r="AF86" s="1" t="s">
        <v>2027</v>
      </c>
      <c r="AG86" s="1" t="s">
        <v>2027</v>
      </c>
      <c r="AH86" s="1" t="s">
        <v>2027</v>
      </c>
      <c r="AI86" s="1" t="s">
        <v>2027</v>
      </c>
      <c r="AJ86" s="1" t="s">
        <v>2027</v>
      </c>
      <c r="AK86" s="1" t="s">
        <v>2027</v>
      </c>
      <c r="AL86" s="1" t="s">
        <v>2027</v>
      </c>
      <c r="AM86" s="1" t="s">
        <v>2027</v>
      </c>
      <c r="AN86" s="1" t="s">
        <v>2027</v>
      </c>
      <c r="AO86" s="31" t="s">
        <v>2027</v>
      </c>
      <c r="AP86" s="1" t="s">
        <v>2028</v>
      </c>
      <c r="AQ86" s="1">
        <v>3</v>
      </c>
      <c r="AR86" s="32">
        <v>0.46</v>
      </c>
      <c r="AS86" s="45" t="s">
        <v>2029</v>
      </c>
      <c r="AT86" s="9">
        <f>($O$3*(L86-$O$1)/$O$2+$P$3*(M86-$P$1)/$P$2+$Q$3*(N86-$P$1)/$Q$2)/SUM($O$3:$Q$3)</f>
        <v>-1.3364237906407377</v>
      </c>
      <c r="AU86" s="9">
        <f>($O$3*(O86-$O$1)/$O$2+$P$3*(P86-$P$1)/$P$2+$Q$3*(Q86-$Q$1)/$Q$2)/SUM($O$3:$Q$3)</f>
        <v>0.22541530727701206</v>
      </c>
      <c r="AV86">
        <f>COUNT(R86:AO86)/2</f>
        <v>2</v>
      </c>
      <c r="AW86">
        <f>COUNTIF(R86:AO86,"&gt;5")/2</f>
        <v>1.5</v>
      </c>
      <c r="AX86" s="6">
        <f>VLOOKUP(AP86,COND!$A$10:$B$31,2,FALSE)</f>
        <v>1.05</v>
      </c>
      <c r="AY86" s="9">
        <f>($AT$3*AT86+$AU$3*AU86+$AV$3*AV86+$AW$3*AW86)*AX86*IF(AQ86&lt;5,0.95,IF(AQ86&lt;7,0.975,1))+$J$3*VLOOKUP(J86,[1]Con!$A$2:$C$7,2,FALSE)+$K$3*VLOOKUP(K86,[1]Con!$A$2:$C$7,3,FALSE)+IF(BA86="SP",$BA$3,0)</f>
        <v>37.398231333943563</v>
      </c>
      <c r="AZ86" s="37">
        <f>STANDARDIZE(AY86,AVERAGE($AY$5:$AY$1116),STDEVP($AY$5:$AY$1116))</f>
        <v>0.27602715554298746</v>
      </c>
      <c r="BA86" t="str">
        <f>IF(OR(AND(AQ86&gt;7,AW86&gt;1),AND(AQ86&gt;4,AV86&gt;2)),"SP","RP")</f>
        <v>RP</v>
      </c>
      <c r="BC86">
        <f>VLOOKUP($A86,'Draft List'!$A$4:$V$530,22,FALSE)</f>
        <v>0</v>
      </c>
      <c r="BD86" t="s">
        <v>63</v>
      </c>
      <c r="BE86" t="str">
        <f>IF(AVERAGE($O86:$Q86)&gt;=6,"Likely",IF(AVERAGE($O86:$Q86)&gt;=4,"Possible","Unlikely"))</f>
        <v>Possible</v>
      </c>
      <c r="BG86" t="str">
        <f>IF(VLOOKUP($B86,'Draft List'!$D$4:$AB$2598,BG$3,FALSE)&lt;&gt;0,VLOOKUP($B86,'Draft List'!$D$4:$AB$2598,BG$3,FALSE),"")</f>
        <v/>
      </c>
      <c r="BH86" t="str">
        <f>IF(VLOOKUP($B86,'Draft List'!$D$4:$AB$2598,BH$3,FALSE)&lt;&gt;0,VLOOKUP($B86,'Draft List'!$D$4:$AB$2598,BH$3,FALSE),"")</f>
        <v/>
      </c>
      <c r="BI86" t="str">
        <f>IF(VLOOKUP($B86,'Draft List'!$D$4:$AB$2598,BI$3,FALSE)&lt;&gt;0,VLOOKUP($B86,'Draft List'!$D$4:$AB$2598,BI$3,FALSE),"")</f>
        <v/>
      </c>
      <c r="BJ86" t="str">
        <f>IF(OR(C86="SP",C86="MR",C86="CL"),"P",VLOOKUP($A86,Bat!$A$4:$AP$1287,42,FALSE))</f>
        <v>P</v>
      </c>
    </row>
    <row r="87" spans="1:62">
      <c r="A87" t="str">
        <f>C87&amp;D87&amp;E87</f>
        <v>SPMiguel Salazar21</v>
      </c>
      <c r="B87">
        <f>VLOOKUP($A87,draft_listing_pitchers_stats!$A$1:$B$1324,2,FALSE)</f>
        <v>4041</v>
      </c>
      <c r="C87" s="1" t="s">
        <v>2003</v>
      </c>
      <c r="D87" s="1" t="s">
        <v>1154</v>
      </c>
      <c r="E87" s="1">
        <v>21</v>
      </c>
      <c r="F87" s="1" t="s">
        <v>2022</v>
      </c>
      <c r="G87" s="1" t="s">
        <v>2022</v>
      </c>
      <c r="H87" s="1" t="s">
        <v>2033</v>
      </c>
      <c r="I87" s="31" t="s">
        <v>2023</v>
      </c>
      <c r="J87" s="1" t="s">
        <v>2025</v>
      </c>
      <c r="K87" s="31" t="s">
        <v>2026</v>
      </c>
      <c r="L87" s="1">
        <v>5</v>
      </c>
      <c r="M87" s="1">
        <v>4</v>
      </c>
      <c r="N87" s="31">
        <v>1</v>
      </c>
      <c r="O87" s="1">
        <v>6</v>
      </c>
      <c r="P87" s="1">
        <v>4</v>
      </c>
      <c r="Q87" s="31">
        <v>4</v>
      </c>
      <c r="R87" s="1">
        <v>7</v>
      </c>
      <c r="S87" s="1">
        <v>7</v>
      </c>
      <c r="T87" s="1">
        <v>6</v>
      </c>
      <c r="U87" s="1">
        <v>6</v>
      </c>
      <c r="V87" s="1" t="s">
        <v>2027</v>
      </c>
      <c r="W87" s="1" t="s">
        <v>2027</v>
      </c>
      <c r="X87" s="1">
        <v>6</v>
      </c>
      <c r="Y87" s="1">
        <v>6</v>
      </c>
      <c r="Z87" s="1" t="s">
        <v>2027</v>
      </c>
      <c r="AA87" s="1" t="s">
        <v>2027</v>
      </c>
      <c r="AB87" s="1" t="s">
        <v>2027</v>
      </c>
      <c r="AC87" s="1" t="s">
        <v>2027</v>
      </c>
      <c r="AD87" s="1" t="s">
        <v>2027</v>
      </c>
      <c r="AE87" s="1" t="s">
        <v>2027</v>
      </c>
      <c r="AF87" s="1" t="s">
        <v>2027</v>
      </c>
      <c r="AG87" s="1" t="s">
        <v>2027</v>
      </c>
      <c r="AH87" s="1" t="s">
        <v>2027</v>
      </c>
      <c r="AI87" s="1" t="s">
        <v>2027</v>
      </c>
      <c r="AJ87" s="1" t="s">
        <v>2027</v>
      </c>
      <c r="AK87" s="1" t="s">
        <v>2027</v>
      </c>
      <c r="AL87" s="1" t="s">
        <v>2027</v>
      </c>
      <c r="AM87" s="1" t="s">
        <v>2027</v>
      </c>
      <c r="AN87" s="1" t="s">
        <v>2027</v>
      </c>
      <c r="AO87" s="31" t="s">
        <v>2027</v>
      </c>
      <c r="AP87" s="1" t="s">
        <v>2048</v>
      </c>
      <c r="AQ87" s="1">
        <v>9</v>
      </c>
      <c r="AR87" s="32">
        <v>0.47</v>
      </c>
      <c r="AS87" s="45" t="s">
        <v>2029</v>
      </c>
      <c r="AT87" s="9">
        <f>($O$3*(L87-$O$1)/$O$2+$P$3*(M87-$P$1)/$P$2+$Q$3*(N87-$P$1)/$Q$2)/SUM($O$3:$Q$3)</f>
        <v>-1.3364237906407377</v>
      </c>
      <c r="AU87" s="9">
        <f>($O$3*(O87-$O$1)/$O$2+$P$3*(P87-$P$1)/$P$2+$Q$3*(Q87-$Q$1)/$Q$2)/SUM($O$3:$Q$3)</f>
        <v>3.0723982767838571E-2</v>
      </c>
      <c r="AV87">
        <f>COUNT(R87:AO87)/2</f>
        <v>3</v>
      </c>
      <c r="AW87">
        <f>COUNTIF(R87:AO87,"&gt;5")/2</f>
        <v>3</v>
      </c>
      <c r="AX87" s="6">
        <f>VLOOKUP(AP87,COND!$A$10:$B$31,2,FALSE)</f>
        <v>1.05</v>
      </c>
      <c r="AY87" s="9">
        <f>($AT$3*AT87+$AU$3*AU87+$AV$3*AV87+$AW$3*AW87)*AX87*IF(AQ87&lt;5,0.95,IF(AQ87&lt;7,0.975,1))+$J$3*VLOOKUP(J87,[1]Con!$A$2:$C$7,2,FALSE)+$K$3*VLOOKUP(K87,[1]Con!$A$2:$C$7,3,FALSE)+IF(BA87="SP",$BA$3,0)</f>
        <v>37.127054642090059</v>
      </c>
      <c r="AZ87" s="37">
        <f>STANDARDIZE(AY87,AVERAGE($AY$5:$AY$1116),STDEVP($AY$5:$AY$1116))</f>
        <v>0.25449937614682722</v>
      </c>
      <c r="BA87" t="str">
        <f>IF(OR(AND(AQ87&gt;7,AW87&gt;1),AND(AQ87&gt;4,AV87&gt;2)),"SP","RP")</f>
        <v>SP</v>
      </c>
      <c r="BC87">
        <f>VLOOKUP($A87,'Draft List'!$A$4:$V$530,22,FALSE)</f>
        <v>0</v>
      </c>
      <c r="BD87" t="s">
        <v>4</v>
      </c>
      <c r="BE87" t="str">
        <f>IF(AVERAGE($O87:$Q87)&gt;=6,"Likely",IF(AVERAGE($O87:$Q87)&gt;=4,"Possible","Unlikely"))</f>
        <v>Possible</v>
      </c>
      <c r="BG87" t="str">
        <f>IF(VLOOKUP($B87,'Draft List'!$D$4:$AB$2598,BG$3,FALSE)&lt;&gt;0,VLOOKUP($B87,'Draft List'!$D$4:$AB$2598,BG$3,FALSE),"")</f>
        <v/>
      </c>
      <c r="BH87" t="str">
        <f>IF(VLOOKUP($B87,'Draft List'!$D$4:$AB$2598,BH$3,FALSE)&lt;&gt;0,VLOOKUP($B87,'Draft List'!$D$4:$AB$2598,BH$3,FALSE),"")</f>
        <v/>
      </c>
      <c r="BI87" t="str">
        <f>IF(VLOOKUP($B87,'Draft List'!$D$4:$AB$2598,BI$3,FALSE)&lt;&gt;0,VLOOKUP($B87,'Draft List'!$D$4:$AB$2598,BI$3,FALSE),"")</f>
        <v/>
      </c>
      <c r="BJ87" t="str">
        <f>IF(OR(C87="SP",C87="MR",C87="CL"),"P",VLOOKUP($A87,Bat!$A$4:$AP$1287,42,FALSE))</f>
        <v>P</v>
      </c>
    </row>
    <row r="88" spans="1:62">
      <c r="A88" t="str">
        <f>C88&amp;D88&amp;E88</f>
        <v>MRRyan Brown18</v>
      </c>
      <c r="B88">
        <f>VLOOKUP($A88,draft_listing_pitchers_stats!$A$1:$B$1324,2,FALSE)</f>
        <v>13776</v>
      </c>
      <c r="C88" s="1" t="s">
        <v>2021</v>
      </c>
      <c r="D88" s="1" t="s">
        <v>1177</v>
      </c>
      <c r="E88" s="1">
        <v>18</v>
      </c>
      <c r="F88" s="1" t="s">
        <v>2049</v>
      </c>
      <c r="G88" s="1" t="s">
        <v>2038</v>
      </c>
      <c r="H88" s="1" t="s">
        <v>2033</v>
      </c>
      <c r="I88" s="31" t="s">
        <v>2033</v>
      </c>
      <c r="J88" s="1" t="s">
        <v>2030</v>
      </c>
      <c r="K88" s="31" t="s">
        <v>2030</v>
      </c>
      <c r="L88" s="1">
        <v>3</v>
      </c>
      <c r="M88" s="1">
        <v>4</v>
      </c>
      <c r="N88" s="31">
        <v>1</v>
      </c>
      <c r="O88" s="1">
        <v>5</v>
      </c>
      <c r="P88" s="1">
        <v>5</v>
      </c>
      <c r="Q88" s="31">
        <v>4</v>
      </c>
      <c r="R88" s="1">
        <v>4</v>
      </c>
      <c r="S88" s="1">
        <v>5</v>
      </c>
      <c r="T88" s="1">
        <v>1</v>
      </c>
      <c r="U88" s="1">
        <v>2</v>
      </c>
      <c r="V88" s="1">
        <v>2</v>
      </c>
      <c r="W88" s="1">
        <v>3</v>
      </c>
      <c r="X88" s="1">
        <v>2</v>
      </c>
      <c r="Y88" s="1">
        <v>4</v>
      </c>
      <c r="Z88" s="1" t="s">
        <v>2027</v>
      </c>
      <c r="AA88" s="1" t="s">
        <v>2027</v>
      </c>
      <c r="AB88" s="1">
        <v>4</v>
      </c>
      <c r="AC88" s="1">
        <v>5</v>
      </c>
      <c r="AD88" s="1" t="s">
        <v>2027</v>
      </c>
      <c r="AE88" s="1" t="s">
        <v>2027</v>
      </c>
      <c r="AF88" s="1">
        <v>4</v>
      </c>
      <c r="AG88" s="1">
        <v>4</v>
      </c>
      <c r="AH88" s="1" t="s">
        <v>2027</v>
      </c>
      <c r="AI88" s="1" t="s">
        <v>2027</v>
      </c>
      <c r="AJ88" s="1" t="s">
        <v>2027</v>
      </c>
      <c r="AK88" s="1" t="s">
        <v>2027</v>
      </c>
      <c r="AL88" s="1" t="s">
        <v>2027</v>
      </c>
      <c r="AM88" s="1" t="s">
        <v>2027</v>
      </c>
      <c r="AN88" s="1" t="s">
        <v>2027</v>
      </c>
      <c r="AO88" s="31" t="s">
        <v>2027</v>
      </c>
      <c r="AP88" s="1" t="s">
        <v>2044</v>
      </c>
      <c r="AQ88" s="1">
        <v>9</v>
      </c>
      <c r="AR88" s="32">
        <v>0.56000000000000005</v>
      </c>
      <c r="AS88" s="45" t="s">
        <v>2029</v>
      </c>
      <c r="AT88" s="9">
        <f>($O$3*(L88-$O$1)/$O$2+$P$3*(M88-$P$1)/$P$2+$Q$3*(N88-$P$1)/$Q$2)/SUM($O$3:$Q$3)</f>
        <v>-1.7258064396590846</v>
      </c>
      <c r="AU88" s="9">
        <f>($O$3*(O88-$O$1)/$O$2+$P$3*(P88-$P$1)/$P$2+$Q$3*(Q88-$Q$1)/$Q$2)/SUM($O$3:$Q$3)</f>
        <v>3.146437468872048E-2</v>
      </c>
      <c r="AV88">
        <f>COUNT(R88:AO88)/2</f>
        <v>6</v>
      </c>
      <c r="AW88">
        <f>COUNTIF(R88:AO88,"&gt;5")/2</f>
        <v>0</v>
      </c>
      <c r="AX88" s="6">
        <f>VLOOKUP(AP88,COND!$A$10:$B$31,2,FALSE)</f>
        <v>1</v>
      </c>
      <c r="AY88" s="9">
        <f>($AT$3*AT88+$AU$3*AU88+$AV$3*AV88+$AW$3*AW88)*AX88*IF(AQ88&lt;5,0.95,IF(AQ88&lt;7,0.975,1))+$J$3*VLOOKUP(J88,[1]Con!$A$2:$C$7,2,FALSE)+$K$3*VLOOKUP(K88,[1]Con!$A$2:$C$7,3,FALSE)+IF(BA88="SP",$BA$3,0)</f>
        <v>36.784126205842597</v>
      </c>
      <c r="AZ88" s="37">
        <f>STANDARDIZE(AY88,AVERAGE($AY$5:$AY$1116),STDEVP($AY$5:$AY$1116))</f>
        <v>0.22727547399747233</v>
      </c>
      <c r="BA88" t="str">
        <f>IF(OR(AND(AQ88&gt;7,AW88&gt;1),AND(AQ88&gt;4,AV88&gt;2)),"SP","RP")</f>
        <v>SP</v>
      </c>
      <c r="BC88">
        <f>VLOOKUP($A88,'Draft List'!$A$4:$V$530,22,FALSE)</f>
        <v>0</v>
      </c>
      <c r="BD88" t="s">
        <v>155</v>
      </c>
      <c r="BE88" t="str">
        <f>IF(AVERAGE($O88:$Q88)&gt;=6,"Likely",IF(AVERAGE($O88:$Q88)&gt;=4,"Possible","Unlikely"))</f>
        <v>Possible</v>
      </c>
      <c r="BG88" t="str">
        <f>IF(VLOOKUP($B88,'Draft List'!$D$4:$AB$2598,BG$3,FALSE)&lt;&gt;0,VLOOKUP($B88,'Draft List'!$D$4:$AB$2598,BG$3,FALSE),"")</f>
        <v/>
      </c>
      <c r="BH88" t="str">
        <f>IF(VLOOKUP($B88,'Draft List'!$D$4:$AB$2598,BH$3,FALSE)&lt;&gt;0,VLOOKUP($B88,'Draft List'!$D$4:$AB$2598,BH$3,FALSE),"")</f>
        <v/>
      </c>
      <c r="BI88" t="str">
        <f>IF(VLOOKUP($B88,'Draft List'!$D$4:$AB$2598,BI$3,FALSE)&lt;&gt;0,VLOOKUP($B88,'Draft List'!$D$4:$AB$2598,BI$3,FALSE),"")</f>
        <v/>
      </c>
      <c r="BJ88" t="str">
        <f>IF(OR(C88="SP",C88="MR",C88="CL"),"P",VLOOKUP($A88,Bat!$A$4:$AP$1287,42,FALSE))</f>
        <v>P</v>
      </c>
    </row>
    <row r="89" spans="1:62">
      <c r="A89" t="str">
        <f>C89&amp;D89&amp;E89</f>
        <v>SPRamón Deleón18</v>
      </c>
      <c r="B89">
        <f>VLOOKUP($A89,draft_listing_pitchers_stats!$A$1:$B$1324,2,FALSE)</f>
        <v>13781</v>
      </c>
      <c r="C89" s="1" t="s">
        <v>2003</v>
      </c>
      <c r="D89" s="1" t="s">
        <v>1106</v>
      </c>
      <c r="E89" s="1">
        <v>18</v>
      </c>
      <c r="F89" s="1" t="s">
        <v>2022</v>
      </c>
      <c r="G89" s="1" t="s">
        <v>2022</v>
      </c>
      <c r="H89" s="1" t="s">
        <v>2033</v>
      </c>
      <c r="I89" s="31" t="s">
        <v>2023</v>
      </c>
      <c r="J89" s="1" t="s">
        <v>2036</v>
      </c>
      <c r="K89" s="31" t="s">
        <v>2025</v>
      </c>
      <c r="L89" s="1">
        <v>2</v>
      </c>
      <c r="M89" s="1">
        <v>4</v>
      </c>
      <c r="N89" s="31">
        <v>1</v>
      </c>
      <c r="O89" s="1">
        <v>4</v>
      </c>
      <c r="P89" s="1">
        <v>5</v>
      </c>
      <c r="Q89" s="31">
        <v>5</v>
      </c>
      <c r="R89" s="1">
        <v>4</v>
      </c>
      <c r="S89" s="1">
        <v>5</v>
      </c>
      <c r="T89" s="1">
        <v>1</v>
      </c>
      <c r="U89" s="1">
        <v>3</v>
      </c>
      <c r="V89" s="1">
        <v>2</v>
      </c>
      <c r="W89" s="1">
        <v>4</v>
      </c>
      <c r="X89" s="1" t="s">
        <v>2027</v>
      </c>
      <c r="Y89" s="1" t="s">
        <v>2027</v>
      </c>
      <c r="Z89" s="1" t="s">
        <v>2027</v>
      </c>
      <c r="AA89" s="1" t="s">
        <v>2027</v>
      </c>
      <c r="AB89" s="1" t="s">
        <v>2027</v>
      </c>
      <c r="AC89" s="1" t="s">
        <v>2027</v>
      </c>
      <c r="AD89" s="1" t="s">
        <v>2027</v>
      </c>
      <c r="AE89" s="1" t="s">
        <v>2027</v>
      </c>
      <c r="AF89" s="1" t="s">
        <v>2027</v>
      </c>
      <c r="AG89" s="1" t="s">
        <v>2027</v>
      </c>
      <c r="AH89" s="1" t="s">
        <v>2027</v>
      </c>
      <c r="AI89" s="1" t="s">
        <v>2027</v>
      </c>
      <c r="AJ89" s="1">
        <v>2</v>
      </c>
      <c r="AK89" s="1">
        <v>4</v>
      </c>
      <c r="AL89" s="1" t="s">
        <v>2027</v>
      </c>
      <c r="AM89" s="1" t="s">
        <v>2027</v>
      </c>
      <c r="AN89" s="1" t="s">
        <v>2027</v>
      </c>
      <c r="AO89" s="31" t="s">
        <v>2027</v>
      </c>
      <c r="AP89" s="1" t="s">
        <v>2041</v>
      </c>
      <c r="AQ89" s="1">
        <v>8</v>
      </c>
      <c r="AR89" s="32">
        <v>0.52</v>
      </c>
      <c r="AS89" s="45" t="s">
        <v>2029</v>
      </c>
      <c r="AT89" s="9">
        <f>($O$3*(L89-$O$1)/$O$2+$P$3*(M89-$P$1)/$P$2+$Q$3*(N89-$P$1)/$Q$2)/SUM($O$3:$Q$3)</f>
        <v>-1.9204977641682581</v>
      </c>
      <c r="AU89" s="9">
        <f>($O$3*(O89-$O$1)/$O$2+$P$3*(P89-$P$1)/$P$2+$Q$3*(Q89-$Q$1)/$Q$2)/SUM($O$3:$Q$3)</f>
        <v>7.9093616233657377E-2</v>
      </c>
      <c r="AV89">
        <f>COUNT(R89:AO89)/2</f>
        <v>4</v>
      </c>
      <c r="AW89">
        <f>COUNTIF(R89:AO89,"&gt;5")/2</f>
        <v>0</v>
      </c>
      <c r="AX89" s="6">
        <f>VLOOKUP(AP89,COND!$A$10:$B$31,2,FALSE)</f>
        <v>1</v>
      </c>
      <c r="AY89" s="9">
        <f>($AT$3*AT89+$AU$3*AU89+$AV$3*AV89+$AW$3*AW89)*AX89*IF(AQ89&lt;5,0.95,IF(AQ89&lt;7,0.975,1))+$J$3*VLOOKUP(J89,[1]Con!$A$2:$C$7,2,FALSE)+$K$3*VLOOKUP(K89,[1]Con!$A$2:$C$7,3,FALSE)+IF(BA89="SP",$BA$3,0)</f>
        <v>36.247772771839493</v>
      </c>
      <c r="AZ89" s="37">
        <f>STANDARDIZE(AY89,AVERAGE($AY$5:$AY$1116),STDEVP($AY$5:$AY$1116))</f>
        <v>0.18469623045455941</v>
      </c>
      <c r="BA89" t="str">
        <f>IF(OR(AND(AQ89&gt;7,AW89&gt;1),AND(AQ89&gt;4,AV89&gt;2)),"SP","RP")</f>
        <v>SP</v>
      </c>
      <c r="BC89">
        <f>VLOOKUP($A89,'Draft List'!$A$4:$V$530,22,FALSE)</f>
        <v>0</v>
      </c>
      <c r="BD89" t="s">
        <v>50</v>
      </c>
      <c r="BE89" t="str">
        <f>IF(AVERAGE($O89:$Q89)&gt;=6,"Likely",IF(AVERAGE($O89:$Q89)&gt;=4,"Possible","Unlikely"))</f>
        <v>Possible</v>
      </c>
      <c r="BG89" t="str">
        <f>IF(VLOOKUP($B89,'Draft List'!$D$4:$AB$2598,BG$3,FALSE)&lt;&gt;0,VLOOKUP($B89,'Draft List'!$D$4:$AB$2598,BG$3,FALSE),"")</f>
        <v/>
      </c>
      <c r="BH89" t="str">
        <f>IF(VLOOKUP($B89,'Draft List'!$D$4:$AB$2598,BH$3,FALSE)&lt;&gt;0,VLOOKUP($B89,'Draft List'!$D$4:$AB$2598,BH$3,FALSE),"")</f>
        <v/>
      </c>
      <c r="BI89" t="str">
        <f>IF(VLOOKUP($B89,'Draft List'!$D$4:$AB$2598,BI$3,FALSE)&lt;&gt;0,VLOOKUP($B89,'Draft List'!$D$4:$AB$2598,BI$3,FALSE),"")</f>
        <v/>
      </c>
      <c r="BJ89" t="str">
        <f>IF(OR(C89="SP",C89="MR",C89="CL"),"P",VLOOKUP($A89,Bat!$A$4:$AP$1287,42,FALSE))</f>
        <v>P</v>
      </c>
    </row>
    <row r="90" spans="1:62">
      <c r="A90" t="str">
        <f>C90&amp;D90&amp;E90</f>
        <v>MRDaniel Vaughn18</v>
      </c>
      <c r="B90">
        <f>VLOOKUP($A90,draft_listing_pitchers_stats!$A$1:$B$1324,2,FALSE)</f>
        <v>1363</v>
      </c>
      <c r="C90" s="1" t="s">
        <v>2021</v>
      </c>
      <c r="D90" s="1" t="s">
        <v>1159</v>
      </c>
      <c r="E90" s="1">
        <v>18</v>
      </c>
      <c r="F90" s="1" t="s">
        <v>2022</v>
      </c>
      <c r="G90" s="1" t="s">
        <v>2022</v>
      </c>
      <c r="H90" s="1" t="s">
        <v>2033</v>
      </c>
      <c r="I90" s="31" t="s">
        <v>2023</v>
      </c>
      <c r="J90" s="1" t="s">
        <v>2026</v>
      </c>
      <c r="K90" s="31" t="s">
        <v>2030</v>
      </c>
      <c r="L90" s="1">
        <v>3</v>
      </c>
      <c r="M90" s="1">
        <v>4</v>
      </c>
      <c r="N90" s="31">
        <v>1</v>
      </c>
      <c r="O90" s="1">
        <v>7</v>
      </c>
      <c r="P90" s="1">
        <v>4</v>
      </c>
      <c r="Q90" s="31">
        <v>4</v>
      </c>
      <c r="R90" s="1">
        <v>4</v>
      </c>
      <c r="S90" s="1">
        <v>8</v>
      </c>
      <c r="T90" s="1">
        <v>2</v>
      </c>
      <c r="U90" s="1">
        <v>7</v>
      </c>
      <c r="V90" s="1" t="s">
        <v>2027</v>
      </c>
      <c r="W90" s="1" t="s">
        <v>2027</v>
      </c>
      <c r="X90" s="1" t="s">
        <v>2027</v>
      </c>
      <c r="Y90" s="1" t="s">
        <v>2027</v>
      </c>
      <c r="Z90" s="1" t="s">
        <v>2027</v>
      </c>
      <c r="AA90" s="1" t="s">
        <v>2027</v>
      </c>
      <c r="AB90" s="1" t="s">
        <v>2027</v>
      </c>
      <c r="AC90" s="1" t="s">
        <v>2027</v>
      </c>
      <c r="AD90" s="1" t="s">
        <v>2027</v>
      </c>
      <c r="AE90" s="1" t="s">
        <v>2027</v>
      </c>
      <c r="AF90" s="1" t="s">
        <v>2027</v>
      </c>
      <c r="AG90" s="1" t="s">
        <v>2027</v>
      </c>
      <c r="AH90" s="1" t="s">
        <v>2027</v>
      </c>
      <c r="AI90" s="1" t="s">
        <v>2027</v>
      </c>
      <c r="AJ90" s="1" t="s">
        <v>2027</v>
      </c>
      <c r="AK90" s="1" t="s">
        <v>2027</v>
      </c>
      <c r="AL90" s="1" t="s">
        <v>2027</v>
      </c>
      <c r="AM90" s="1" t="s">
        <v>2027</v>
      </c>
      <c r="AN90" s="1" t="s">
        <v>2027</v>
      </c>
      <c r="AO90" s="31" t="s">
        <v>2027</v>
      </c>
      <c r="AP90" s="1" t="s">
        <v>2044</v>
      </c>
      <c r="AQ90" s="1">
        <v>1</v>
      </c>
      <c r="AR90" s="32">
        <v>0.49</v>
      </c>
      <c r="AS90" s="45" t="s">
        <v>2029</v>
      </c>
      <c r="AT90" s="9">
        <f>($O$3*(L90-$O$1)/$O$2+$P$3*(M90-$P$1)/$P$2+$Q$3*(N90-$P$1)/$Q$2)/SUM($O$3:$Q$3)</f>
        <v>-1.7258064396590846</v>
      </c>
      <c r="AU90" s="9">
        <f>($O$3*(O90-$O$1)/$O$2+$P$3*(P90-$P$1)/$P$2+$Q$3*(Q90-$Q$1)/$Q$2)/SUM($O$3:$Q$3)</f>
        <v>0.22541530727701206</v>
      </c>
      <c r="AV90">
        <f>COUNT(R90:AO90)/2</f>
        <v>2</v>
      </c>
      <c r="AW90">
        <f>COUNTIF(R90:AO90,"&gt;5")/2</f>
        <v>1</v>
      </c>
      <c r="AX90" s="6">
        <f>VLOOKUP(AP90,COND!$A$10:$B$31,2,FALSE)</f>
        <v>1</v>
      </c>
      <c r="AY90" s="9">
        <f>($AT$3*AT90+$AU$3*AU90+$AV$3*AV90+$AW$3*AW90)*AX90*IF(AQ90&lt;5,0.95,IF(AQ90&lt;7,0.975,1))+$J$3*VLOOKUP(J90,[1]Con!$A$2:$C$7,2,FALSE)+$K$3*VLOOKUP(K90,[1]Con!$A$2:$C$7,3,FALSE)+IF(BA90="SP",$BA$3,0)</f>
        <v>36.092487614728</v>
      </c>
      <c r="AZ90" s="37">
        <f>STANDARDIZE(AY90,AVERAGE($AY$5:$AY$1116),STDEVP($AY$5:$AY$1116))</f>
        <v>0.17236867906013414</v>
      </c>
      <c r="BA90" t="str">
        <f>IF(OR(AND(AQ90&gt;7,AW90&gt;1),AND(AQ90&gt;4,AV90&gt;2)),"SP","RP")</f>
        <v>RP</v>
      </c>
      <c r="BC90">
        <f>VLOOKUP($A90,'Draft List'!$A$4:$V$530,22,FALSE)</f>
        <v>0</v>
      </c>
      <c r="BD90" t="s">
        <v>64</v>
      </c>
      <c r="BE90" t="str">
        <f>IF(AVERAGE($O90:$Q90)&gt;=6,"Likely",IF(AVERAGE($O90:$Q90)&gt;=4,"Possible","Unlikely"))</f>
        <v>Possible</v>
      </c>
      <c r="BG90" t="str">
        <f>IF(VLOOKUP($B90,'Draft List'!$D$4:$AB$2598,BG$3,FALSE)&lt;&gt;0,VLOOKUP($B90,'Draft List'!$D$4:$AB$2598,BG$3,FALSE),"")</f>
        <v/>
      </c>
      <c r="BH90" t="str">
        <f>IF(VLOOKUP($B90,'Draft List'!$D$4:$AB$2598,BH$3,FALSE)&lt;&gt;0,VLOOKUP($B90,'Draft List'!$D$4:$AB$2598,BH$3,FALSE),"")</f>
        <v/>
      </c>
      <c r="BI90" t="str">
        <f>IF(VLOOKUP($B90,'Draft List'!$D$4:$AB$2598,BI$3,FALSE)&lt;&gt;0,VLOOKUP($B90,'Draft List'!$D$4:$AB$2598,BI$3,FALSE),"")</f>
        <v/>
      </c>
      <c r="BJ90" t="str">
        <f>IF(OR(C90="SP",C90="MR",C90="CL"),"P",VLOOKUP($A90,Bat!$A$4:$AP$1287,42,FALSE))</f>
        <v>P</v>
      </c>
    </row>
    <row r="91" spans="1:62">
      <c r="A91" t="str">
        <f>C91&amp;D91&amp;E91</f>
        <v>SPHenry Vinson21</v>
      </c>
      <c r="B91">
        <f>VLOOKUP($A91,draft_listing_pitchers_stats!$A$1:$B$1324,2,FALSE)</f>
        <v>8189</v>
      </c>
      <c r="C91" s="1" t="s">
        <v>2003</v>
      </c>
      <c r="D91" s="1" t="s">
        <v>1160</v>
      </c>
      <c r="E91" s="1">
        <v>21</v>
      </c>
      <c r="F91" s="1" t="s">
        <v>2022</v>
      </c>
      <c r="G91" s="1" t="s">
        <v>2022</v>
      </c>
      <c r="H91" s="1" t="s">
        <v>2033</v>
      </c>
      <c r="I91" s="31" t="s">
        <v>2023</v>
      </c>
      <c r="J91" s="1" t="s">
        <v>2036</v>
      </c>
      <c r="K91" s="31" t="s">
        <v>2036</v>
      </c>
      <c r="L91" s="1">
        <v>3</v>
      </c>
      <c r="M91" s="1">
        <v>4</v>
      </c>
      <c r="N91" s="31">
        <v>3</v>
      </c>
      <c r="O91" s="1">
        <v>4</v>
      </c>
      <c r="P91" s="1">
        <v>4</v>
      </c>
      <c r="Q91" s="31">
        <v>6</v>
      </c>
      <c r="R91" s="1">
        <v>4</v>
      </c>
      <c r="S91" s="1">
        <v>5</v>
      </c>
      <c r="T91" s="1" t="s">
        <v>2027</v>
      </c>
      <c r="U91" s="1" t="s">
        <v>2027</v>
      </c>
      <c r="V91" s="1" t="s">
        <v>2027</v>
      </c>
      <c r="W91" s="1" t="s">
        <v>2027</v>
      </c>
      <c r="X91" s="1">
        <v>4</v>
      </c>
      <c r="Y91" s="1">
        <v>6</v>
      </c>
      <c r="Z91" s="1" t="s">
        <v>2027</v>
      </c>
      <c r="AA91" s="1" t="s">
        <v>2027</v>
      </c>
      <c r="AB91" s="1" t="s">
        <v>2027</v>
      </c>
      <c r="AC91" s="1" t="s">
        <v>2027</v>
      </c>
      <c r="AD91" s="1" t="s">
        <v>2027</v>
      </c>
      <c r="AE91" s="1" t="s">
        <v>2027</v>
      </c>
      <c r="AF91" s="1" t="s">
        <v>2027</v>
      </c>
      <c r="AG91" s="1" t="s">
        <v>2027</v>
      </c>
      <c r="AH91" s="1" t="s">
        <v>2027</v>
      </c>
      <c r="AI91" s="1" t="s">
        <v>2027</v>
      </c>
      <c r="AJ91" s="1" t="s">
        <v>2027</v>
      </c>
      <c r="AK91" s="1" t="s">
        <v>2027</v>
      </c>
      <c r="AL91" s="1" t="s">
        <v>2027</v>
      </c>
      <c r="AM91" s="1" t="s">
        <v>2027</v>
      </c>
      <c r="AN91" s="1" t="s">
        <v>2027</v>
      </c>
      <c r="AO91" s="31" t="s">
        <v>2027</v>
      </c>
      <c r="AP91" s="1" t="s">
        <v>2041</v>
      </c>
      <c r="AQ91" s="1">
        <v>9</v>
      </c>
      <c r="AR91" s="32">
        <v>0.56000000000000005</v>
      </c>
      <c r="AS91" s="45" t="s">
        <v>2029</v>
      </c>
      <c r="AT91" s="9">
        <f>($O$3*(L91-$O$1)/$O$2+$P$3*(M91-$P$1)/$P$2+$Q$3*(N91-$P$1)/$Q$2)/SUM($O$3:$Q$3)</f>
        <v>-1.2411653075508642</v>
      </c>
      <c r="AU91" s="9">
        <f>($O$3*(O91-$O$1)/$O$2+$P$3*(P91-$P$1)/$P$2+$Q$3*(Q91-$Q$1)/$Q$2)/SUM($O$3:$Q$3)</f>
        <v>0.12598246585771228</v>
      </c>
      <c r="AV91">
        <f>COUNT(R91:AO91)/2</f>
        <v>2</v>
      </c>
      <c r="AW91">
        <f>COUNTIF(R91:AO91,"&gt;5")/2</f>
        <v>0.5</v>
      </c>
      <c r="AX91" s="6">
        <f>VLOOKUP(AP91,COND!$A$10:$B$31,2,FALSE)</f>
        <v>1</v>
      </c>
      <c r="AY91" s="9">
        <f>($AT$3*AT91+$AU$3*AU91+$AV$3*AV91+$AW$3*AW91)*AX91*IF(AQ91&lt;5,0.95,IF(AQ91&lt;7,0.975,1))+$J$3*VLOOKUP(J91,[1]Con!$A$2:$C$7,2,FALSE)+$K$3*VLOOKUP(K91,[1]Con!$A$2:$C$7,3,FALSE)+IF(BA91="SP",$BA$3,0)</f>
        <v>35.996416255644078</v>
      </c>
      <c r="AZ91" s="37">
        <f>STANDARDIZE(AY91,AVERAGE($AY$5:$AY$1116),STDEVP($AY$5:$AY$1116))</f>
        <v>0.1647419062334885</v>
      </c>
      <c r="BA91" t="str">
        <f>IF(OR(AND(AQ91&gt;7,AW91&gt;1),AND(AQ91&gt;4,AV91&gt;2)),"SP","RP")</f>
        <v>RP</v>
      </c>
      <c r="BC91">
        <f>VLOOKUP($A91,'Draft List'!$A$4:$V$530,22,FALSE)</f>
        <v>0</v>
      </c>
      <c r="BD91" t="s">
        <v>65</v>
      </c>
      <c r="BE91" t="str">
        <f>IF(AVERAGE($O91:$Q91)&gt;=6,"Likely",IF(AVERAGE($O91:$Q91)&gt;=4,"Possible","Unlikely"))</f>
        <v>Possible</v>
      </c>
      <c r="BG91" t="str">
        <f>IF(VLOOKUP($B91,'Draft List'!$D$4:$AB$2598,BG$3,FALSE)&lt;&gt;0,VLOOKUP($B91,'Draft List'!$D$4:$AB$2598,BG$3,FALSE),"")</f>
        <v/>
      </c>
      <c r="BH91" t="str">
        <f>IF(VLOOKUP($B91,'Draft List'!$D$4:$AB$2598,BH$3,FALSE)&lt;&gt;0,VLOOKUP($B91,'Draft List'!$D$4:$AB$2598,BH$3,FALSE),"")</f>
        <v/>
      </c>
      <c r="BI91" t="str">
        <f>IF(VLOOKUP($B91,'Draft List'!$D$4:$AB$2598,BI$3,FALSE)&lt;&gt;0,VLOOKUP($B91,'Draft List'!$D$4:$AB$2598,BI$3,FALSE),"")</f>
        <v/>
      </c>
      <c r="BJ91" t="str">
        <f>IF(OR(C91="SP",C91="MR",C91="CL"),"P",VLOOKUP($A91,Bat!$A$4:$AP$1287,42,FALSE))</f>
        <v>P</v>
      </c>
    </row>
    <row r="92" spans="1:62">
      <c r="A92" t="str">
        <f>C92&amp;D92&amp;E92</f>
        <v>MRSean Robinson21</v>
      </c>
      <c r="B92">
        <f>VLOOKUP($A92,draft_listing_pitchers_stats!$A$1:$B$1324,2,FALSE)</f>
        <v>2426</v>
      </c>
      <c r="C92" s="1" t="s">
        <v>2021</v>
      </c>
      <c r="D92" s="1" t="s">
        <v>1149</v>
      </c>
      <c r="E92" s="1">
        <v>21</v>
      </c>
      <c r="F92" s="1" t="s">
        <v>2022</v>
      </c>
      <c r="G92" s="1" t="s">
        <v>2022</v>
      </c>
      <c r="H92" s="1" t="s">
        <v>2033</v>
      </c>
      <c r="I92" s="31" t="s">
        <v>2023</v>
      </c>
      <c r="J92" s="1" t="s">
        <v>2025</v>
      </c>
      <c r="K92" s="31" t="s">
        <v>2026</v>
      </c>
      <c r="L92" s="1">
        <v>5</v>
      </c>
      <c r="M92" s="1">
        <v>5</v>
      </c>
      <c r="N92" s="31">
        <v>3</v>
      </c>
      <c r="O92" s="1">
        <v>6</v>
      </c>
      <c r="P92" s="1">
        <v>5</v>
      </c>
      <c r="Q92" s="31">
        <v>4</v>
      </c>
      <c r="R92" s="1" t="s">
        <v>2027</v>
      </c>
      <c r="S92" s="1" t="s">
        <v>2027</v>
      </c>
      <c r="T92" s="1" t="s">
        <v>2027</v>
      </c>
      <c r="U92" s="1" t="s">
        <v>2027</v>
      </c>
      <c r="V92" s="1" t="s">
        <v>2027</v>
      </c>
      <c r="W92" s="1" t="s">
        <v>2027</v>
      </c>
      <c r="X92" s="1">
        <v>5</v>
      </c>
      <c r="Y92" s="1">
        <v>7</v>
      </c>
      <c r="Z92" s="1" t="s">
        <v>2027</v>
      </c>
      <c r="AA92" s="1" t="s">
        <v>2027</v>
      </c>
      <c r="AB92" s="1" t="s">
        <v>2027</v>
      </c>
      <c r="AC92" s="1" t="s">
        <v>2027</v>
      </c>
      <c r="AD92" s="1">
        <v>5</v>
      </c>
      <c r="AE92" s="1">
        <v>6</v>
      </c>
      <c r="AF92" s="1" t="s">
        <v>2027</v>
      </c>
      <c r="AG92" s="1" t="s">
        <v>2027</v>
      </c>
      <c r="AH92" s="1" t="s">
        <v>2027</v>
      </c>
      <c r="AI92" s="1" t="s">
        <v>2027</v>
      </c>
      <c r="AJ92" s="1" t="s">
        <v>2027</v>
      </c>
      <c r="AK92" s="1" t="s">
        <v>2027</v>
      </c>
      <c r="AL92" s="1" t="s">
        <v>2027</v>
      </c>
      <c r="AM92" s="1" t="s">
        <v>2027</v>
      </c>
      <c r="AN92" s="1" t="s">
        <v>2027</v>
      </c>
      <c r="AO92" s="31" t="s">
        <v>2027</v>
      </c>
      <c r="AP92" s="1" t="s">
        <v>2044</v>
      </c>
      <c r="AQ92" s="1">
        <v>6</v>
      </c>
      <c r="AR92" s="32">
        <v>0.56999999999999995</v>
      </c>
      <c r="AS92" s="45" t="s">
        <v>2029</v>
      </c>
      <c r="AT92" s="9">
        <f>($O$3*(L92-$O$1)/$O$2+$P$3*(M92-$P$1)/$P$2+$Q$3*(N92-$P$1)/$Q$2)/SUM($O$3:$Q$3)</f>
        <v>-0.65635094210246159</v>
      </c>
      <c r="AU92" s="9">
        <f>($O$3*(O92-$O$1)/$O$2+$P$3*(P92-$P$1)/$P$2+$Q$3*(Q92-$Q$1)/$Q$2)/SUM($O$3:$Q$3)</f>
        <v>0.22615569919789399</v>
      </c>
      <c r="AV92">
        <f>COUNT(R92:AO92)/2</f>
        <v>2</v>
      </c>
      <c r="AW92">
        <f>COUNTIF(R92:AO92,"&gt;5")/2</f>
        <v>1</v>
      </c>
      <c r="AX92" s="6">
        <f>VLOOKUP(AP92,COND!$A$10:$B$31,2,FALSE)</f>
        <v>1</v>
      </c>
      <c r="AY92" s="9">
        <f>($AT$3*AT92+$AU$3*AU92+$AV$3*AV92+$AW$3*AW92)*AX92*IF(AQ92&lt;5,0.95,IF(AQ92&lt;7,0.975,1))+$J$3*VLOOKUP(J92,[1]Con!$A$2:$C$7,2,FALSE)+$K$3*VLOOKUP(K92,[1]Con!$A$2:$C$7,3,FALSE)+IF(BA92="SP",$BA$3,0)</f>
        <v>35.725797700648954</v>
      </c>
      <c r="AZ92" s="37">
        <f>STANDARDIZE(AY92,AVERAGE($AY$5:$AY$1116),STDEVP($AY$5:$AY$1116))</f>
        <v>0.14325843539156993</v>
      </c>
      <c r="BA92" t="str">
        <f>IF(OR(AND(AQ92&gt;7,AW92&gt;1),AND(AQ92&gt;4,AV92&gt;2)),"SP","RP")</f>
        <v>RP</v>
      </c>
      <c r="BC92">
        <f>VLOOKUP($A92,'Draft List'!$A$4:$V$530,22,FALSE)</f>
        <v>0</v>
      </c>
      <c r="BD92" t="s">
        <v>154</v>
      </c>
      <c r="BE92" t="str">
        <f>IF(AVERAGE($O92:$Q92)&gt;=6,"Likely",IF(AVERAGE($O92:$Q92)&gt;=4,"Possible","Unlikely"))</f>
        <v>Possible</v>
      </c>
      <c r="BG92" t="str">
        <f>IF(VLOOKUP($B92,'Draft List'!$D$4:$AB$2598,BG$3,FALSE)&lt;&gt;0,VLOOKUP($B92,'Draft List'!$D$4:$AB$2598,BG$3,FALSE),"")</f>
        <v/>
      </c>
      <c r="BH92" t="str">
        <f>IF(VLOOKUP($B92,'Draft List'!$D$4:$AB$2598,BH$3,FALSE)&lt;&gt;0,VLOOKUP($B92,'Draft List'!$D$4:$AB$2598,BH$3,FALSE),"")</f>
        <v/>
      </c>
      <c r="BI92" t="str">
        <f>IF(VLOOKUP($B92,'Draft List'!$D$4:$AB$2598,BI$3,FALSE)&lt;&gt;0,VLOOKUP($B92,'Draft List'!$D$4:$AB$2598,BI$3,FALSE),"")</f>
        <v/>
      </c>
      <c r="BJ92" t="str">
        <f>IF(OR(C92="SP",C92="MR",C92="CL"),"P",VLOOKUP($A92,Bat!$A$4:$AP$1287,42,FALSE))</f>
        <v>P</v>
      </c>
    </row>
    <row r="93" spans="1:62">
      <c r="A93" t="str">
        <f>C93&amp;D93&amp;E93</f>
        <v>MRDaniel Quillen18</v>
      </c>
      <c r="B93" t="e">
        <f>VLOOKUP($A93,draft_listing_pitchers_stats!$A$1:$B$1324,2,FALSE)</f>
        <v>#N/A</v>
      </c>
      <c r="C93" s="1" t="s">
        <v>2021</v>
      </c>
      <c r="D93" s="1" t="s">
        <v>1146</v>
      </c>
      <c r="E93" s="1">
        <v>18</v>
      </c>
      <c r="F93" s="1" t="s">
        <v>2049</v>
      </c>
      <c r="G93" s="1" t="s">
        <v>2022</v>
      </c>
      <c r="H93" s="1" t="s">
        <v>2033</v>
      </c>
      <c r="I93" s="31" t="s">
        <v>2023</v>
      </c>
      <c r="J93" s="1" t="s">
        <v>2036</v>
      </c>
      <c r="K93" s="31" t="s">
        <v>2026</v>
      </c>
      <c r="L93" s="1">
        <v>3</v>
      </c>
      <c r="M93" s="1">
        <v>4</v>
      </c>
      <c r="N93" s="31">
        <v>1</v>
      </c>
      <c r="O93" s="1">
        <v>4</v>
      </c>
      <c r="P93" s="1">
        <v>5</v>
      </c>
      <c r="Q93" s="31">
        <v>5</v>
      </c>
      <c r="R93" s="1">
        <v>3</v>
      </c>
      <c r="S93" s="1">
        <v>5</v>
      </c>
      <c r="T93" s="1">
        <v>1</v>
      </c>
      <c r="U93" s="1">
        <v>2</v>
      </c>
      <c r="V93" s="1" t="s">
        <v>2027</v>
      </c>
      <c r="W93" s="1" t="s">
        <v>2027</v>
      </c>
      <c r="X93" s="1" t="s">
        <v>2027</v>
      </c>
      <c r="Y93" s="1" t="s">
        <v>2027</v>
      </c>
      <c r="Z93" s="1" t="s">
        <v>2027</v>
      </c>
      <c r="AA93" s="1" t="s">
        <v>2027</v>
      </c>
      <c r="AB93" s="1" t="s">
        <v>2027</v>
      </c>
      <c r="AC93" s="1" t="s">
        <v>2027</v>
      </c>
      <c r="AD93" s="1">
        <v>3</v>
      </c>
      <c r="AE93" s="1">
        <v>4</v>
      </c>
      <c r="AF93" s="1" t="s">
        <v>2027</v>
      </c>
      <c r="AG93" s="1" t="s">
        <v>2027</v>
      </c>
      <c r="AH93" s="1" t="s">
        <v>2027</v>
      </c>
      <c r="AI93" s="1" t="s">
        <v>2027</v>
      </c>
      <c r="AJ93" s="1" t="s">
        <v>2027</v>
      </c>
      <c r="AK93" s="1" t="s">
        <v>2027</v>
      </c>
      <c r="AL93" s="1" t="s">
        <v>2027</v>
      </c>
      <c r="AM93" s="1" t="s">
        <v>2027</v>
      </c>
      <c r="AN93" s="1" t="s">
        <v>2027</v>
      </c>
      <c r="AO93" s="31" t="s">
        <v>2027</v>
      </c>
      <c r="AP93" s="1" t="s">
        <v>2056</v>
      </c>
      <c r="AQ93" s="1">
        <v>5</v>
      </c>
      <c r="AR93" s="32">
        <v>0.48</v>
      </c>
      <c r="AS93" s="45" t="s">
        <v>2029</v>
      </c>
      <c r="AT93" s="9">
        <f>($O$3*(L93-$O$1)/$O$2+$P$3*(M93-$P$1)/$P$2+$Q$3*(N93-$P$1)/$Q$2)/SUM($O$3:$Q$3)</f>
        <v>-1.7258064396590846</v>
      </c>
      <c r="AU93" s="9">
        <f>($O$3*(O93-$O$1)/$O$2+$P$3*(P93-$P$1)/$P$2+$Q$3*(Q93-$Q$1)/$Q$2)/SUM($O$3:$Q$3)</f>
        <v>7.9093616233657377E-2</v>
      </c>
      <c r="AV93">
        <f>COUNT(R93:AO93)/2</f>
        <v>3</v>
      </c>
      <c r="AW93">
        <f>COUNTIF(R93:AO93,"&gt;5")/2</f>
        <v>0</v>
      </c>
      <c r="AX93" s="6">
        <f>VLOOKUP(AP93,COND!$A$10:$B$31,2,FALSE)</f>
        <v>0.95</v>
      </c>
      <c r="AY93" s="9">
        <f>($AT$3*AT93+$AU$3*AU93+$AV$3*AV93+$AW$3*AW93)*AX93*IF(AQ93&lt;5,0.95,IF(AQ93&lt;7,0.975,1))+$J$3*VLOOKUP(J93,[1]Con!$A$2:$C$7,2,FALSE)+$K$3*VLOOKUP(K93,[1]Con!$A$2:$C$7,3,FALSE)+IF(BA93="SP",$BA$3,0)</f>
        <v>34.834878597781653</v>
      </c>
      <c r="AZ93" s="37">
        <f>STANDARDIZE(AY93,AVERAGE($AY$5:$AY$1116),STDEVP($AY$5:$AY$1116))</f>
        <v>7.253145006233877E-2</v>
      </c>
      <c r="BA93" t="str">
        <f>IF(OR(AND(AQ93&gt;7,AW93&gt;1),AND(AQ93&gt;4,AV93&gt;2)),"SP","RP")</f>
        <v>SP</v>
      </c>
      <c r="BC93" t="e">
        <f>VLOOKUP($A93,'Draft List'!$A$4:$V$530,22,FALSE)</f>
        <v>#N/A</v>
      </c>
      <c r="BD93" t="s">
        <v>66</v>
      </c>
      <c r="BE93" t="str">
        <f>IF(AVERAGE($O93:$Q93)&gt;=6,"Likely",IF(AVERAGE($O93:$Q93)&gt;=4,"Possible","Unlikely"))</f>
        <v>Possible</v>
      </c>
      <c r="BG93" t="e">
        <f>IF(VLOOKUP($B93,'Draft List'!$D$4:$AB$2598,BG$3,FALSE)&lt;&gt;0,VLOOKUP($B93,'Draft List'!$D$4:$AB$2598,BG$3,FALSE),"")</f>
        <v>#N/A</v>
      </c>
      <c r="BH93" t="e">
        <f>IF(VLOOKUP($B93,'Draft List'!$D$4:$AB$2598,BH$3,FALSE)&lt;&gt;0,VLOOKUP($B93,'Draft List'!$D$4:$AB$2598,BH$3,FALSE),"")</f>
        <v>#N/A</v>
      </c>
      <c r="BI93" t="e">
        <f>IF(VLOOKUP($B93,'Draft List'!$D$4:$AB$2598,BI$3,FALSE)&lt;&gt;0,VLOOKUP($B93,'Draft List'!$D$4:$AB$2598,BI$3,FALSE),"")</f>
        <v>#N/A</v>
      </c>
      <c r="BJ93" t="str">
        <f>IF(OR(C93="SP",C93="MR",C93="CL"),"P",VLOOKUP($A93,Bat!$A$4:$AP$1287,42,FALSE))</f>
        <v>P</v>
      </c>
    </row>
    <row r="94" spans="1:62">
      <c r="A94" t="str">
        <f>C94&amp;D94&amp;E94</f>
        <v>MRSteve Jowett21</v>
      </c>
      <c r="B94">
        <f>VLOOKUP($A94,draft_listing_pitchers_stats!$A$1:$B$1324,2,FALSE)</f>
        <v>2144</v>
      </c>
      <c r="C94" s="1" t="s">
        <v>2021</v>
      </c>
      <c r="D94" s="1" t="s">
        <v>1124</v>
      </c>
      <c r="E94" s="1">
        <v>21</v>
      </c>
      <c r="F94" s="1" t="s">
        <v>2022</v>
      </c>
      <c r="G94" s="1" t="s">
        <v>2038</v>
      </c>
      <c r="H94" s="1" t="s">
        <v>2033</v>
      </c>
      <c r="I94" s="31" t="s">
        <v>2023</v>
      </c>
      <c r="J94" s="1" t="s">
        <v>2026</v>
      </c>
      <c r="K94" s="31" t="s">
        <v>2030</v>
      </c>
      <c r="L94" s="1">
        <v>3</v>
      </c>
      <c r="M94" s="1">
        <v>5</v>
      </c>
      <c r="N94" s="31">
        <v>2</v>
      </c>
      <c r="O94" s="1">
        <v>4</v>
      </c>
      <c r="P94" s="1">
        <v>5</v>
      </c>
      <c r="Q94" s="31">
        <v>5</v>
      </c>
      <c r="R94" s="1">
        <v>5</v>
      </c>
      <c r="S94" s="1">
        <v>5</v>
      </c>
      <c r="T94" s="1">
        <v>3</v>
      </c>
      <c r="U94" s="1">
        <v>4</v>
      </c>
      <c r="V94" s="1" t="s">
        <v>2027</v>
      </c>
      <c r="W94" s="1" t="s">
        <v>2027</v>
      </c>
      <c r="X94" s="1" t="s">
        <v>2027</v>
      </c>
      <c r="Y94" s="1" t="s">
        <v>2027</v>
      </c>
      <c r="Z94" s="1" t="s">
        <v>2027</v>
      </c>
      <c r="AA94" s="1" t="s">
        <v>2027</v>
      </c>
      <c r="AB94" s="1" t="s">
        <v>2027</v>
      </c>
      <c r="AC94" s="1" t="s">
        <v>2027</v>
      </c>
      <c r="AD94" s="1">
        <v>4</v>
      </c>
      <c r="AE94" s="1">
        <v>5</v>
      </c>
      <c r="AF94" s="1" t="s">
        <v>2027</v>
      </c>
      <c r="AG94" s="1" t="s">
        <v>2027</v>
      </c>
      <c r="AH94" s="1" t="s">
        <v>2027</v>
      </c>
      <c r="AI94" s="1" t="s">
        <v>2027</v>
      </c>
      <c r="AJ94" s="1" t="s">
        <v>2027</v>
      </c>
      <c r="AK94" s="1" t="s">
        <v>2027</v>
      </c>
      <c r="AL94" s="1" t="s">
        <v>2027</v>
      </c>
      <c r="AM94" s="1" t="s">
        <v>2027</v>
      </c>
      <c r="AN94" s="1" t="s">
        <v>2027</v>
      </c>
      <c r="AO94" s="31" t="s">
        <v>2027</v>
      </c>
      <c r="AP94" s="1" t="s">
        <v>2044</v>
      </c>
      <c r="AQ94" s="1">
        <v>7</v>
      </c>
      <c r="AR94" s="32">
        <v>0.54</v>
      </c>
      <c r="AS94" s="45" t="s">
        <v>2029</v>
      </c>
      <c r="AT94" s="9">
        <f>($O$3*(L94-$O$1)/$O$2+$P$3*(M94-$P$1)/$P$2+$Q$3*(N94-$P$1)/$Q$2)/SUM($O$3:$Q$3)</f>
        <v>-1.2880541571749189</v>
      </c>
      <c r="AU94" s="9">
        <f>($O$3*(O94-$O$1)/$O$2+$P$3*(P94-$P$1)/$P$2+$Q$3*(Q94-$Q$1)/$Q$2)/SUM($O$3:$Q$3)</f>
        <v>7.9093616233657377E-2</v>
      </c>
      <c r="AV94">
        <f>COUNT(R94:AO94)/2</f>
        <v>3</v>
      </c>
      <c r="AW94">
        <f>COUNTIF(R94:AO94,"&gt;5")/2</f>
        <v>0</v>
      </c>
      <c r="AX94" s="6">
        <f>VLOOKUP(AP94,COND!$A$10:$B$31,2,FALSE)</f>
        <v>1</v>
      </c>
      <c r="AY94" s="9">
        <f>($AT$3*AT94+$AU$3*AU94+$AV$3*AV94+$AW$3*AW94)*AX94*IF(AQ94&lt;5,0.95,IF(AQ94&lt;7,0.975,1))+$J$3*VLOOKUP(J94,[1]Con!$A$2:$C$7,2,FALSE)+$K$3*VLOOKUP(K94,[1]Con!$A$2:$C$7,3,FALSE)+IF(BA94="SP",$BA$3,0)</f>
        <v>34.824261493238168</v>
      </c>
      <c r="AZ94" s="37">
        <f>STANDARDIZE(AY94,AVERAGE($AY$5:$AY$1116),STDEVP($AY$5:$AY$1116))</f>
        <v>7.1688594863848529E-2</v>
      </c>
      <c r="BA94" t="str">
        <f>IF(OR(AND(AQ94&gt;7,AW94&gt;1),AND(AQ94&gt;4,AV94&gt;2)),"SP","RP")</f>
        <v>SP</v>
      </c>
      <c r="BC94">
        <f>VLOOKUP($A94,'Draft List'!$A$4:$V$530,22,FALSE)</f>
        <v>0</v>
      </c>
      <c r="BD94" t="s">
        <v>156</v>
      </c>
      <c r="BE94" t="str">
        <f>IF(AVERAGE($O94:$Q94)&gt;=6,"Likely",IF(AVERAGE($O94:$Q94)&gt;=4,"Possible","Unlikely"))</f>
        <v>Possible</v>
      </c>
      <c r="BG94" t="str">
        <f>IF(VLOOKUP($B94,'Draft List'!$D$4:$AB$2598,BG$3,FALSE)&lt;&gt;0,VLOOKUP($B94,'Draft List'!$D$4:$AB$2598,BG$3,FALSE),"")</f>
        <v/>
      </c>
      <c r="BH94" t="str">
        <f>IF(VLOOKUP($B94,'Draft List'!$D$4:$AB$2598,BH$3,FALSE)&lt;&gt;0,VLOOKUP($B94,'Draft List'!$D$4:$AB$2598,BH$3,FALSE),"")</f>
        <v/>
      </c>
      <c r="BI94" t="str">
        <f>IF(VLOOKUP($B94,'Draft List'!$D$4:$AB$2598,BI$3,FALSE)&lt;&gt;0,VLOOKUP($B94,'Draft List'!$D$4:$AB$2598,BI$3,FALSE),"")</f>
        <v/>
      </c>
      <c r="BJ94" t="str">
        <f>IF(OR(C94="SP",C94="MR",C94="CL"),"P",VLOOKUP($A94,Bat!$A$4:$AP$1287,42,FALSE))</f>
        <v>P</v>
      </c>
    </row>
    <row r="95" spans="1:62">
      <c r="A95" t="str">
        <f>C95&amp;D95&amp;E95</f>
        <v>MRCurtis Robinson18</v>
      </c>
      <c r="B95" t="e">
        <f>VLOOKUP($A95,draft_listing_pitchers_stats!$A$1:$B$1324,2,FALSE)</f>
        <v>#N/A</v>
      </c>
      <c r="C95" s="1" t="s">
        <v>2021</v>
      </c>
      <c r="D95" s="1" t="s">
        <v>1148</v>
      </c>
      <c r="E95" s="1">
        <v>18</v>
      </c>
      <c r="F95" s="1" t="s">
        <v>2038</v>
      </c>
      <c r="G95" s="1" t="s">
        <v>2038</v>
      </c>
      <c r="H95" s="1" t="s">
        <v>2033</v>
      </c>
      <c r="I95" s="31" t="s">
        <v>2023</v>
      </c>
      <c r="J95" s="1" t="s">
        <v>2030</v>
      </c>
      <c r="K95" s="31" t="s">
        <v>2026</v>
      </c>
      <c r="L95" s="1">
        <v>3</v>
      </c>
      <c r="M95" s="1">
        <v>4</v>
      </c>
      <c r="N95" s="31">
        <v>1</v>
      </c>
      <c r="O95" s="1">
        <v>4</v>
      </c>
      <c r="P95" s="1">
        <v>5</v>
      </c>
      <c r="Q95" s="31">
        <v>5</v>
      </c>
      <c r="R95" s="1">
        <v>4</v>
      </c>
      <c r="S95" s="1">
        <v>5</v>
      </c>
      <c r="T95" s="1" t="s">
        <v>2027</v>
      </c>
      <c r="U95" s="1" t="s">
        <v>2027</v>
      </c>
      <c r="V95" s="1">
        <v>2</v>
      </c>
      <c r="W95" s="1">
        <v>4</v>
      </c>
      <c r="X95" s="1" t="s">
        <v>2027</v>
      </c>
      <c r="Y95" s="1" t="s">
        <v>2027</v>
      </c>
      <c r="Z95" s="1" t="s">
        <v>2027</v>
      </c>
      <c r="AA95" s="1" t="s">
        <v>2027</v>
      </c>
      <c r="AB95" s="1">
        <v>3</v>
      </c>
      <c r="AC95" s="1">
        <v>5</v>
      </c>
      <c r="AD95" s="1" t="s">
        <v>2027</v>
      </c>
      <c r="AE95" s="1" t="s">
        <v>2027</v>
      </c>
      <c r="AF95" s="1" t="s">
        <v>2027</v>
      </c>
      <c r="AG95" s="1" t="s">
        <v>2027</v>
      </c>
      <c r="AH95" s="1" t="s">
        <v>2027</v>
      </c>
      <c r="AI95" s="1" t="s">
        <v>2027</v>
      </c>
      <c r="AJ95" s="1" t="s">
        <v>2027</v>
      </c>
      <c r="AK95" s="1" t="s">
        <v>2027</v>
      </c>
      <c r="AL95" s="1" t="s">
        <v>2027</v>
      </c>
      <c r="AM95" s="1" t="s">
        <v>2027</v>
      </c>
      <c r="AN95" s="1" t="s">
        <v>2027</v>
      </c>
      <c r="AO95" s="31" t="s">
        <v>2027</v>
      </c>
      <c r="AP95" s="1" t="s">
        <v>2041</v>
      </c>
      <c r="AQ95" s="1">
        <v>7</v>
      </c>
      <c r="AR95" s="32">
        <v>0.53</v>
      </c>
      <c r="AS95" s="45" t="s">
        <v>2029</v>
      </c>
      <c r="AT95" s="9">
        <f>($O$3*(L95-$O$1)/$O$2+$P$3*(M95-$P$1)/$P$2+$Q$3*(N95-$P$1)/$Q$2)/SUM($O$3:$Q$3)</f>
        <v>-1.7258064396590846</v>
      </c>
      <c r="AU95" s="9">
        <f>($O$3*(O95-$O$1)/$O$2+$P$3*(P95-$P$1)/$P$2+$Q$3*(Q95-$Q$1)/$Q$2)/SUM($O$3:$Q$3)</f>
        <v>7.9093616233657377E-2</v>
      </c>
      <c r="AV95">
        <f>COUNT(R95:AO95)/2</f>
        <v>3</v>
      </c>
      <c r="AW95">
        <f>COUNTIF(R95:AO95,"&gt;5")/2</f>
        <v>0</v>
      </c>
      <c r="AX95" s="6">
        <f>VLOOKUP(AP95,COND!$A$10:$B$31,2,FALSE)</f>
        <v>1</v>
      </c>
      <c r="AY95" s="9">
        <f>($AT$3*AT95+$AU$3*AU95+$AV$3*AV95+$AW$3*AW95)*AX95*IF(AQ95&lt;5,0.95,IF(AQ95&lt;7,0.975,1))+$J$3*VLOOKUP(J95,[1]Con!$A$2:$C$7,2,FALSE)+$K$3*VLOOKUP(K95,[1]Con!$A$2:$C$7,3,FALSE)+IF(BA95="SP",$BA$3,0)</f>
        <v>34.736711036741326</v>
      </c>
      <c r="AZ95" s="37">
        <f>STANDARDIZE(AY95,AVERAGE($AY$5:$AY$1116),STDEVP($AY$5:$AY$1116))</f>
        <v>6.473826701445011E-2</v>
      </c>
      <c r="BA95" t="str">
        <f>IF(OR(AND(AQ95&gt;7,AW95&gt;1),AND(AQ95&gt;4,AV95&gt;2)),"SP","RP")</f>
        <v>SP</v>
      </c>
      <c r="BC95" t="e">
        <f>VLOOKUP($A95,'Draft List'!$A$4:$V$530,22,FALSE)</f>
        <v>#N/A</v>
      </c>
      <c r="BD95" t="s">
        <v>156</v>
      </c>
      <c r="BE95" t="str">
        <f>IF(AVERAGE($O95:$Q95)&gt;=6,"Likely",IF(AVERAGE($O95:$Q95)&gt;=4,"Possible","Unlikely"))</f>
        <v>Possible</v>
      </c>
      <c r="BG95" t="e">
        <f>IF(VLOOKUP($B95,'Draft List'!$D$4:$AB$2598,BG$3,FALSE)&lt;&gt;0,VLOOKUP($B95,'Draft List'!$D$4:$AB$2598,BG$3,FALSE),"")</f>
        <v>#N/A</v>
      </c>
      <c r="BH95" t="e">
        <f>IF(VLOOKUP($B95,'Draft List'!$D$4:$AB$2598,BH$3,FALSE)&lt;&gt;0,VLOOKUP($B95,'Draft List'!$D$4:$AB$2598,BH$3,FALSE),"")</f>
        <v>#N/A</v>
      </c>
      <c r="BI95" t="e">
        <f>IF(VLOOKUP($B95,'Draft List'!$D$4:$AB$2598,BI$3,FALSE)&lt;&gt;0,VLOOKUP($B95,'Draft List'!$D$4:$AB$2598,BI$3,FALSE),"")</f>
        <v>#N/A</v>
      </c>
      <c r="BJ95" t="str">
        <f>IF(OR(C95="SP",C95="MR",C95="CL"),"P",VLOOKUP($A95,Bat!$A$4:$AP$1287,42,FALSE))</f>
        <v>P</v>
      </c>
    </row>
    <row r="96" spans="1:62">
      <c r="A96" t="str">
        <f>C96&amp;D96&amp;E96</f>
        <v>MRNorberto Espinoza21</v>
      </c>
      <c r="B96" t="e">
        <f>VLOOKUP($A96,draft_listing_pitchers_stats!$A$1:$B$1324,2,FALSE)</f>
        <v>#N/A</v>
      </c>
      <c r="C96" s="1" t="s">
        <v>2021</v>
      </c>
      <c r="D96" s="1" t="s">
        <v>1109</v>
      </c>
      <c r="E96" s="1">
        <v>21</v>
      </c>
      <c r="F96" s="1" t="s">
        <v>2038</v>
      </c>
      <c r="G96" s="1" t="s">
        <v>2022</v>
      </c>
      <c r="H96" s="1" t="s">
        <v>2033</v>
      </c>
      <c r="I96" s="31" t="s">
        <v>2023</v>
      </c>
      <c r="J96" s="1" t="s">
        <v>2036</v>
      </c>
      <c r="K96" s="31" t="s">
        <v>2025</v>
      </c>
      <c r="L96" s="1">
        <v>3</v>
      </c>
      <c r="M96" s="1">
        <v>4</v>
      </c>
      <c r="N96" s="31">
        <v>4</v>
      </c>
      <c r="O96" s="1">
        <v>4</v>
      </c>
      <c r="P96" s="1">
        <v>4</v>
      </c>
      <c r="Q96" s="31">
        <v>6</v>
      </c>
      <c r="R96" s="1">
        <v>4</v>
      </c>
      <c r="S96" s="1">
        <v>5</v>
      </c>
      <c r="T96" s="1">
        <v>3</v>
      </c>
      <c r="U96" s="1">
        <v>4</v>
      </c>
      <c r="V96" s="1" t="s">
        <v>2027</v>
      </c>
      <c r="W96" s="1" t="s">
        <v>2027</v>
      </c>
      <c r="X96" s="1" t="s">
        <v>2027</v>
      </c>
      <c r="Y96" s="1" t="s">
        <v>2027</v>
      </c>
      <c r="Z96" s="1" t="s">
        <v>2027</v>
      </c>
      <c r="AA96" s="1" t="s">
        <v>2027</v>
      </c>
      <c r="AB96" s="1" t="s">
        <v>2027</v>
      </c>
      <c r="AC96" s="1" t="s">
        <v>2027</v>
      </c>
      <c r="AD96" s="1">
        <v>3</v>
      </c>
      <c r="AE96" s="1">
        <v>4</v>
      </c>
      <c r="AF96" s="1" t="s">
        <v>2027</v>
      </c>
      <c r="AG96" s="1" t="s">
        <v>2027</v>
      </c>
      <c r="AH96" s="1" t="s">
        <v>2027</v>
      </c>
      <c r="AI96" s="1" t="s">
        <v>2027</v>
      </c>
      <c r="AJ96" s="1" t="s">
        <v>2027</v>
      </c>
      <c r="AK96" s="1" t="s">
        <v>2027</v>
      </c>
      <c r="AL96" s="1" t="s">
        <v>2027</v>
      </c>
      <c r="AM96" s="1" t="s">
        <v>2027</v>
      </c>
      <c r="AN96" s="1" t="s">
        <v>2027</v>
      </c>
      <c r="AO96" s="31" t="s">
        <v>2027</v>
      </c>
      <c r="AP96" s="1" t="s">
        <v>2054</v>
      </c>
      <c r="AQ96" s="1">
        <v>2</v>
      </c>
      <c r="AR96" s="32">
        <v>0.52</v>
      </c>
      <c r="AS96" s="45" t="s">
        <v>2029</v>
      </c>
      <c r="AT96" s="9">
        <f>($O$3*(L96-$O$1)/$O$2+$P$3*(M96-$P$1)/$P$2+$Q$3*(N96-$P$1)/$Q$2)/SUM($O$3:$Q$3)</f>
        <v>-0.99884474149675362</v>
      </c>
      <c r="AU96" s="9">
        <f>($O$3*(O96-$O$1)/$O$2+$P$3*(P96-$P$1)/$P$2+$Q$3*(Q96-$Q$1)/$Q$2)/SUM($O$3:$Q$3)</f>
        <v>0.12598246585771228</v>
      </c>
      <c r="AV96">
        <f>COUNT(R96:AO96)/2</f>
        <v>3</v>
      </c>
      <c r="AW96">
        <f>COUNTIF(R96:AO96,"&gt;5")/2</f>
        <v>0</v>
      </c>
      <c r="AX96" s="6">
        <f>VLOOKUP(AP96,COND!$A$10:$B$31,2,FALSE)</f>
        <v>1</v>
      </c>
      <c r="AY96" s="9">
        <f>($AT$3*AT96+$AU$3*AU96+$AV$3*AV96+$AW$3*AW96)*AX96*IF(AQ96&lt;5,0.95,IF(AQ96&lt;7,0.975,1))+$J$3*VLOOKUP(J96,[1]Con!$A$2:$C$7,2,FALSE)+$K$3*VLOOKUP(K96,[1]Con!$A$2:$C$7,3,FALSE)+IF(BA96="SP",$BA$3,0)</f>
        <v>34.678886350412149</v>
      </c>
      <c r="AZ96" s="37">
        <f>STANDARDIZE(AY96,AVERAGE($AY$5:$AY$1116),STDEVP($AY$5:$AY$1116))</f>
        <v>6.0147765218598243E-2</v>
      </c>
      <c r="BA96" t="str">
        <f>IF(OR(AND(AQ96&gt;7,AW96&gt;1),AND(AQ96&gt;4,AV96&gt;2)),"SP","RP")</f>
        <v>RP</v>
      </c>
      <c r="BC96" t="e">
        <f>VLOOKUP($A96,'Draft List'!$A$4:$V$530,22,FALSE)</f>
        <v>#N/A</v>
      </c>
      <c r="BD96" t="s">
        <v>157</v>
      </c>
      <c r="BE96" t="str">
        <f>IF(AVERAGE($O96:$Q96)&gt;=6,"Likely",IF(AVERAGE($O96:$Q96)&gt;=4,"Possible","Unlikely"))</f>
        <v>Possible</v>
      </c>
      <c r="BG96" t="e">
        <f>IF(VLOOKUP($B96,'Draft List'!$D$4:$AB$2598,BG$3,FALSE)&lt;&gt;0,VLOOKUP($B96,'Draft List'!$D$4:$AB$2598,BG$3,FALSE),"")</f>
        <v>#N/A</v>
      </c>
      <c r="BH96" t="e">
        <f>IF(VLOOKUP($B96,'Draft List'!$D$4:$AB$2598,BH$3,FALSE)&lt;&gt;0,VLOOKUP($B96,'Draft List'!$D$4:$AB$2598,BH$3,FALSE),"")</f>
        <v>#N/A</v>
      </c>
      <c r="BI96" t="e">
        <f>IF(VLOOKUP($B96,'Draft List'!$D$4:$AB$2598,BI$3,FALSE)&lt;&gt;0,VLOOKUP($B96,'Draft List'!$D$4:$AB$2598,BI$3,FALSE),"")</f>
        <v>#N/A</v>
      </c>
      <c r="BJ96" t="str">
        <f>IF(OR(C96="SP",C96="MR",C96="CL"),"P",VLOOKUP($A96,Bat!$A$4:$AP$1287,42,FALSE))</f>
        <v>P</v>
      </c>
    </row>
    <row r="97" spans="1:62">
      <c r="A97" t="str">
        <f>C97&amp;D97&amp;E97</f>
        <v>CLRick Saunders21</v>
      </c>
      <c r="B97">
        <f>VLOOKUP($A97,draft_listing_pitchers_stats!$A$1:$B$1324,2,FALSE)</f>
        <v>7117</v>
      </c>
      <c r="C97" s="1" t="s">
        <v>2032</v>
      </c>
      <c r="D97" s="1" t="s">
        <v>1155</v>
      </c>
      <c r="E97" s="1">
        <v>21</v>
      </c>
      <c r="F97" s="1" t="s">
        <v>2038</v>
      </c>
      <c r="G97" s="1" t="s">
        <v>2038</v>
      </c>
      <c r="H97" s="1" t="s">
        <v>2033</v>
      </c>
      <c r="I97" s="31" t="s">
        <v>2023</v>
      </c>
      <c r="J97" s="1" t="s">
        <v>2040</v>
      </c>
      <c r="K97" s="31" t="s">
        <v>2036</v>
      </c>
      <c r="L97" s="1">
        <v>3</v>
      </c>
      <c r="M97" s="1">
        <v>6</v>
      </c>
      <c r="N97" s="31">
        <v>2</v>
      </c>
      <c r="O97" s="1">
        <v>3</v>
      </c>
      <c r="P97" s="1">
        <v>7</v>
      </c>
      <c r="Q97" s="31">
        <v>5</v>
      </c>
      <c r="R97" s="1">
        <v>4</v>
      </c>
      <c r="S97" s="1">
        <v>5</v>
      </c>
      <c r="T97" s="1">
        <v>2</v>
      </c>
      <c r="U97" s="1">
        <v>3</v>
      </c>
      <c r="V97" s="1">
        <v>2</v>
      </c>
      <c r="W97" s="1">
        <v>2</v>
      </c>
      <c r="X97" s="1" t="s">
        <v>2027</v>
      </c>
      <c r="Y97" s="1" t="s">
        <v>2027</v>
      </c>
      <c r="Z97" s="1" t="s">
        <v>2027</v>
      </c>
      <c r="AA97" s="1" t="s">
        <v>2027</v>
      </c>
      <c r="AB97" s="1" t="s">
        <v>2027</v>
      </c>
      <c r="AC97" s="1" t="s">
        <v>2027</v>
      </c>
      <c r="AD97" s="1" t="s">
        <v>2027</v>
      </c>
      <c r="AE97" s="1" t="s">
        <v>2027</v>
      </c>
      <c r="AF97" s="1" t="s">
        <v>2027</v>
      </c>
      <c r="AG97" s="1" t="s">
        <v>2027</v>
      </c>
      <c r="AH97" s="1" t="s">
        <v>2027</v>
      </c>
      <c r="AI97" s="1" t="s">
        <v>2027</v>
      </c>
      <c r="AJ97" s="1" t="s">
        <v>2027</v>
      </c>
      <c r="AK97" s="1" t="s">
        <v>2027</v>
      </c>
      <c r="AL97" s="1" t="s">
        <v>2027</v>
      </c>
      <c r="AM97" s="1" t="s">
        <v>2027</v>
      </c>
      <c r="AN97" s="1" t="s">
        <v>2027</v>
      </c>
      <c r="AO97" s="31" t="s">
        <v>2027</v>
      </c>
      <c r="AP97" s="1" t="s">
        <v>2034</v>
      </c>
      <c r="AQ97" s="1">
        <v>2</v>
      </c>
      <c r="AR97" s="32">
        <v>0.55000000000000004</v>
      </c>
      <c r="AS97" s="45" t="s">
        <v>2029</v>
      </c>
      <c r="AT97" s="9">
        <f>($O$3*(L97-$O$1)/$O$2+$P$3*(M97-$P$1)/$P$2+$Q$3*(N97-$P$1)/$Q$2)/SUM($O$3:$Q$3)</f>
        <v>-1.0926224407448637</v>
      </c>
      <c r="AU97" s="9">
        <f>($O$3*(O97-$O$1)/$O$2+$P$3*(P97-$P$1)/$P$2+$Q$3*(Q97-$Q$1)/$Q$2)/SUM($O$3:$Q$3)</f>
        <v>0.2752657245845947</v>
      </c>
      <c r="AV97">
        <f>COUNT(R97:AO97)/2</f>
        <v>3</v>
      </c>
      <c r="AW97">
        <f>COUNTIF(R97:AO97,"&gt;5")/2</f>
        <v>0</v>
      </c>
      <c r="AX97" s="6">
        <f>VLOOKUP(AP97,COND!$A$10:$B$31,2,FALSE)</f>
        <v>1</v>
      </c>
      <c r="AY97" s="9">
        <f>($AT$3*AT97+$AU$3*AU97+$AV$3*AV97+$AW$3*AW97)*AX97*IF(AQ97&lt;5,0.95,IF(AQ97&lt;7,0.975,1))+$J$3*VLOOKUP(J97,[1]Con!$A$2:$C$7,2,FALSE)+$K$3*VLOOKUP(K97,[1]Con!$A$2:$C$7,3,FALSE)+IF(BA97="SP",$BA$3,0)</f>
        <v>34.497450503365769</v>
      </c>
      <c r="AZ97" s="37">
        <f>STANDARDIZE(AY97,AVERAGE($AY$5:$AY$1116),STDEVP($AY$5:$AY$1116))</f>
        <v>4.5744201021864099E-2</v>
      </c>
      <c r="BA97" t="str">
        <f>IF(OR(AND(AQ97&gt;7,AW97&gt;1),AND(AQ97&gt;4,AV97&gt;2)),"SP","RP")</f>
        <v>RP</v>
      </c>
      <c r="BC97">
        <f>VLOOKUP($A97,'Draft List'!$A$4:$V$530,22,FALSE)</f>
        <v>0</v>
      </c>
      <c r="BD97" t="s">
        <v>156</v>
      </c>
      <c r="BE97" t="str">
        <f>IF(AVERAGE($O97:$Q97)&gt;=6,"Likely",IF(AVERAGE($O97:$Q97)&gt;=4,"Possible","Unlikely"))</f>
        <v>Possible</v>
      </c>
      <c r="BG97" t="str">
        <f>IF(VLOOKUP($B97,'Draft List'!$D$4:$AB$2598,BG$3,FALSE)&lt;&gt;0,VLOOKUP($B97,'Draft List'!$D$4:$AB$2598,BG$3,FALSE),"")</f>
        <v/>
      </c>
      <c r="BH97" t="str">
        <f>IF(VLOOKUP($B97,'Draft List'!$D$4:$AB$2598,BH$3,FALSE)&lt;&gt;0,VLOOKUP($B97,'Draft List'!$D$4:$AB$2598,BH$3,FALSE),"")</f>
        <v/>
      </c>
      <c r="BI97" t="str">
        <f>IF(VLOOKUP($B97,'Draft List'!$D$4:$AB$2598,BI$3,FALSE)&lt;&gt;0,VLOOKUP($B97,'Draft List'!$D$4:$AB$2598,BI$3,FALSE),"")</f>
        <v/>
      </c>
      <c r="BJ97" t="str">
        <f>IF(OR(C97="SP",C97="MR",C97="CL"),"P",VLOOKUP($A97,Bat!$A$4:$AP$1287,42,FALSE))</f>
        <v>P</v>
      </c>
    </row>
    <row r="98" spans="1:62">
      <c r="A98" t="str">
        <f>C98&amp;D98&amp;E98</f>
        <v>MRSam Gordon18</v>
      </c>
      <c r="B98" t="e">
        <f>VLOOKUP($A98,draft_listing_pitchers_stats!$A$1:$B$1324,2,FALSE)</f>
        <v>#N/A</v>
      </c>
      <c r="C98" s="1" t="s">
        <v>2021</v>
      </c>
      <c r="D98" s="1" t="s">
        <v>1116</v>
      </c>
      <c r="E98" s="1">
        <v>18</v>
      </c>
      <c r="F98" s="1" t="s">
        <v>2038</v>
      </c>
      <c r="G98" s="1" t="s">
        <v>2038</v>
      </c>
      <c r="H98" s="1" t="s">
        <v>2033</v>
      </c>
      <c r="I98" s="31" t="s">
        <v>2023</v>
      </c>
      <c r="J98" s="1" t="s">
        <v>2036</v>
      </c>
      <c r="K98" s="31" t="s">
        <v>2036</v>
      </c>
      <c r="L98" s="1">
        <v>4</v>
      </c>
      <c r="M98" s="1">
        <v>4</v>
      </c>
      <c r="N98" s="31">
        <v>1</v>
      </c>
      <c r="O98" s="1">
        <v>6</v>
      </c>
      <c r="P98" s="1">
        <v>4</v>
      </c>
      <c r="Q98" s="31">
        <v>4</v>
      </c>
      <c r="R98" s="1">
        <v>4</v>
      </c>
      <c r="S98" s="1">
        <v>5</v>
      </c>
      <c r="T98" s="1">
        <v>1</v>
      </c>
      <c r="U98" s="1">
        <v>2</v>
      </c>
      <c r="V98" s="1" t="s">
        <v>2027</v>
      </c>
      <c r="W98" s="1" t="s">
        <v>2027</v>
      </c>
      <c r="X98" s="1" t="s">
        <v>2027</v>
      </c>
      <c r="Y98" s="1" t="s">
        <v>2027</v>
      </c>
      <c r="Z98" s="1" t="s">
        <v>2027</v>
      </c>
      <c r="AA98" s="1" t="s">
        <v>2027</v>
      </c>
      <c r="AB98" s="1" t="s">
        <v>2027</v>
      </c>
      <c r="AC98" s="1" t="s">
        <v>2027</v>
      </c>
      <c r="AD98" s="1">
        <v>4</v>
      </c>
      <c r="AE98" s="1">
        <v>6</v>
      </c>
      <c r="AF98" s="1" t="s">
        <v>2027</v>
      </c>
      <c r="AG98" s="1" t="s">
        <v>2027</v>
      </c>
      <c r="AH98" s="1" t="s">
        <v>2027</v>
      </c>
      <c r="AI98" s="1" t="s">
        <v>2027</v>
      </c>
      <c r="AJ98" s="1" t="s">
        <v>2027</v>
      </c>
      <c r="AK98" s="1" t="s">
        <v>2027</v>
      </c>
      <c r="AL98" s="1" t="s">
        <v>2027</v>
      </c>
      <c r="AM98" s="1" t="s">
        <v>2027</v>
      </c>
      <c r="AN98" s="1" t="s">
        <v>2027</v>
      </c>
      <c r="AO98" s="31" t="s">
        <v>2027</v>
      </c>
      <c r="AP98" s="1" t="s">
        <v>2041</v>
      </c>
      <c r="AQ98" s="1">
        <v>4</v>
      </c>
      <c r="AR98" s="32">
        <v>0.45</v>
      </c>
      <c r="AS98" s="45" t="s">
        <v>2029</v>
      </c>
      <c r="AT98" s="9">
        <f>($O$3*(L98-$O$1)/$O$2+$P$3*(M98-$P$1)/$P$2+$Q$3*(N98-$P$1)/$Q$2)/SUM($O$3:$Q$3)</f>
        <v>-1.5311151151499114</v>
      </c>
      <c r="AU98" s="9">
        <f>($O$3*(O98-$O$1)/$O$2+$P$3*(P98-$P$1)/$P$2+$Q$3*(Q98-$Q$1)/$Q$2)/SUM($O$3:$Q$3)</f>
        <v>3.0723982767838571E-2</v>
      </c>
      <c r="AV98">
        <f>COUNT(R98:AO98)/2</f>
        <v>3</v>
      </c>
      <c r="AW98">
        <f>COUNTIF(R98:AO98,"&gt;5")/2</f>
        <v>0.5</v>
      </c>
      <c r="AX98" s="6">
        <f>VLOOKUP(AP98,COND!$A$10:$B$31,2,FALSE)</f>
        <v>1</v>
      </c>
      <c r="AY98" s="9">
        <f>($AT$3*AT98+$AU$3*AU98+$AV$3*AV98+$AW$3*AW98)*AX98*IF(AQ98&lt;5,0.95,IF(AQ98&lt;7,0.975,1))+$J$3*VLOOKUP(J98,[1]Con!$A$2:$C$7,2,FALSE)+$K$3*VLOOKUP(K98,[1]Con!$A$2:$C$7,3,FALSE)+IF(BA98="SP",$BA$3,0)</f>
        <v>34.411593800710449</v>
      </c>
      <c r="AZ98" s="37">
        <f>STANDARDIZE(AY98,AVERAGE($AY$5:$AY$1116),STDEVP($AY$5:$AY$1116))</f>
        <v>3.8928334430188304E-2</v>
      </c>
      <c r="BA98" t="str">
        <f>IF(OR(AND(AQ98&gt;7,AW98&gt;1),AND(AQ98&gt;4,AV98&gt;2)),"SP","RP")</f>
        <v>RP</v>
      </c>
      <c r="BC98" t="e">
        <f>VLOOKUP($A98,'Draft List'!$A$4:$V$530,22,FALSE)</f>
        <v>#N/A</v>
      </c>
      <c r="BD98" t="s">
        <v>155</v>
      </c>
      <c r="BE98" t="str">
        <f>IF(AVERAGE($O98:$Q98)&gt;=6,"Likely",IF(AVERAGE($O98:$Q98)&gt;=4,"Possible","Unlikely"))</f>
        <v>Possible</v>
      </c>
      <c r="BG98" t="e">
        <f>IF(VLOOKUP($B98,'Draft List'!$D$4:$AB$2598,BG$3,FALSE)&lt;&gt;0,VLOOKUP($B98,'Draft List'!$D$4:$AB$2598,BG$3,FALSE),"")</f>
        <v>#N/A</v>
      </c>
      <c r="BH98" t="e">
        <f>IF(VLOOKUP($B98,'Draft List'!$D$4:$AB$2598,BH$3,FALSE)&lt;&gt;0,VLOOKUP($B98,'Draft List'!$D$4:$AB$2598,BH$3,FALSE),"")</f>
        <v>#N/A</v>
      </c>
      <c r="BI98" t="e">
        <f>IF(VLOOKUP($B98,'Draft List'!$D$4:$AB$2598,BI$3,FALSE)&lt;&gt;0,VLOOKUP($B98,'Draft List'!$D$4:$AB$2598,BI$3,FALSE),"")</f>
        <v>#N/A</v>
      </c>
      <c r="BJ98" t="str">
        <f>IF(OR(C98="SP",C98="MR",C98="CL"),"P",VLOOKUP($A98,Bat!$A$4:$AP$1287,42,FALSE))</f>
        <v>P</v>
      </c>
    </row>
    <row r="99" spans="1:62">
      <c r="A99" t="str">
        <f>C99&amp;D99&amp;E99</f>
        <v>MRRamiro García21</v>
      </c>
      <c r="B99">
        <f>VLOOKUP($A99,draft_listing_pitchers_stats!$A$1:$B$1324,2,FALSE)</f>
        <v>2908</v>
      </c>
      <c r="C99" s="1" t="s">
        <v>2021</v>
      </c>
      <c r="D99" s="1" t="s">
        <v>1111</v>
      </c>
      <c r="E99" s="1">
        <v>21</v>
      </c>
      <c r="F99" s="1" t="s">
        <v>2038</v>
      </c>
      <c r="G99" s="1" t="s">
        <v>2038</v>
      </c>
      <c r="H99" s="1" t="s">
        <v>2033</v>
      </c>
      <c r="I99" s="31" t="s">
        <v>2023</v>
      </c>
      <c r="J99" s="1" t="s">
        <v>2030</v>
      </c>
      <c r="K99" s="31" t="s">
        <v>2036</v>
      </c>
      <c r="L99" s="1">
        <v>4</v>
      </c>
      <c r="M99" s="1">
        <v>4</v>
      </c>
      <c r="N99" s="31">
        <v>2</v>
      </c>
      <c r="O99" s="1">
        <v>5</v>
      </c>
      <c r="P99" s="1">
        <v>5</v>
      </c>
      <c r="Q99" s="31">
        <v>4</v>
      </c>
      <c r="R99" s="1">
        <v>6</v>
      </c>
      <c r="S99" s="1">
        <v>6</v>
      </c>
      <c r="T99" s="1" t="s">
        <v>2027</v>
      </c>
      <c r="U99" s="1" t="s">
        <v>2027</v>
      </c>
      <c r="V99" s="1" t="s">
        <v>2027</v>
      </c>
      <c r="W99" s="1" t="s">
        <v>2027</v>
      </c>
      <c r="X99" s="1" t="s">
        <v>2027</v>
      </c>
      <c r="Y99" s="1" t="s">
        <v>2027</v>
      </c>
      <c r="Z99" s="1" t="s">
        <v>2027</v>
      </c>
      <c r="AA99" s="1" t="s">
        <v>2027</v>
      </c>
      <c r="AB99" s="1" t="s">
        <v>2027</v>
      </c>
      <c r="AC99" s="1" t="s">
        <v>2027</v>
      </c>
      <c r="AD99" s="1" t="s">
        <v>2027</v>
      </c>
      <c r="AE99" s="1" t="s">
        <v>2027</v>
      </c>
      <c r="AF99" s="1" t="s">
        <v>2027</v>
      </c>
      <c r="AG99" s="1" t="s">
        <v>2027</v>
      </c>
      <c r="AH99" s="1" t="s">
        <v>2027</v>
      </c>
      <c r="AI99" s="1" t="s">
        <v>2027</v>
      </c>
      <c r="AJ99" s="1">
        <v>3</v>
      </c>
      <c r="AK99" s="1">
        <v>5</v>
      </c>
      <c r="AL99" s="1" t="s">
        <v>2027</v>
      </c>
      <c r="AM99" s="1" t="s">
        <v>2027</v>
      </c>
      <c r="AN99" s="1" t="s">
        <v>2027</v>
      </c>
      <c r="AO99" s="31" t="s">
        <v>2027</v>
      </c>
      <c r="AP99" s="1" t="s">
        <v>2044</v>
      </c>
      <c r="AQ99" s="1">
        <v>2</v>
      </c>
      <c r="AR99" s="32">
        <v>0.54</v>
      </c>
      <c r="AS99" s="45" t="s">
        <v>2029</v>
      </c>
      <c r="AT99" s="9">
        <f>($O$3*(L99-$O$1)/$O$2+$P$3*(M99-$P$1)/$P$2+$Q$3*(N99-$P$1)/$Q$2)/SUM($O$3:$Q$3)</f>
        <v>-1.288794549095801</v>
      </c>
      <c r="AU99" s="9">
        <f>($O$3*(O99-$O$1)/$O$2+$P$3*(P99-$P$1)/$P$2+$Q$3*(Q99-$Q$1)/$Q$2)/SUM($O$3:$Q$3)</f>
        <v>3.146437468872048E-2</v>
      </c>
      <c r="AV99">
        <f>COUNT(R99:AO99)/2</f>
        <v>2</v>
      </c>
      <c r="AW99">
        <f>COUNTIF(R99:AO99,"&gt;5")/2</f>
        <v>1</v>
      </c>
      <c r="AX99" s="6">
        <f>VLOOKUP(AP99,COND!$A$10:$B$31,2,FALSE)</f>
        <v>1</v>
      </c>
      <c r="AY99" s="9">
        <f>($AT$3*AT99+$AU$3*AU99+$AV$3*AV99+$AW$3*AW99)*AX99*IF(AQ99&lt;5,0.95,IF(AQ99&lt;7,0.975,1))+$J$3*VLOOKUP(J99,[1]Con!$A$2:$C$7,2,FALSE)+$K$3*VLOOKUP(K99,[1]Con!$A$2:$C$7,3,FALSE)+IF(BA99="SP",$BA$3,0)</f>
        <v>34.290452154757489</v>
      </c>
      <c r="AZ99" s="37">
        <f>STANDARDIZE(AY99,AVERAGE($AY$5:$AY$1116),STDEVP($AY$5:$AY$1116))</f>
        <v>2.9311318262840395E-2</v>
      </c>
      <c r="BA99" t="str">
        <f>IF(OR(AND(AQ99&gt;7,AW99&gt;1),AND(AQ99&gt;4,AV99&gt;2)),"SP","RP")</f>
        <v>RP</v>
      </c>
      <c r="BC99">
        <f>VLOOKUP($A99,'Draft List'!$A$4:$V$530,22,FALSE)</f>
        <v>0</v>
      </c>
      <c r="BD99" t="s">
        <v>154</v>
      </c>
      <c r="BE99" t="str">
        <f>IF(AVERAGE($O99:$Q99)&gt;=6,"Likely",IF(AVERAGE($O99:$Q99)&gt;=4,"Possible","Unlikely"))</f>
        <v>Possible</v>
      </c>
      <c r="BG99" t="str">
        <f>IF(VLOOKUP($B99,'Draft List'!$D$4:$AB$2598,BG$3,FALSE)&lt;&gt;0,VLOOKUP($B99,'Draft List'!$D$4:$AB$2598,BG$3,FALSE),"")</f>
        <v/>
      </c>
      <c r="BH99" t="str">
        <f>IF(VLOOKUP($B99,'Draft List'!$D$4:$AB$2598,BH$3,FALSE)&lt;&gt;0,VLOOKUP($B99,'Draft List'!$D$4:$AB$2598,BH$3,FALSE),"")</f>
        <v/>
      </c>
      <c r="BI99" t="str">
        <f>IF(VLOOKUP($B99,'Draft List'!$D$4:$AB$2598,BI$3,FALSE)&lt;&gt;0,VLOOKUP($B99,'Draft List'!$D$4:$AB$2598,BI$3,FALSE),"")</f>
        <v/>
      </c>
      <c r="BJ99" t="str">
        <f>IF(OR(C99="SP",C99="MR",C99="CL"),"P",VLOOKUP($A99,Bat!$A$4:$AP$1287,42,FALSE))</f>
        <v>P</v>
      </c>
    </row>
    <row r="100" spans="1:62">
      <c r="A100" t="str">
        <f>C100&amp;D100&amp;E100</f>
        <v>CLNathan Wade18</v>
      </c>
      <c r="B100">
        <f>VLOOKUP($A100,draft_listing_pitchers_stats!$A$1:$B$1324,2,FALSE)</f>
        <v>13782</v>
      </c>
      <c r="C100" s="1" t="s">
        <v>2032</v>
      </c>
      <c r="D100" s="1" t="s">
        <v>1161</v>
      </c>
      <c r="E100" s="1">
        <v>18</v>
      </c>
      <c r="F100" s="1" t="s">
        <v>2022</v>
      </c>
      <c r="G100" s="1" t="s">
        <v>2022</v>
      </c>
      <c r="H100" s="1" t="s">
        <v>2033</v>
      </c>
      <c r="I100" s="31" t="s">
        <v>2023</v>
      </c>
      <c r="J100" s="1" t="s">
        <v>2026</v>
      </c>
      <c r="K100" s="31" t="s">
        <v>2026</v>
      </c>
      <c r="L100" s="1">
        <v>1</v>
      </c>
      <c r="M100" s="1">
        <v>5</v>
      </c>
      <c r="N100" s="31">
        <v>1</v>
      </c>
      <c r="O100" s="1">
        <v>4</v>
      </c>
      <c r="P100" s="1">
        <v>6</v>
      </c>
      <c r="Q100" s="31">
        <v>5</v>
      </c>
      <c r="R100" s="1">
        <v>2</v>
      </c>
      <c r="S100" s="1">
        <v>4</v>
      </c>
      <c r="T100" s="1" t="s">
        <v>2027</v>
      </c>
      <c r="U100" s="1" t="s">
        <v>2027</v>
      </c>
      <c r="V100" s="1">
        <v>1</v>
      </c>
      <c r="W100" s="1">
        <v>7</v>
      </c>
      <c r="X100" s="1" t="s">
        <v>2027</v>
      </c>
      <c r="Y100" s="1" t="s">
        <v>2027</v>
      </c>
      <c r="Z100" s="1" t="s">
        <v>2027</v>
      </c>
      <c r="AA100" s="1" t="s">
        <v>2027</v>
      </c>
      <c r="AB100" s="1" t="s">
        <v>2027</v>
      </c>
      <c r="AC100" s="1" t="s">
        <v>2027</v>
      </c>
      <c r="AD100" s="1" t="s">
        <v>2027</v>
      </c>
      <c r="AE100" s="1" t="s">
        <v>2027</v>
      </c>
      <c r="AF100" s="1" t="s">
        <v>2027</v>
      </c>
      <c r="AG100" s="1" t="s">
        <v>2027</v>
      </c>
      <c r="AH100" s="1" t="s">
        <v>2027</v>
      </c>
      <c r="AI100" s="1" t="s">
        <v>2027</v>
      </c>
      <c r="AJ100" s="1" t="s">
        <v>2027</v>
      </c>
      <c r="AK100" s="1" t="s">
        <v>2027</v>
      </c>
      <c r="AL100" s="1" t="s">
        <v>2027</v>
      </c>
      <c r="AM100" s="1" t="s">
        <v>2027</v>
      </c>
      <c r="AN100" s="1" t="s">
        <v>2027</v>
      </c>
      <c r="AO100" s="31" t="s">
        <v>2027</v>
      </c>
      <c r="AP100" s="1" t="s">
        <v>2077</v>
      </c>
      <c r="AQ100" s="1">
        <v>3</v>
      </c>
      <c r="AR100" s="32">
        <v>0.56999999999999995</v>
      </c>
      <c r="AS100" s="45" t="s">
        <v>2029</v>
      </c>
      <c r="AT100" s="9">
        <f>($O$3*(L100-$O$1)/$O$2+$P$3*(M100-$P$1)/$P$2+$Q$3*(N100-$P$1)/$Q$2)/SUM($O$3:$Q$3)</f>
        <v>-1.9197573722473762</v>
      </c>
      <c r="AU100" s="9">
        <f>($O$3*(O100-$O$1)/$O$2+$P$3*(P100-$P$1)/$P$2+$Q$3*(Q100-$Q$1)/$Q$2)/SUM($O$3:$Q$3)</f>
        <v>0.27452533266371276</v>
      </c>
      <c r="AV100">
        <f>COUNT(R100:AO100)/2</f>
        <v>2</v>
      </c>
      <c r="AW100">
        <f>COUNTIF(R100:AO100,"&gt;5")/2</f>
        <v>0.5</v>
      </c>
      <c r="AX100" s="6">
        <f>VLOOKUP(AP100,COND!$A$10:$B$31,2,FALSE)</f>
        <v>0.85</v>
      </c>
      <c r="AY100" s="9">
        <f>($AT$3*AT100+$AU$3*AU100+$AV$3*AV100+$AW$3*AW100)*AX100*IF(AQ100&lt;5,0.95,IF(AQ100&lt;7,0.975,1))+$J$3*VLOOKUP(J100,[1]Con!$A$2:$C$7,2,FALSE)+$K$3*VLOOKUP(K100,[1]Con!$A$2:$C$7,3,FALSE)+IF(BA100="SP",$BA$3,0)</f>
        <v>33.935730806901006</v>
      </c>
      <c r="AZ100" s="37">
        <f>STANDARDIZE(AY100,AVERAGE($AY$5:$AY$1116),STDEVP($AY$5:$AY$1116))</f>
        <v>1.1512176599157433E-3</v>
      </c>
      <c r="BA100" t="str">
        <f>IF(OR(AND(AQ100&gt;7,AW100&gt;1),AND(AQ100&gt;4,AV100&gt;2)),"SP","RP")</f>
        <v>RP</v>
      </c>
      <c r="BC100">
        <f>VLOOKUP($A100,'Draft List'!$A$4:$V$530,22,FALSE)</f>
        <v>0</v>
      </c>
      <c r="BD100" t="s">
        <v>67</v>
      </c>
      <c r="BE100" t="str">
        <f>IF(AVERAGE($O100:$Q100)&gt;=6,"Likely",IF(AVERAGE($O100:$Q100)&gt;=4,"Possible","Unlikely"))</f>
        <v>Possible</v>
      </c>
      <c r="BG100" t="str">
        <f>IF(VLOOKUP($B100,'Draft List'!$D$4:$AB$2598,BG$3,FALSE)&lt;&gt;0,VLOOKUP($B100,'Draft List'!$D$4:$AB$2598,BG$3,FALSE),"")</f>
        <v/>
      </c>
      <c r="BH100" t="str">
        <f>IF(VLOOKUP($B100,'Draft List'!$D$4:$AB$2598,BH$3,FALSE)&lt;&gt;0,VLOOKUP($B100,'Draft List'!$D$4:$AB$2598,BH$3,FALSE),"")</f>
        <v/>
      </c>
      <c r="BI100" t="str">
        <f>IF(VLOOKUP($B100,'Draft List'!$D$4:$AB$2598,BI$3,FALSE)&lt;&gt;0,VLOOKUP($B100,'Draft List'!$D$4:$AB$2598,BI$3,FALSE),"")</f>
        <v/>
      </c>
      <c r="BJ100" t="str">
        <f>IF(OR(C100="SP",C100="MR",C100="CL"),"P",VLOOKUP($A100,Bat!$A$4:$AP$1287,42,FALSE))</f>
        <v>P</v>
      </c>
    </row>
    <row r="101" spans="1:62">
      <c r="A101" t="str">
        <f>C101&amp;D101&amp;E101</f>
        <v>SPJosé Rodríguez21</v>
      </c>
      <c r="B101">
        <f>VLOOKUP($A101,draft_listing_pitchers_stats!$A$1:$B$1324,2,FALSE)</f>
        <v>2688</v>
      </c>
      <c r="C101" s="1" t="s">
        <v>2003</v>
      </c>
      <c r="D101" s="1" t="s">
        <v>1150</v>
      </c>
      <c r="E101" s="1">
        <v>21</v>
      </c>
      <c r="F101" s="1" t="s">
        <v>2038</v>
      </c>
      <c r="G101" s="1" t="s">
        <v>2038</v>
      </c>
      <c r="H101" s="1" t="s">
        <v>2033</v>
      </c>
      <c r="I101" s="31" t="s">
        <v>2023</v>
      </c>
      <c r="J101" s="1" t="s">
        <v>2026</v>
      </c>
      <c r="K101" s="31" t="s">
        <v>2036</v>
      </c>
      <c r="L101" s="1">
        <v>4</v>
      </c>
      <c r="M101" s="1">
        <v>3</v>
      </c>
      <c r="N101" s="31">
        <v>1</v>
      </c>
      <c r="O101" s="1">
        <v>5</v>
      </c>
      <c r="P101" s="1">
        <v>3</v>
      </c>
      <c r="Q101" s="31">
        <v>5</v>
      </c>
      <c r="R101" s="1">
        <v>6</v>
      </c>
      <c r="S101" s="1">
        <v>7</v>
      </c>
      <c r="T101" s="1">
        <v>3</v>
      </c>
      <c r="U101" s="1">
        <v>4</v>
      </c>
      <c r="V101" s="1" t="s">
        <v>2027</v>
      </c>
      <c r="W101" s="1" t="s">
        <v>2027</v>
      </c>
      <c r="X101" s="1">
        <v>4</v>
      </c>
      <c r="Y101" s="1">
        <v>6</v>
      </c>
      <c r="Z101" s="1" t="s">
        <v>2027</v>
      </c>
      <c r="AA101" s="1" t="s">
        <v>2027</v>
      </c>
      <c r="AB101" s="1" t="s">
        <v>2027</v>
      </c>
      <c r="AC101" s="1" t="s">
        <v>2027</v>
      </c>
      <c r="AD101" s="1" t="s">
        <v>2027</v>
      </c>
      <c r="AE101" s="1" t="s">
        <v>2027</v>
      </c>
      <c r="AF101" s="1">
        <v>5</v>
      </c>
      <c r="AG101" s="1">
        <v>5</v>
      </c>
      <c r="AH101" s="1" t="s">
        <v>2027</v>
      </c>
      <c r="AI101" s="1" t="s">
        <v>2027</v>
      </c>
      <c r="AJ101" s="1" t="s">
        <v>2027</v>
      </c>
      <c r="AK101" s="1" t="s">
        <v>2027</v>
      </c>
      <c r="AL101" s="1" t="s">
        <v>2027</v>
      </c>
      <c r="AM101" s="1" t="s">
        <v>2027</v>
      </c>
      <c r="AN101" s="1" t="s">
        <v>2027</v>
      </c>
      <c r="AO101" s="31" t="s">
        <v>2027</v>
      </c>
      <c r="AP101" s="1" t="s">
        <v>2028</v>
      </c>
      <c r="AQ101" s="1">
        <v>9</v>
      </c>
      <c r="AR101" s="32">
        <v>0.41</v>
      </c>
      <c r="AS101" s="45" t="s">
        <v>2029</v>
      </c>
      <c r="AT101" s="9">
        <f>($O$3*(L101-$O$1)/$O$2+$P$3*(M101-$P$1)/$P$2+$Q$3*(N101-$P$1)/$Q$2)/SUM($O$3:$Q$3)</f>
        <v>-1.7265468315799666</v>
      </c>
      <c r="AU101" s="9">
        <f>($O$3*(O101-$O$1)/$O$2+$P$3*(P101-$P$1)/$P$2+$Q$3*(Q101-$Q$1)/$Q$2)/SUM($O$3:$Q$3)</f>
        <v>-0.11707849211727993</v>
      </c>
      <c r="AV101">
        <f>COUNT(R101:AO101)/2</f>
        <v>4</v>
      </c>
      <c r="AW101">
        <f>COUNTIF(R101:AO101,"&gt;5")/2</f>
        <v>1.5</v>
      </c>
      <c r="AX101" s="6">
        <f>VLOOKUP(AP101,COND!$A$10:$B$31,2,FALSE)</f>
        <v>1.05</v>
      </c>
      <c r="AY101" s="9">
        <f>($AT$3*AT101+$AU$3*AU101+$AV$3*AV101+$AW$3*AW101)*AX101*IF(AQ101&lt;5,0.95,IF(AQ101&lt;7,0.975,1))+$J$3*VLOOKUP(J101,[1]Con!$A$2:$C$7,2,FALSE)+$K$3*VLOOKUP(K101,[1]Con!$A$2:$C$7,3,FALSE)+IF(BA101="SP",$BA$3,0)</f>
        <v>33.547526830905326</v>
      </c>
      <c r="AZ101" s="37">
        <f>STANDARDIZE(AY101,AVERAGE($AY$5:$AY$1116),STDEVP($AY$5:$AY$1116))</f>
        <v>-2.9666952953589659E-2</v>
      </c>
      <c r="BA101" t="str">
        <f>IF(OR(AND(AQ101&gt;7,AW101&gt;1),AND(AQ101&gt;4,AV101&gt;2)),"SP","RP")</f>
        <v>SP</v>
      </c>
      <c r="BC101">
        <f>VLOOKUP($A101,'Draft List'!$A$4:$V$530,22,FALSE)</f>
        <v>0</v>
      </c>
      <c r="BD101" t="s">
        <v>155</v>
      </c>
      <c r="BE101" t="str">
        <f>IF(AVERAGE($O101:$Q101)&gt;=6,"Likely",IF(AVERAGE($O101:$Q101)&gt;=4,"Possible","Unlikely"))</f>
        <v>Possible</v>
      </c>
      <c r="BG101" t="str">
        <f>IF(VLOOKUP($B101,'Draft List'!$D$4:$AB$2598,BG$3,FALSE)&lt;&gt;0,VLOOKUP($B101,'Draft List'!$D$4:$AB$2598,BG$3,FALSE),"")</f>
        <v/>
      </c>
      <c r="BH101" t="str">
        <f>IF(VLOOKUP($B101,'Draft List'!$D$4:$AB$2598,BH$3,FALSE)&lt;&gt;0,VLOOKUP($B101,'Draft List'!$D$4:$AB$2598,BH$3,FALSE),"")</f>
        <v/>
      </c>
      <c r="BI101" t="str">
        <f>IF(VLOOKUP($B101,'Draft List'!$D$4:$AB$2598,BI$3,FALSE)&lt;&gt;0,VLOOKUP($B101,'Draft List'!$D$4:$AB$2598,BI$3,FALSE),"")</f>
        <v/>
      </c>
      <c r="BJ101" t="str">
        <f>IF(OR(C101="SP",C101="MR",C101="CL"),"P",VLOOKUP($A101,Bat!$A$4:$AP$1287,42,FALSE))</f>
        <v>P</v>
      </c>
    </row>
    <row r="102" spans="1:62">
      <c r="A102" t="str">
        <f>C102&amp;D102&amp;E102</f>
        <v>SPCarl Long21</v>
      </c>
      <c r="B102">
        <f>VLOOKUP($A102,draft_listing_pitchers_stats!$A$1:$B$1324,2,FALSE)</f>
        <v>2384</v>
      </c>
      <c r="C102" s="1" t="s">
        <v>2003</v>
      </c>
      <c r="D102" s="1" t="s">
        <v>1022</v>
      </c>
      <c r="E102" s="1">
        <v>21</v>
      </c>
      <c r="F102" s="1" t="s">
        <v>2022</v>
      </c>
      <c r="G102" s="1" t="s">
        <v>2022</v>
      </c>
      <c r="H102" s="1" t="s">
        <v>2033</v>
      </c>
      <c r="I102" s="31" t="s">
        <v>2033</v>
      </c>
      <c r="J102" s="1" t="s">
        <v>2040</v>
      </c>
      <c r="K102" s="31" t="s">
        <v>2025</v>
      </c>
      <c r="L102" s="1">
        <v>4</v>
      </c>
      <c r="M102" s="1">
        <v>4</v>
      </c>
      <c r="N102" s="31">
        <v>1</v>
      </c>
      <c r="O102" s="1">
        <v>5</v>
      </c>
      <c r="P102" s="1">
        <v>5</v>
      </c>
      <c r="Q102" s="31">
        <v>4</v>
      </c>
      <c r="R102" s="1">
        <v>6</v>
      </c>
      <c r="S102" s="1">
        <v>6</v>
      </c>
      <c r="T102" s="1">
        <v>3</v>
      </c>
      <c r="U102" s="1">
        <v>4</v>
      </c>
      <c r="V102" s="1">
        <v>4</v>
      </c>
      <c r="W102" s="1">
        <v>5</v>
      </c>
      <c r="X102" s="1" t="s">
        <v>2027</v>
      </c>
      <c r="Y102" s="1" t="s">
        <v>2027</v>
      </c>
      <c r="Z102" s="1" t="s">
        <v>2027</v>
      </c>
      <c r="AA102" s="1" t="s">
        <v>2027</v>
      </c>
      <c r="AB102" s="1" t="s">
        <v>2027</v>
      </c>
      <c r="AC102" s="1" t="s">
        <v>2027</v>
      </c>
      <c r="AD102" s="1" t="s">
        <v>2027</v>
      </c>
      <c r="AE102" s="1" t="s">
        <v>2027</v>
      </c>
      <c r="AF102" s="1">
        <v>5</v>
      </c>
      <c r="AG102" s="1">
        <v>6</v>
      </c>
      <c r="AH102" s="1" t="s">
        <v>2027</v>
      </c>
      <c r="AI102" s="1" t="s">
        <v>2027</v>
      </c>
      <c r="AJ102" s="1" t="s">
        <v>2027</v>
      </c>
      <c r="AK102" s="1" t="s">
        <v>2027</v>
      </c>
      <c r="AL102" s="1" t="s">
        <v>2027</v>
      </c>
      <c r="AM102" s="1" t="s">
        <v>2027</v>
      </c>
      <c r="AN102" s="1" t="s">
        <v>2027</v>
      </c>
      <c r="AO102" s="31" t="s">
        <v>2027</v>
      </c>
      <c r="AP102" s="1" t="s">
        <v>2031</v>
      </c>
      <c r="AQ102" s="1">
        <v>6</v>
      </c>
      <c r="AR102" s="32">
        <v>0.43</v>
      </c>
      <c r="AS102" s="45" t="s">
        <v>2029</v>
      </c>
      <c r="AT102" s="9">
        <f>($O$3*(L102-$O$1)/$O$2+$P$3*(M102-$P$1)/$P$2+$Q$3*(N102-$P$1)/$Q$2)/SUM($O$3:$Q$3)</f>
        <v>-1.5311151151499114</v>
      </c>
      <c r="AU102" s="9">
        <f>($O$3*(O102-$O$1)/$O$2+$P$3*(P102-$P$1)/$P$2+$Q$3*(Q102-$Q$1)/$Q$2)/SUM($O$3:$Q$3)</f>
        <v>3.146437468872048E-2</v>
      </c>
      <c r="AV102">
        <f>COUNT(R102:AO102)/2</f>
        <v>4</v>
      </c>
      <c r="AW102">
        <f>COUNTIF(R102:AO102,"&gt;5")/2</f>
        <v>1.5</v>
      </c>
      <c r="AX102" s="6">
        <f>VLOOKUP(AP102,COND!$A$10:$B$31,2,FALSE)</f>
        <v>1.05</v>
      </c>
      <c r="AY102" s="9">
        <f>($AT$3*AT102+$AU$3*AU102+$AV$3*AV102+$AW$3*AW102)*AX102*IF(AQ102&lt;5,0.95,IF(AQ102&lt;7,0.975,1))+$J$3*VLOOKUP(J102,[1]Con!$A$2:$C$7,2,FALSE)+$K$3*VLOOKUP(K102,[1]Con!$A$2:$C$7,3,FALSE)+IF(BA102="SP",$BA$3,0)</f>
        <v>33.297768501924608</v>
      </c>
      <c r="AZ102" s="37">
        <f>STANDARDIZE(AY102,AVERAGE($AY$5:$AY$1116),STDEVP($AY$5:$AY$1116))</f>
        <v>-4.9494402620816773E-2</v>
      </c>
      <c r="BA102" t="str">
        <f>IF(OR(AND(AQ102&gt;7,AW102&gt;1),AND(AQ102&gt;4,AV102&gt;2)),"SP","RP")</f>
        <v>SP</v>
      </c>
      <c r="BC102">
        <f>VLOOKUP($A102,'Draft List'!$A$4:$V$530,22,FALSE)</f>
        <v>0</v>
      </c>
      <c r="BD102" t="s">
        <v>68</v>
      </c>
      <c r="BE102" t="str">
        <f>IF(AVERAGE($O102:$Q102)&gt;=6,"Likely",IF(AVERAGE($O102:$Q102)&gt;=4,"Possible","Unlikely"))</f>
        <v>Possible</v>
      </c>
      <c r="BG102" t="str">
        <f>IF(VLOOKUP($B102,'Draft List'!$D$4:$AB$2598,BG$3,FALSE)&lt;&gt;0,VLOOKUP($B102,'Draft List'!$D$4:$AB$2598,BG$3,FALSE),"")</f>
        <v/>
      </c>
      <c r="BH102" t="str">
        <f>IF(VLOOKUP($B102,'Draft List'!$D$4:$AB$2598,BH$3,FALSE)&lt;&gt;0,VLOOKUP($B102,'Draft List'!$D$4:$AB$2598,BH$3,FALSE),"")</f>
        <v/>
      </c>
      <c r="BI102" t="str">
        <f>IF(VLOOKUP($B102,'Draft List'!$D$4:$AB$2598,BI$3,FALSE)&lt;&gt;0,VLOOKUP($B102,'Draft List'!$D$4:$AB$2598,BI$3,FALSE),"")</f>
        <v/>
      </c>
      <c r="BJ102" t="str">
        <f>IF(OR(C102="SP",C102="MR",C102="CL"),"P",VLOOKUP($A102,Bat!$A$4:$AP$1287,42,FALSE))</f>
        <v>P</v>
      </c>
    </row>
    <row r="103" spans="1:62">
      <c r="A103" t="str">
        <f>C103&amp;D103&amp;E103</f>
        <v>MRTed Sepkiechler18</v>
      </c>
      <c r="B103">
        <f>VLOOKUP($A103,draft_listing_pitchers_stats!$A$1:$B$1324,2,FALSE)</f>
        <v>13917</v>
      </c>
      <c r="C103" s="1" t="s">
        <v>2021</v>
      </c>
      <c r="D103" s="1" t="s">
        <v>1156</v>
      </c>
      <c r="E103" s="1">
        <v>18</v>
      </c>
      <c r="F103" s="1" t="s">
        <v>2049</v>
      </c>
      <c r="G103" s="1" t="s">
        <v>2022</v>
      </c>
      <c r="H103" s="1" t="s">
        <v>2033</v>
      </c>
      <c r="I103" s="31" t="s">
        <v>2023</v>
      </c>
      <c r="J103" s="1" t="s">
        <v>2040</v>
      </c>
      <c r="K103" s="31" t="s">
        <v>2030</v>
      </c>
      <c r="L103" s="1">
        <v>2</v>
      </c>
      <c r="M103" s="1">
        <v>4</v>
      </c>
      <c r="N103" s="31">
        <v>1</v>
      </c>
      <c r="O103" s="1">
        <v>4</v>
      </c>
      <c r="P103" s="1">
        <v>4</v>
      </c>
      <c r="Q103" s="31">
        <v>6</v>
      </c>
      <c r="R103" s="1">
        <v>4</v>
      </c>
      <c r="S103" s="1">
        <v>5</v>
      </c>
      <c r="T103" s="1">
        <v>2</v>
      </c>
      <c r="U103" s="1">
        <v>4</v>
      </c>
      <c r="V103" s="1" t="s">
        <v>2027</v>
      </c>
      <c r="W103" s="1" t="s">
        <v>2027</v>
      </c>
      <c r="X103" s="1">
        <v>3</v>
      </c>
      <c r="Y103" s="1">
        <v>4</v>
      </c>
      <c r="Z103" s="1" t="s">
        <v>2027</v>
      </c>
      <c r="AA103" s="1" t="s">
        <v>2027</v>
      </c>
      <c r="AB103" s="1" t="s">
        <v>2027</v>
      </c>
      <c r="AC103" s="1" t="s">
        <v>2027</v>
      </c>
      <c r="AD103" s="1" t="s">
        <v>2027</v>
      </c>
      <c r="AE103" s="1" t="s">
        <v>2027</v>
      </c>
      <c r="AF103" s="1" t="s">
        <v>2027</v>
      </c>
      <c r="AG103" s="1" t="s">
        <v>2027</v>
      </c>
      <c r="AH103" s="1" t="s">
        <v>2027</v>
      </c>
      <c r="AI103" s="1" t="s">
        <v>2027</v>
      </c>
      <c r="AJ103" s="1" t="s">
        <v>2027</v>
      </c>
      <c r="AK103" s="1" t="s">
        <v>2027</v>
      </c>
      <c r="AL103" s="1" t="s">
        <v>2027</v>
      </c>
      <c r="AM103" s="1" t="s">
        <v>2027</v>
      </c>
      <c r="AN103" s="1" t="s">
        <v>2027</v>
      </c>
      <c r="AO103" s="31" t="s">
        <v>2027</v>
      </c>
      <c r="AP103" s="1" t="s">
        <v>2044</v>
      </c>
      <c r="AQ103" s="1">
        <v>5</v>
      </c>
      <c r="AR103" s="32">
        <v>0.49</v>
      </c>
      <c r="AS103" s="45" t="s">
        <v>2029</v>
      </c>
      <c r="AT103" s="9">
        <f>($O$3*(L103-$O$1)/$O$2+$P$3*(M103-$P$1)/$P$2+$Q$3*(N103-$P$1)/$Q$2)/SUM($O$3:$Q$3)</f>
        <v>-1.9204977641682581</v>
      </c>
      <c r="AU103" s="9">
        <f>($O$3*(O103-$O$1)/$O$2+$P$3*(P103-$P$1)/$P$2+$Q$3*(Q103-$Q$1)/$Q$2)/SUM($O$3:$Q$3)</f>
        <v>0.12598246585771228</v>
      </c>
      <c r="AV103">
        <f>COUNT(R103:AO103)/2</f>
        <v>3</v>
      </c>
      <c r="AW103">
        <f>COUNTIF(R103:AO103,"&gt;5")/2</f>
        <v>0</v>
      </c>
      <c r="AX103" s="6">
        <f>VLOOKUP(AP103,COND!$A$10:$B$31,2,FALSE)</f>
        <v>1</v>
      </c>
      <c r="AY103" s="9">
        <f>($AT$3*AT103+$AU$3*AU103+$AV$3*AV103+$AW$3*AW103)*AX103*IF(AQ103&lt;5,0.95,IF(AQ103&lt;7,0.975,1))+$J$3*VLOOKUP(J103,[1]Con!$A$2:$C$7,2,FALSE)+$K$3*VLOOKUP(K103,[1]Con!$A$2:$C$7,3,FALSE)+IF(BA103="SP",$BA$3,0)</f>
        <v>33.29466102021258</v>
      </c>
      <c r="AZ103" s="37">
        <f>STANDARDIZE(AY103,AVERAGE($AY$5:$AY$1116),STDEVP($AY$5:$AY$1116))</f>
        <v>-4.9741094843208405E-2</v>
      </c>
      <c r="BA103" t="str">
        <f>IF(OR(AND(AQ103&gt;7,AW103&gt;1),AND(AQ103&gt;4,AV103&gt;2)),"SP","RP")</f>
        <v>SP</v>
      </c>
      <c r="BC103">
        <f>VLOOKUP($A103,'Draft List'!$A$4:$V$530,22,FALSE)</f>
        <v>0</v>
      </c>
      <c r="BD103" t="s">
        <v>155</v>
      </c>
      <c r="BE103" t="str">
        <f>IF(AVERAGE($O103:$Q103)&gt;=6,"Likely",IF(AVERAGE($O103:$Q103)&gt;=4,"Possible","Unlikely"))</f>
        <v>Possible</v>
      </c>
      <c r="BG103" t="str">
        <f>IF(VLOOKUP($B103,'Draft List'!$D$4:$AB$2598,BG$3,FALSE)&lt;&gt;0,VLOOKUP($B103,'Draft List'!$D$4:$AB$2598,BG$3,FALSE),"")</f>
        <v/>
      </c>
      <c r="BH103" t="str">
        <f>IF(VLOOKUP($B103,'Draft List'!$D$4:$AB$2598,BH$3,FALSE)&lt;&gt;0,VLOOKUP($B103,'Draft List'!$D$4:$AB$2598,BH$3,FALSE),"")</f>
        <v/>
      </c>
      <c r="BI103" t="str">
        <f>IF(VLOOKUP($B103,'Draft List'!$D$4:$AB$2598,BI$3,FALSE)&lt;&gt;0,VLOOKUP($B103,'Draft List'!$D$4:$AB$2598,BI$3,FALSE),"")</f>
        <v/>
      </c>
      <c r="BJ103" t="str">
        <f>IF(OR(C103="SP",C103="MR",C103="CL"),"P",VLOOKUP($A103,Bat!$A$4:$AP$1287,42,FALSE))</f>
        <v>P</v>
      </c>
    </row>
    <row r="104" spans="1:62">
      <c r="A104" t="str">
        <f>C104&amp;D104&amp;E104</f>
        <v>SPMike Moore21</v>
      </c>
      <c r="B104">
        <f>VLOOKUP($A104,draft_listing_pitchers_stats!$A$1:$B$1324,2,FALSE)</f>
        <v>8194</v>
      </c>
      <c r="C104" s="1" t="s">
        <v>2003</v>
      </c>
      <c r="D104" s="1" t="s">
        <v>1138</v>
      </c>
      <c r="E104" s="1">
        <v>21</v>
      </c>
      <c r="F104" s="1" t="s">
        <v>2038</v>
      </c>
      <c r="G104" s="1" t="s">
        <v>2038</v>
      </c>
      <c r="H104" s="1" t="s">
        <v>2033</v>
      </c>
      <c r="I104" s="31" t="s">
        <v>2033</v>
      </c>
      <c r="J104" s="1" t="s">
        <v>2026</v>
      </c>
      <c r="K104" s="31" t="s">
        <v>2030</v>
      </c>
      <c r="L104" s="1">
        <v>4</v>
      </c>
      <c r="M104" s="1">
        <v>5</v>
      </c>
      <c r="N104" s="31">
        <v>1</v>
      </c>
      <c r="O104" s="1">
        <v>5</v>
      </c>
      <c r="P104" s="1">
        <v>5</v>
      </c>
      <c r="Q104" s="31">
        <v>4</v>
      </c>
      <c r="R104" s="1">
        <v>7</v>
      </c>
      <c r="S104" s="1">
        <v>7</v>
      </c>
      <c r="T104" s="1" t="s">
        <v>2027</v>
      </c>
      <c r="U104" s="1" t="s">
        <v>2027</v>
      </c>
      <c r="V104" s="1">
        <v>5</v>
      </c>
      <c r="W104" s="1">
        <v>7</v>
      </c>
      <c r="X104" s="1" t="s">
        <v>2027</v>
      </c>
      <c r="Y104" s="1" t="s">
        <v>2027</v>
      </c>
      <c r="Z104" s="1" t="s">
        <v>2027</v>
      </c>
      <c r="AA104" s="1" t="s">
        <v>2027</v>
      </c>
      <c r="AB104" s="1" t="s">
        <v>2027</v>
      </c>
      <c r="AC104" s="1" t="s">
        <v>2027</v>
      </c>
      <c r="AD104" s="1" t="s">
        <v>2027</v>
      </c>
      <c r="AE104" s="1" t="s">
        <v>2027</v>
      </c>
      <c r="AF104" s="1" t="s">
        <v>2027</v>
      </c>
      <c r="AG104" s="1" t="s">
        <v>2027</v>
      </c>
      <c r="AH104" s="1" t="s">
        <v>2027</v>
      </c>
      <c r="AI104" s="1" t="s">
        <v>2027</v>
      </c>
      <c r="AJ104" s="1" t="s">
        <v>2027</v>
      </c>
      <c r="AK104" s="1" t="s">
        <v>2027</v>
      </c>
      <c r="AL104" s="1" t="s">
        <v>2027</v>
      </c>
      <c r="AM104" s="1" t="s">
        <v>2027</v>
      </c>
      <c r="AN104" s="1" t="s">
        <v>2027</v>
      </c>
      <c r="AO104" s="31" t="s">
        <v>2027</v>
      </c>
      <c r="AP104" s="1" t="s">
        <v>2047</v>
      </c>
      <c r="AQ104" s="1">
        <v>3</v>
      </c>
      <c r="AR104" s="32">
        <v>0.5</v>
      </c>
      <c r="AS104" s="45" t="s">
        <v>2029</v>
      </c>
      <c r="AT104" s="9">
        <f>($O$3*(L104-$O$1)/$O$2+$P$3*(M104-$P$1)/$P$2+$Q$3*(N104-$P$1)/$Q$2)/SUM($O$3:$Q$3)</f>
        <v>-1.3356833987198555</v>
      </c>
      <c r="AU104" s="9">
        <f>($O$3*(O104-$O$1)/$O$2+$P$3*(P104-$P$1)/$P$2+$Q$3*(Q104-$Q$1)/$Q$2)/SUM($O$3:$Q$3)</f>
        <v>3.146437468872048E-2</v>
      </c>
      <c r="AV104">
        <f>COUNT(R104:AO104)/2</f>
        <v>2</v>
      </c>
      <c r="AW104">
        <f>COUNTIF(R104:AO104,"&gt;5")/2</f>
        <v>1.5</v>
      </c>
      <c r="AX104" s="6">
        <f>VLOOKUP(AP104,COND!$A$10:$B$31,2,FALSE)</f>
        <v>1.0249999999999999</v>
      </c>
      <c r="AY104" s="9">
        <f>($AT$3*AT104+$AU$3*AU104+$AV$3*AV104+$AW$3*AW104)*AX104*IF(AQ104&lt;5,0.95,IF(AQ104&lt;7,0.975,1))+$J$3*VLOOKUP(J104,[1]Con!$A$2:$C$7,2,FALSE)+$K$3*VLOOKUP(K104,[1]Con!$A$2:$C$7,3,FALSE)+IF(BA104="SP",$BA$3,0)</f>
        <v>33.152175605162142</v>
      </c>
      <c r="AZ104" s="37">
        <f>STANDARDIZE(AY104,AVERAGE($AY$5:$AY$1116),STDEVP($AY$5:$AY$1116))</f>
        <v>-6.1052518997734263E-2</v>
      </c>
      <c r="BA104" t="str">
        <f>IF(OR(AND(AQ104&gt;7,AW104&gt;1),AND(AQ104&gt;4,AV104&gt;2)),"SP","RP")</f>
        <v>RP</v>
      </c>
      <c r="BC104">
        <f>VLOOKUP($A104,'Draft List'!$A$4:$V$530,22,FALSE)</f>
        <v>0</v>
      </c>
      <c r="BE104" t="str">
        <f>IF(AVERAGE($O104:$Q104)&gt;=6,"Likely",IF(AVERAGE($O104:$Q104)&gt;=4,"Possible","Unlikely"))</f>
        <v>Possible</v>
      </c>
      <c r="BG104" t="str">
        <f>IF(VLOOKUP($B104,'Draft List'!$D$4:$AB$2598,BG$3,FALSE)&lt;&gt;0,VLOOKUP($B104,'Draft List'!$D$4:$AB$2598,BG$3,FALSE),"")</f>
        <v/>
      </c>
      <c r="BH104" t="str">
        <f>IF(VLOOKUP($B104,'Draft List'!$D$4:$AB$2598,BH$3,FALSE)&lt;&gt;0,VLOOKUP($B104,'Draft List'!$D$4:$AB$2598,BH$3,FALSE),"")</f>
        <v/>
      </c>
      <c r="BI104" t="str">
        <f>IF(VLOOKUP($B104,'Draft List'!$D$4:$AB$2598,BI$3,FALSE)&lt;&gt;0,VLOOKUP($B104,'Draft List'!$D$4:$AB$2598,BI$3,FALSE),"")</f>
        <v/>
      </c>
      <c r="BJ104" t="str">
        <f>IF(OR(C104="SP",C104="MR",C104="CL"),"P",VLOOKUP($A104,Bat!$A$4:$AP$1287,42,FALSE))</f>
        <v>P</v>
      </c>
    </row>
    <row r="105" spans="1:62">
      <c r="A105" t="str">
        <f>C105&amp;D105&amp;E105</f>
        <v>SPFrancisco Gonales21</v>
      </c>
      <c r="B105">
        <f>VLOOKUP($A105,draft_listing_pitchers_stats!$A$1:$B$1324,2,FALSE)</f>
        <v>7512</v>
      </c>
      <c r="C105" s="1" t="s">
        <v>2003</v>
      </c>
      <c r="D105" s="1" t="s">
        <v>1114</v>
      </c>
      <c r="E105" s="1">
        <v>21</v>
      </c>
      <c r="F105" s="1" t="s">
        <v>2022</v>
      </c>
      <c r="G105" s="1" t="s">
        <v>2038</v>
      </c>
      <c r="H105" s="1" t="s">
        <v>2033</v>
      </c>
      <c r="I105" s="31" t="s">
        <v>2023</v>
      </c>
      <c r="J105" s="1" t="s">
        <v>2026</v>
      </c>
      <c r="K105" s="31" t="s">
        <v>2040</v>
      </c>
      <c r="L105" s="1">
        <v>4</v>
      </c>
      <c r="M105" s="1">
        <v>4</v>
      </c>
      <c r="N105" s="31">
        <v>2</v>
      </c>
      <c r="O105" s="1">
        <v>5</v>
      </c>
      <c r="P105" s="1">
        <v>4</v>
      </c>
      <c r="Q105" s="31">
        <v>5</v>
      </c>
      <c r="R105" s="1">
        <v>6</v>
      </c>
      <c r="S105" s="1">
        <v>6</v>
      </c>
      <c r="T105" s="1">
        <v>4</v>
      </c>
      <c r="U105" s="1">
        <v>4</v>
      </c>
      <c r="V105" s="1" t="s">
        <v>2027</v>
      </c>
      <c r="W105" s="1" t="s">
        <v>2027</v>
      </c>
      <c r="X105" s="1">
        <v>4</v>
      </c>
      <c r="Y105" s="1">
        <v>6</v>
      </c>
      <c r="Z105" s="1" t="s">
        <v>2027</v>
      </c>
      <c r="AA105" s="1" t="s">
        <v>2027</v>
      </c>
      <c r="AB105" s="1" t="s">
        <v>2027</v>
      </c>
      <c r="AC105" s="1" t="s">
        <v>2027</v>
      </c>
      <c r="AD105" s="1" t="s">
        <v>2027</v>
      </c>
      <c r="AE105" s="1" t="s">
        <v>2027</v>
      </c>
      <c r="AF105" s="1" t="s">
        <v>2027</v>
      </c>
      <c r="AG105" s="1" t="s">
        <v>2027</v>
      </c>
      <c r="AH105" s="1" t="s">
        <v>2027</v>
      </c>
      <c r="AI105" s="1" t="s">
        <v>2027</v>
      </c>
      <c r="AJ105" s="1" t="s">
        <v>2027</v>
      </c>
      <c r="AK105" s="1" t="s">
        <v>2027</v>
      </c>
      <c r="AL105" s="1" t="s">
        <v>2027</v>
      </c>
      <c r="AM105" s="1" t="s">
        <v>2027</v>
      </c>
      <c r="AN105" s="1" t="s">
        <v>2027</v>
      </c>
      <c r="AO105" s="31" t="s">
        <v>2027</v>
      </c>
      <c r="AP105" s="1" t="s">
        <v>2039</v>
      </c>
      <c r="AQ105" s="1">
        <v>6</v>
      </c>
      <c r="AR105" s="32">
        <v>0.56999999999999995</v>
      </c>
      <c r="AS105" s="45" t="s">
        <v>2029</v>
      </c>
      <c r="AT105" s="9">
        <f>($O$3*(L105-$O$1)/$O$2+$P$3*(M105-$P$1)/$P$2+$Q$3*(N105-$P$1)/$Q$2)/SUM($O$3:$Q$3)</f>
        <v>-1.288794549095801</v>
      </c>
      <c r="AU105" s="9">
        <f>($O$3*(O105-$O$1)/$O$2+$P$3*(P105-$P$1)/$P$2+$Q$3*(Q105-$Q$1)/$Q$2)/SUM($O$3:$Q$3)</f>
        <v>7.8353224312775444E-2</v>
      </c>
      <c r="AV105">
        <f>COUNT(R105:AO105)/2</f>
        <v>3</v>
      </c>
      <c r="AW105">
        <f>COUNTIF(R105:AO105,"&gt;5")/2</f>
        <v>1.5</v>
      </c>
      <c r="AX105" s="6">
        <f>VLOOKUP(AP105,COND!$A$10:$B$31,2,FALSE)</f>
        <v>1.0249999999999999</v>
      </c>
      <c r="AY105" s="9">
        <f>($AT$3*AT105+$AU$3*AU105+$AV$3*AV105+$AW$3*AW105)*AX105*IF(AQ105&lt;5,0.95,IF(AQ105&lt;7,0.975,1))+$J$3*VLOOKUP(J105,[1]Con!$A$2:$C$7,2,FALSE)+$K$3*VLOOKUP(K105,[1]Con!$A$2:$C$7,3,FALSE)+IF(BA105="SP",$BA$3,0)</f>
        <v>32.931377885451077</v>
      </c>
      <c r="AZ105" s="37">
        <f>STANDARDIZE(AY105,AVERAGE($AY$5:$AY$1116),STDEVP($AY$5:$AY$1116))</f>
        <v>-7.8580886087937063E-2</v>
      </c>
      <c r="BA105" t="str">
        <f>IF(OR(AND(AQ105&gt;7,AW105&gt;1),AND(AQ105&gt;4,AV105&gt;2)),"SP","RP")</f>
        <v>SP</v>
      </c>
      <c r="BC105">
        <f>VLOOKUP($A105,'Draft List'!$A$4:$V$530,22,FALSE)</f>
        <v>0</v>
      </c>
      <c r="BE105" t="str">
        <f>IF(AVERAGE($O105:$Q105)&gt;=6,"Likely",IF(AVERAGE($O105:$Q105)&gt;=4,"Possible","Unlikely"))</f>
        <v>Possible</v>
      </c>
      <c r="BG105" t="str">
        <f>IF(VLOOKUP($B105,'Draft List'!$D$4:$AB$2598,BG$3,FALSE)&lt;&gt;0,VLOOKUP($B105,'Draft List'!$D$4:$AB$2598,BG$3,FALSE),"")</f>
        <v/>
      </c>
      <c r="BH105" t="str">
        <f>IF(VLOOKUP($B105,'Draft List'!$D$4:$AB$2598,BH$3,FALSE)&lt;&gt;0,VLOOKUP($B105,'Draft List'!$D$4:$AB$2598,BH$3,FALSE),"")</f>
        <v/>
      </c>
      <c r="BI105" t="str">
        <f>IF(VLOOKUP($B105,'Draft List'!$D$4:$AB$2598,BI$3,FALSE)&lt;&gt;0,VLOOKUP($B105,'Draft List'!$D$4:$AB$2598,BI$3,FALSE),"")</f>
        <v/>
      </c>
      <c r="BJ105" t="str">
        <f>IF(OR(C105="SP",C105="MR",C105="CL"),"P",VLOOKUP($A105,Bat!$A$4:$AP$1287,42,FALSE))</f>
        <v>P</v>
      </c>
    </row>
    <row r="106" spans="1:62">
      <c r="A106" t="str">
        <f>C106&amp;D106&amp;E106</f>
        <v>MRDavid García18</v>
      </c>
      <c r="B106">
        <f>VLOOKUP($A106,draft_listing_pitchers_stats!$A$1:$B$1324,2,FALSE)</f>
        <v>13915</v>
      </c>
      <c r="C106" s="1" t="s">
        <v>2021</v>
      </c>
      <c r="D106" s="1" t="s">
        <v>995</v>
      </c>
      <c r="E106" s="1">
        <v>18</v>
      </c>
      <c r="F106" s="1" t="s">
        <v>2022</v>
      </c>
      <c r="G106" s="1" t="s">
        <v>2022</v>
      </c>
      <c r="H106" s="1" t="s">
        <v>2033</v>
      </c>
      <c r="I106" s="31" t="s">
        <v>2033</v>
      </c>
      <c r="J106" s="1" t="s">
        <v>2036</v>
      </c>
      <c r="K106" s="31" t="s">
        <v>2025</v>
      </c>
      <c r="L106" s="1">
        <v>2</v>
      </c>
      <c r="M106" s="1">
        <v>4</v>
      </c>
      <c r="N106" s="31">
        <v>1</v>
      </c>
      <c r="O106" s="1">
        <v>4</v>
      </c>
      <c r="P106" s="1">
        <v>4</v>
      </c>
      <c r="Q106" s="31">
        <v>5</v>
      </c>
      <c r="R106" s="1">
        <v>3</v>
      </c>
      <c r="S106" s="1">
        <v>4</v>
      </c>
      <c r="T106" s="1">
        <v>1</v>
      </c>
      <c r="U106" s="1">
        <v>1</v>
      </c>
      <c r="V106" s="1">
        <v>2</v>
      </c>
      <c r="W106" s="1">
        <v>4</v>
      </c>
      <c r="X106" s="1">
        <v>2</v>
      </c>
      <c r="Y106" s="1">
        <v>4</v>
      </c>
      <c r="Z106" s="1" t="s">
        <v>2027</v>
      </c>
      <c r="AA106" s="1" t="s">
        <v>2027</v>
      </c>
      <c r="AB106" s="1" t="s">
        <v>2027</v>
      </c>
      <c r="AC106" s="1" t="s">
        <v>2027</v>
      </c>
      <c r="AD106" s="1" t="s">
        <v>2027</v>
      </c>
      <c r="AE106" s="1" t="s">
        <v>2027</v>
      </c>
      <c r="AF106" s="1">
        <v>3</v>
      </c>
      <c r="AG106" s="1">
        <v>4</v>
      </c>
      <c r="AH106" s="1" t="s">
        <v>2027</v>
      </c>
      <c r="AI106" s="1" t="s">
        <v>2027</v>
      </c>
      <c r="AJ106" s="1" t="s">
        <v>2027</v>
      </c>
      <c r="AK106" s="1" t="s">
        <v>2027</v>
      </c>
      <c r="AL106" s="1" t="s">
        <v>2027</v>
      </c>
      <c r="AM106" s="1" t="s">
        <v>2027</v>
      </c>
      <c r="AN106" s="1" t="s">
        <v>2027</v>
      </c>
      <c r="AO106" s="31" t="s">
        <v>2027</v>
      </c>
      <c r="AP106" s="1" t="s">
        <v>2034</v>
      </c>
      <c r="AQ106" s="1">
        <v>9</v>
      </c>
      <c r="AR106" s="32">
        <v>0.47</v>
      </c>
      <c r="AS106" s="45" t="s">
        <v>2029</v>
      </c>
      <c r="AT106" s="9">
        <f>($O$3*(L106-$O$1)/$O$2+$P$3*(M106-$P$1)/$P$2+$Q$3*(N106-$P$1)/$Q$2)/SUM($O$3:$Q$3)</f>
        <v>-1.9204977641682581</v>
      </c>
      <c r="AU106" s="9">
        <f>($O$3*(O106-$O$1)/$O$2+$P$3*(P106-$P$1)/$P$2+$Q$3*(Q106-$Q$1)/$Q$2)/SUM($O$3:$Q$3)</f>
        <v>-0.11633810019639811</v>
      </c>
      <c r="AV106">
        <f>COUNT(R106:AO106)/2</f>
        <v>5</v>
      </c>
      <c r="AW106">
        <f>COUNTIF(R106:AO106,"&gt;5")/2</f>
        <v>0</v>
      </c>
      <c r="AX106" s="6">
        <f>VLOOKUP(AP106,COND!$A$10:$B$31,2,FALSE)</f>
        <v>1</v>
      </c>
      <c r="AY106" s="9">
        <f>($AT$3*AT106+$AU$3*AU106+$AV$3*AV106+$AW$3*AW106)*AX106*IF(AQ106&lt;5,0.95,IF(AQ106&lt;7,0.975,1))+$J$3*VLOOKUP(J106,[1]Con!$A$2:$C$7,2,FALSE)+$K$3*VLOOKUP(K106,[1]Con!$A$2:$C$7,3,FALSE)+IF(BA106="SP",$BA$3,0)</f>
        <v>32.839138443238383</v>
      </c>
      <c r="AZ106" s="37">
        <f>STANDARDIZE(AY106,AVERAGE($AY$5:$AY$1116),STDEVP($AY$5:$AY$1116))</f>
        <v>-8.5903456291177377E-2</v>
      </c>
      <c r="BA106" t="str">
        <f>IF(OR(AND(AQ106&gt;7,AW106&gt;1),AND(AQ106&gt;4,AV106&gt;2)),"SP","RP")</f>
        <v>SP</v>
      </c>
      <c r="BC106">
        <f>VLOOKUP($A106,'Draft List'!$A$4:$V$530,22,FALSE)</f>
        <v>0</v>
      </c>
      <c r="BE106" t="str">
        <f>IF(AVERAGE($O106:$Q106)&gt;=6,"Likely",IF(AVERAGE($O106:$Q106)&gt;=4,"Possible","Unlikely"))</f>
        <v>Possible</v>
      </c>
      <c r="BG106" t="str">
        <f>IF(VLOOKUP($B106,'Draft List'!$D$4:$AB$2598,BG$3,FALSE)&lt;&gt;0,VLOOKUP($B106,'Draft List'!$D$4:$AB$2598,BG$3,FALSE),"")</f>
        <v/>
      </c>
      <c r="BH106" t="str">
        <f>IF(VLOOKUP($B106,'Draft List'!$D$4:$AB$2598,BH$3,FALSE)&lt;&gt;0,VLOOKUP($B106,'Draft List'!$D$4:$AB$2598,BH$3,FALSE),"")</f>
        <v/>
      </c>
      <c r="BI106" t="str">
        <f>IF(VLOOKUP($B106,'Draft List'!$D$4:$AB$2598,BI$3,FALSE)&lt;&gt;0,VLOOKUP($B106,'Draft List'!$D$4:$AB$2598,BI$3,FALSE),"")</f>
        <v/>
      </c>
      <c r="BJ106" t="str">
        <f>IF(OR(C106="SP",C106="MR",C106="CL"),"P",VLOOKUP($A106,Bat!$A$4:$AP$1287,42,FALSE))</f>
        <v>P</v>
      </c>
    </row>
    <row r="107" spans="1:62">
      <c r="A107" t="str">
        <f>C107&amp;D107&amp;E107</f>
        <v>SPJúlio Rúbio18</v>
      </c>
      <c r="B107">
        <f>VLOOKUP($A107,draft_listing_pitchers_stats!$A$1:$B$1324,2,FALSE)</f>
        <v>13829</v>
      </c>
      <c r="C107" s="1" t="s">
        <v>2003</v>
      </c>
      <c r="D107" s="1" t="s">
        <v>1152</v>
      </c>
      <c r="E107" s="1">
        <v>18</v>
      </c>
      <c r="F107" s="1" t="s">
        <v>2038</v>
      </c>
      <c r="G107" s="1" t="s">
        <v>2038</v>
      </c>
      <c r="H107" s="1" t="s">
        <v>2033</v>
      </c>
      <c r="I107" s="31" t="s">
        <v>2023</v>
      </c>
      <c r="J107" s="1" t="s">
        <v>2025</v>
      </c>
      <c r="K107" s="31" t="s">
        <v>2030</v>
      </c>
      <c r="L107" s="1">
        <v>2</v>
      </c>
      <c r="M107" s="1">
        <v>3</v>
      </c>
      <c r="N107" s="31">
        <v>1</v>
      </c>
      <c r="O107" s="1">
        <v>5</v>
      </c>
      <c r="P107" s="1">
        <v>3</v>
      </c>
      <c r="Q107" s="31">
        <v>5</v>
      </c>
      <c r="R107" s="1">
        <v>3</v>
      </c>
      <c r="S107" s="1">
        <v>5</v>
      </c>
      <c r="T107" s="1">
        <v>1</v>
      </c>
      <c r="U107" s="1">
        <v>6</v>
      </c>
      <c r="V107" s="1">
        <v>2</v>
      </c>
      <c r="W107" s="1">
        <v>6</v>
      </c>
      <c r="X107" s="1" t="s">
        <v>2027</v>
      </c>
      <c r="Y107" s="1" t="s">
        <v>2027</v>
      </c>
      <c r="Z107" s="1" t="s">
        <v>2027</v>
      </c>
      <c r="AA107" s="1" t="s">
        <v>2027</v>
      </c>
      <c r="AB107" s="1" t="s">
        <v>2027</v>
      </c>
      <c r="AC107" s="1" t="s">
        <v>2027</v>
      </c>
      <c r="AD107" s="1" t="s">
        <v>2027</v>
      </c>
      <c r="AE107" s="1" t="s">
        <v>2027</v>
      </c>
      <c r="AF107" s="1" t="s">
        <v>2027</v>
      </c>
      <c r="AG107" s="1" t="s">
        <v>2027</v>
      </c>
      <c r="AH107" s="1" t="s">
        <v>2027</v>
      </c>
      <c r="AI107" s="1" t="s">
        <v>2027</v>
      </c>
      <c r="AJ107" s="1" t="s">
        <v>2027</v>
      </c>
      <c r="AK107" s="1" t="s">
        <v>2027</v>
      </c>
      <c r="AL107" s="1" t="s">
        <v>2027</v>
      </c>
      <c r="AM107" s="1" t="s">
        <v>2027</v>
      </c>
      <c r="AN107" s="1" t="s">
        <v>2027</v>
      </c>
      <c r="AO107" s="31" t="s">
        <v>2027</v>
      </c>
      <c r="AP107" s="1" t="s">
        <v>2054</v>
      </c>
      <c r="AQ107" s="1">
        <v>6</v>
      </c>
      <c r="AR107" s="32">
        <v>0.45</v>
      </c>
      <c r="AS107" s="45" t="s">
        <v>2029</v>
      </c>
      <c r="AT107" s="9">
        <f>($O$3*(L107-$O$1)/$O$2+$P$3*(M107-$P$1)/$P$2+$Q$3*(N107-$P$1)/$Q$2)/SUM($O$3:$Q$3)</f>
        <v>-2.1159294805983135</v>
      </c>
      <c r="AU107" s="9">
        <f>($O$3*(O107-$O$1)/$O$2+$P$3*(P107-$P$1)/$P$2+$Q$3*(Q107-$Q$1)/$Q$2)/SUM($O$3:$Q$3)</f>
        <v>-0.11707849211727993</v>
      </c>
      <c r="AV107">
        <f>COUNT(R107:AO107)/2</f>
        <v>3</v>
      </c>
      <c r="AW107">
        <f>COUNTIF(R107:AO107,"&gt;5")/2</f>
        <v>1</v>
      </c>
      <c r="AX107" s="6">
        <f>VLOOKUP(AP107,COND!$A$10:$B$31,2,FALSE)</f>
        <v>1</v>
      </c>
      <c r="AY107" s="9">
        <f>($AT$3*AT107+$AU$3*AU107+$AV$3*AV107+$AW$3*AW107)*AX107*IF(AQ107&lt;5,0.95,IF(AQ107&lt;7,0.975,1))+$J$3*VLOOKUP(J107,[1]Con!$A$2:$C$7,2,FALSE)+$K$3*VLOOKUP(K107,[1]Con!$A$2:$C$7,3,FALSE)+IF(BA107="SP",$BA$3,0)</f>
        <v>32.735613154996372</v>
      </c>
      <c r="AZ107" s="37">
        <f>STANDARDIZE(AY107,AVERAGE($AY$5:$AY$1116),STDEVP($AY$5:$AY$1116))</f>
        <v>-9.4121970765872323E-2</v>
      </c>
      <c r="BA107" t="str">
        <f>IF(OR(AND(AQ107&gt;7,AW107&gt;1),AND(AQ107&gt;4,AV107&gt;2)),"SP","RP")</f>
        <v>SP</v>
      </c>
      <c r="BC107">
        <f>VLOOKUP($A107,'Draft List'!$A$4:$V$530,22,FALSE)</f>
        <v>0</v>
      </c>
      <c r="BE107" t="str">
        <f>IF(AVERAGE($O107:$Q107)&gt;=6,"Likely",IF(AVERAGE($O107:$Q107)&gt;=4,"Possible","Unlikely"))</f>
        <v>Possible</v>
      </c>
      <c r="BG107" t="str">
        <f>IF(VLOOKUP($B107,'Draft List'!$D$4:$AB$2598,BG$3,FALSE)&lt;&gt;0,VLOOKUP($B107,'Draft List'!$D$4:$AB$2598,BG$3,FALSE),"")</f>
        <v/>
      </c>
      <c r="BH107" t="str">
        <f>IF(VLOOKUP($B107,'Draft List'!$D$4:$AB$2598,BH$3,FALSE)&lt;&gt;0,VLOOKUP($B107,'Draft List'!$D$4:$AB$2598,BH$3,FALSE),"")</f>
        <v/>
      </c>
      <c r="BI107" t="str">
        <f>IF(VLOOKUP($B107,'Draft List'!$D$4:$AB$2598,BI$3,FALSE)&lt;&gt;0,VLOOKUP($B107,'Draft List'!$D$4:$AB$2598,BI$3,FALSE),"")</f>
        <v/>
      </c>
      <c r="BJ107" t="str">
        <f>IF(OR(C107="SP",C107="MR",C107="CL"),"P",VLOOKUP($A107,Bat!$A$4:$AP$1287,42,FALSE))</f>
        <v>P</v>
      </c>
    </row>
    <row r="108" spans="1:62">
      <c r="A108" t="str">
        <f>C108&amp;D108&amp;E108</f>
        <v>MRJesús López21</v>
      </c>
      <c r="B108">
        <f>VLOOKUP($A108,draft_listing_pitchers_stats!$A$1:$B$1324,2,FALSE)</f>
        <v>8040</v>
      </c>
      <c r="C108" s="1" t="s">
        <v>2021</v>
      </c>
      <c r="D108" s="1" t="s">
        <v>2101</v>
      </c>
      <c r="E108" s="1">
        <v>21</v>
      </c>
      <c r="F108" s="1" t="s">
        <v>2022</v>
      </c>
      <c r="G108" s="1" t="s">
        <v>2022</v>
      </c>
      <c r="H108" s="1" t="s">
        <v>2033</v>
      </c>
      <c r="I108" s="31" t="s">
        <v>2023</v>
      </c>
      <c r="J108" s="1" t="s">
        <v>2030</v>
      </c>
      <c r="K108" s="31" t="s">
        <v>2025</v>
      </c>
      <c r="L108" s="1">
        <v>4</v>
      </c>
      <c r="M108" s="1">
        <v>4</v>
      </c>
      <c r="N108" s="31">
        <v>1</v>
      </c>
      <c r="O108" s="1">
        <v>6</v>
      </c>
      <c r="P108" s="1">
        <v>4</v>
      </c>
      <c r="Q108" s="31">
        <v>4</v>
      </c>
      <c r="R108" s="1">
        <v>5</v>
      </c>
      <c r="S108" s="1">
        <v>7</v>
      </c>
      <c r="T108" s="1" t="s">
        <v>2027</v>
      </c>
      <c r="U108" s="1" t="s">
        <v>2027</v>
      </c>
      <c r="V108" s="1" t="s">
        <v>2027</v>
      </c>
      <c r="W108" s="1" t="s">
        <v>2027</v>
      </c>
      <c r="X108" s="1" t="s">
        <v>2027</v>
      </c>
      <c r="Y108" s="1" t="s">
        <v>2027</v>
      </c>
      <c r="Z108" s="1" t="s">
        <v>2027</v>
      </c>
      <c r="AA108" s="1" t="s">
        <v>2027</v>
      </c>
      <c r="AB108" s="1" t="s">
        <v>2027</v>
      </c>
      <c r="AC108" s="1" t="s">
        <v>2027</v>
      </c>
      <c r="AD108" s="1" t="s">
        <v>2027</v>
      </c>
      <c r="AE108" s="1" t="s">
        <v>2027</v>
      </c>
      <c r="AF108" s="1" t="s">
        <v>2027</v>
      </c>
      <c r="AG108" s="1" t="s">
        <v>2027</v>
      </c>
      <c r="AH108" s="1">
        <v>4</v>
      </c>
      <c r="AI108" s="1">
        <v>5</v>
      </c>
      <c r="AJ108" s="1" t="s">
        <v>2027</v>
      </c>
      <c r="AK108" s="1" t="s">
        <v>2027</v>
      </c>
      <c r="AL108" s="1" t="s">
        <v>2027</v>
      </c>
      <c r="AM108" s="1" t="s">
        <v>2027</v>
      </c>
      <c r="AN108" s="1" t="s">
        <v>2027</v>
      </c>
      <c r="AO108" s="31" t="s">
        <v>2027</v>
      </c>
      <c r="AP108" s="1" t="s">
        <v>2031</v>
      </c>
      <c r="AQ108" s="1">
        <v>2</v>
      </c>
      <c r="AR108" s="32">
        <v>0.54</v>
      </c>
      <c r="AS108" s="45" t="s">
        <v>2029</v>
      </c>
      <c r="AT108" s="9">
        <f>($O$3*(L108-$O$1)/$O$2+$P$3*(M108-$P$1)/$P$2+$Q$3*(N108-$P$1)/$Q$2)/SUM($O$3:$Q$3)</f>
        <v>-1.5311151151499114</v>
      </c>
      <c r="AU108" s="9">
        <f>($O$3*(O108-$O$1)/$O$2+$P$3*(P108-$P$1)/$P$2+$Q$3*(Q108-$Q$1)/$Q$2)/SUM($O$3:$Q$3)</f>
        <v>3.0723982767838571E-2</v>
      </c>
      <c r="AV108">
        <f>COUNT(R108:AO108)/2</f>
        <v>2</v>
      </c>
      <c r="AW108">
        <f>COUNTIF(R108:AO108,"&gt;5")/2</f>
        <v>0.5</v>
      </c>
      <c r="AX108" s="6">
        <f>VLOOKUP(AP108,COND!$A$10:$B$31,2,FALSE)</f>
        <v>1.05</v>
      </c>
      <c r="AY108" s="9">
        <f>($AT$3*AT108+$AU$3*AU108+$AV$3*AV108+$AW$3*AW108)*AX108*IF(AQ108&lt;5,0.95,IF(AQ108&lt;7,0.975,1))+$J$3*VLOOKUP(J108,[1]Con!$A$2:$C$7,2,FALSE)+$K$3*VLOOKUP(K108,[1]Con!$A$2:$C$7,3,FALSE)+IF(BA108="SP",$BA$3,0)</f>
        <v>32.678423490745971</v>
      </c>
      <c r="AZ108" s="37">
        <f>STANDARDIZE(AY108,AVERAGE($AY$5:$AY$1116),STDEVP($AY$5:$AY$1116))</f>
        <v>-9.8662060355829473E-2</v>
      </c>
      <c r="BA108" t="str">
        <f>IF(OR(AND(AQ108&gt;7,AW108&gt;1),AND(AQ108&gt;4,AV108&gt;2)),"SP","RP")</f>
        <v>RP</v>
      </c>
      <c r="BC108">
        <f>VLOOKUP($A108,'Draft List'!$A$4:$V$530,22,FALSE)</f>
        <v>0</v>
      </c>
      <c r="BE108" t="str">
        <f>IF(AVERAGE($O108:$Q108)&gt;=6,"Likely",IF(AVERAGE($O108:$Q108)&gt;=4,"Possible","Unlikely"))</f>
        <v>Possible</v>
      </c>
      <c r="BG108" t="str">
        <f>IF(VLOOKUP($B108,'Draft List'!$D$4:$AB$2598,BG$3,FALSE)&lt;&gt;0,VLOOKUP($B108,'Draft List'!$D$4:$AB$2598,BG$3,FALSE),"")</f>
        <v/>
      </c>
      <c r="BH108" t="str">
        <f>IF(VLOOKUP($B108,'Draft List'!$D$4:$AB$2598,BH$3,FALSE)&lt;&gt;0,VLOOKUP($B108,'Draft List'!$D$4:$AB$2598,BH$3,FALSE),"")</f>
        <v/>
      </c>
      <c r="BI108" t="str">
        <f>IF(VLOOKUP($B108,'Draft List'!$D$4:$AB$2598,BI$3,FALSE)&lt;&gt;0,VLOOKUP($B108,'Draft List'!$D$4:$AB$2598,BI$3,FALSE),"")</f>
        <v/>
      </c>
      <c r="BJ108" t="str">
        <f>IF(OR(C108="SP",C108="MR",C108="CL"),"P",VLOOKUP($A108,Bat!$A$4:$AP$1287,42,FALSE))</f>
        <v>P</v>
      </c>
    </row>
    <row r="109" spans="1:62">
      <c r="A109" t="str">
        <f>C109&amp;D109&amp;E109</f>
        <v>MRKurt Archibald18</v>
      </c>
      <c r="B109">
        <f>VLOOKUP($A109,draft_listing_pitchers_stats!$A$1:$B$1324,2,FALSE)</f>
        <v>13831</v>
      </c>
      <c r="C109" s="1" t="s">
        <v>2021</v>
      </c>
      <c r="D109" s="1" t="s">
        <v>1168</v>
      </c>
      <c r="E109" s="1">
        <v>18</v>
      </c>
      <c r="F109" s="1" t="s">
        <v>2022</v>
      </c>
      <c r="G109" s="1" t="s">
        <v>2022</v>
      </c>
      <c r="H109" s="1" t="s">
        <v>2033</v>
      </c>
      <c r="I109" s="31" t="s">
        <v>2033</v>
      </c>
      <c r="J109" s="1" t="s">
        <v>2036</v>
      </c>
      <c r="K109" s="31" t="s">
        <v>2036</v>
      </c>
      <c r="L109" s="1">
        <v>2</v>
      </c>
      <c r="M109" s="1">
        <v>4</v>
      </c>
      <c r="N109" s="31">
        <v>1</v>
      </c>
      <c r="O109" s="1">
        <v>4</v>
      </c>
      <c r="P109" s="1">
        <v>5</v>
      </c>
      <c r="Q109" s="31">
        <v>4</v>
      </c>
      <c r="R109" s="1">
        <v>3</v>
      </c>
      <c r="S109" s="1">
        <v>4</v>
      </c>
      <c r="T109" s="1">
        <v>1</v>
      </c>
      <c r="U109" s="1">
        <v>3</v>
      </c>
      <c r="V109" s="1" t="s">
        <v>2027</v>
      </c>
      <c r="W109" s="1" t="s">
        <v>2027</v>
      </c>
      <c r="X109" s="1">
        <v>2</v>
      </c>
      <c r="Y109" s="1">
        <v>4</v>
      </c>
      <c r="Z109" s="1" t="s">
        <v>2027</v>
      </c>
      <c r="AA109" s="1" t="s">
        <v>2027</v>
      </c>
      <c r="AB109" s="1" t="s">
        <v>2027</v>
      </c>
      <c r="AC109" s="1" t="s">
        <v>2027</v>
      </c>
      <c r="AD109" s="1" t="s">
        <v>2027</v>
      </c>
      <c r="AE109" s="1" t="s">
        <v>2027</v>
      </c>
      <c r="AF109" s="1">
        <v>3</v>
      </c>
      <c r="AG109" s="1">
        <v>4</v>
      </c>
      <c r="AH109" s="1" t="s">
        <v>2027</v>
      </c>
      <c r="AI109" s="1" t="s">
        <v>2027</v>
      </c>
      <c r="AJ109" s="1" t="s">
        <v>2027</v>
      </c>
      <c r="AK109" s="1" t="s">
        <v>2027</v>
      </c>
      <c r="AL109" s="1" t="s">
        <v>2027</v>
      </c>
      <c r="AM109" s="1" t="s">
        <v>2027</v>
      </c>
      <c r="AN109" s="1" t="s">
        <v>2027</v>
      </c>
      <c r="AO109" s="31" t="s">
        <v>2027</v>
      </c>
      <c r="AP109" s="1" t="s">
        <v>2034</v>
      </c>
      <c r="AQ109" s="1">
        <v>7</v>
      </c>
      <c r="AR109" s="32">
        <v>0.56000000000000005</v>
      </c>
      <c r="AS109" s="45">
        <v>2400000</v>
      </c>
      <c r="AT109" s="9">
        <f>($O$3*(L109-$O$1)/$O$2+$P$3*(M109-$P$1)/$P$2+$Q$3*(N109-$P$1)/$Q$2)/SUM($O$3:$Q$3)</f>
        <v>-1.9204977641682581</v>
      </c>
      <c r="AU109" s="9">
        <f>($O$3*(O109-$O$1)/$O$2+$P$3*(P109-$P$1)/$P$2+$Q$3*(Q109-$Q$1)/$Q$2)/SUM($O$3:$Q$3)</f>
        <v>-0.16322694982045299</v>
      </c>
      <c r="AV109">
        <f>COUNT(R109:AO109)/2</f>
        <v>4</v>
      </c>
      <c r="AW109">
        <f>COUNTIF(R109:AO109,"&gt;5")/2</f>
        <v>0</v>
      </c>
      <c r="AX109" s="6">
        <f>VLOOKUP(AP109,COND!$A$10:$B$31,2,FALSE)</f>
        <v>1</v>
      </c>
      <c r="AY109" s="9">
        <f>($AT$3*AT109+$AU$3*AU109+$AV$3*AV109+$AW$3*AW109)*AX109*IF(AQ109&lt;5,0.95,IF(AQ109&lt;7,0.975,1))+$J$3*VLOOKUP(J109,[1]Con!$A$2:$C$7,2,FALSE)+$K$3*VLOOKUP(K109,[1]Con!$A$2:$C$7,3,FALSE)+IF(BA109="SP",$BA$3,0)</f>
        <v>32.45136145075729</v>
      </c>
      <c r="AZ109" s="37">
        <f>STANDARDIZE(AY109,AVERAGE($AY$5:$AY$1116),STDEVP($AY$5:$AY$1116))</f>
        <v>-0.11668773016066329</v>
      </c>
      <c r="BA109" t="str">
        <f>IF(OR(AND(AQ109&gt;7,AW109&gt;1),AND(AQ109&gt;4,AV109&gt;2)),"SP","RP")</f>
        <v>SP</v>
      </c>
      <c r="BC109">
        <f>VLOOKUP($A109,'Draft List'!$A$4:$V$530,22,FALSE)</f>
        <v>0</v>
      </c>
      <c r="BD109" t="s">
        <v>155</v>
      </c>
      <c r="BE109" t="str">
        <f>IF(AVERAGE($O109:$Q109)&gt;=6,"Likely",IF(AVERAGE($O109:$Q109)&gt;=4,"Possible","Unlikely"))</f>
        <v>Possible</v>
      </c>
      <c r="BG109" t="str">
        <f>IF(VLOOKUP($B109,'Draft List'!$D$4:$AB$2598,BG$3,FALSE)&lt;&gt;0,VLOOKUP($B109,'Draft List'!$D$4:$AB$2598,BG$3,FALSE),"")</f>
        <v/>
      </c>
      <c r="BH109" t="str">
        <f>IF(VLOOKUP($B109,'Draft List'!$D$4:$AB$2598,BH$3,FALSE)&lt;&gt;0,VLOOKUP($B109,'Draft List'!$D$4:$AB$2598,BH$3,FALSE),"")</f>
        <v/>
      </c>
      <c r="BI109" t="str">
        <f>IF(VLOOKUP($B109,'Draft List'!$D$4:$AB$2598,BI$3,FALSE)&lt;&gt;0,VLOOKUP($B109,'Draft List'!$D$4:$AB$2598,BI$3,FALSE),"")</f>
        <v/>
      </c>
      <c r="BJ109" t="str">
        <f>IF(OR(C109="SP",C109="MR",C109="CL"),"P",VLOOKUP($A109,Bat!$A$4:$AP$1287,42,FALSE))</f>
        <v>P</v>
      </c>
    </row>
    <row r="110" spans="1:62">
      <c r="A110" t="str">
        <f>C110&amp;D110&amp;E110</f>
        <v>SPEric Jordan22</v>
      </c>
      <c r="B110">
        <f>VLOOKUP($A110,draft_listing_pitchers_stats!$A$1:$B$1324,2,FALSE)</f>
        <v>12049</v>
      </c>
      <c r="C110" s="1" t="s">
        <v>2003</v>
      </c>
      <c r="D110" s="1" t="s">
        <v>2064</v>
      </c>
      <c r="E110" s="1">
        <v>22</v>
      </c>
      <c r="F110" s="1" t="s">
        <v>2022</v>
      </c>
      <c r="G110" s="1" t="s">
        <v>2022</v>
      </c>
      <c r="H110" s="1" t="s">
        <v>2033</v>
      </c>
      <c r="I110" s="31" t="s">
        <v>2023</v>
      </c>
      <c r="J110" s="1" t="s">
        <v>2040</v>
      </c>
      <c r="K110" s="31" t="s">
        <v>2036</v>
      </c>
      <c r="L110" s="1">
        <v>4</v>
      </c>
      <c r="M110" s="1">
        <v>5</v>
      </c>
      <c r="N110" s="31">
        <v>2</v>
      </c>
      <c r="O110" s="1">
        <v>5</v>
      </c>
      <c r="P110" s="1">
        <v>6</v>
      </c>
      <c r="Q110" s="31">
        <v>3</v>
      </c>
      <c r="R110" s="1">
        <v>5</v>
      </c>
      <c r="S110" s="1">
        <v>5</v>
      </c>
      <c r="T110" s="1">
        <v>5</v>
      </c>
      <c r="U110" s="1">
        <v>6</v>
      </c>
      <c r="V110" s="1" t="s">
        <v>2027</v>
      </c>
      <c r="W110" s="1" t="s">
        <v>2027</v>
      </c>
      <c r="X110" s="1">
        <v>4</v>
      </c>
      <c r="Y110" s="1">
        <v>6</v>
      </c>
      <c r="Z110" s="1" t="s">
        <v>2027</v>
      </c>
      <c r="AA110" s="1" t="s">
        <v>2027</v>
      </c>
      <c r="AB110" s="1" t="s">
        <v>2027</v>
      </c>
      <c r="AC110" s="1" t="s">
        <v>2027</v>
      </c>
      <c r="AD110" s="1" t="s">
        <v>2027</v>
      </c>
      <c r="AE110" s="1" t="s">
        <v>2027</v>
      </c>
      <c r="AF110" s="1" t="s">
        <v>2027</v>
      </c>
      <c r="AG110" s="1" t="s">
        <v>2027</v>
      </c>
      <c r="AH110" s="1" t="s">
        <v>2027</v>
      </c>
      <c r="AI110" s="1" t="s">
        <v>2027</v>
      </c>
      <c r="AJ110" s="1" t="s">
        <v>2027</v>
      </c>
      <c r="AK110" s="1" t="s">
        <v>2027</v>
      </c>
      <c r="AL110" s="1" t="s">
        <v>2027</v>
      </c>
      <c r="AM110" s="1" t="s">
        <v>2027</v>
      </c>
      <c r="AN110" s="1" t="s">
        <v>2027</v>
      </c>
      <c r="AO110" s="31" t="s">
        <v>2027</v>
      </c>
      <c r="AP110" s="1" t="s">
        <v>2041</v>
      </c>
      <c r="AQ110" s="1">
        <v>7</v>
      </c>
      <c r="AR110" s="32">
        <v>0.62</v>
      </c>
      <c r="AS110" s="45">
        <v>2200000</v>
      </c>
      <c r="AT110" s="9">
        <f>($O$3*(L110-$O$1)/$O$2+$P$3*(M110-$P$1)/$P$2+$Q$3*(N110-$P$1)/$Q$2)/SUM($O$3:$Q$3)</f>
        <v>-1.0933628326657454</v>
      </c>
      <c r="AU110" s="9">
        <f>($O$3*(O110-$O$1)/$O$2+$P$3*(P110-$P$1)/$P$2+$Q$3*(Q110-$Q$1)/$Q$2)/SUM($O$3:$Q$3)</f>
        <v>-1.5424474935334484E-2</v>
      </c>
      <c r="AV110">
        <f>COUNT(R110:AO110)/2</f>
        <v>3</v>
      </c>
      <c r="AW110">
        <f>COUNTIF(R110:AO110,"&gt;5")/2</f>
        <v>1</v>
      </c>
      <c r="AX110" s="6">
        <f>VLOOKUP(AP110,COND!$A$10:$B$31,2,FALSE)</f>
        <v>1</v>
      </c>
      <c r="AY110" s="9">
        <f>($AT$3*AT110+$AU$3*AU110+$AV$3*AV110+$AW$3*AW110)*AX110*IF(AQ110&lt;5,0.95,IF(AQ110&lt;7,0.975,1))+$J$3*VLOOKUP(J110,[1]Con!$A$2:$C$7,2,FALSE)+$K$3*VLOOKUP(K110,[1]Con!$A$2:$C$7,3,FALSE)+IF(BA110="SP",$BA$3,0)</f>
        <v>32.272837934760162</v>
      </c>
      <c r="AZ110" s="37">
        <f>STANDARDIZE(AY110,AVERAGE($AY$5:$AY$1116),STDEVP($AY$5:$AY$1116))</f>
        <v>-0.13086009447097519</v>
      </c>
      <c r="BA110" t="str">
        <f>IF(OR(AND(AQ110&gt;7,AW110&gt;1),AND(AQ110&gt;4,AV110&gt;2)),"SP","RP")</f>
        <v>SP</v>
      </c>
      <c r="BC110">
        <f>VLOOKUP($A110,'Draft List'!$A$4:$V$530,22,FALSE)</f>
        <v>0</v>
      </c>
      <c r="BD110" t="s">
        <v>3</v>
      </c>
      <c r="BE110" t="str">
        <f>IF(AVERAGE($O110:$Q110)&gt;=6,"Likely",IF(AVERAGE($O110:$Q110)&gt;=4,"Possible","Unlikely"))</f>
        <v>Possible</v>
      </c>
      <c r="BG110" t="str">
        <f>IF(VLOOKUP($B110,'Draft List'!$D$4:$AB$2598,BG$3,FALSE)&lt;&gt;0,VLOOKUP($B110,'Draft List'!$D$4:$AB$2598,BG$3,FALSE),"")</f>
        <v/>
      </c>
      <c r="BH110" t="str">
        <f>IF(VLOOKUP($B110,'Draft List'!$D$4:$AB$2598,BH$3,FALSE)&lt;&gt;0,VLOOKUP($B110,'Draft List'!$D$4:$AB$2598,BH$3,FALSE),"")</f>
        <v/>
      </c>
      <c r="BI110" t="str">
        <f>IF(VLOOKUP($B110,'Draft List'!$D$4:$AB$2598,BI$3,FALSE)&lt;&gt;0,VLOOKUP($B110,'Draft List'!$D$4:$AB$2598,BI$3,FALSE),"")</f>
        <v/>
      </c>
      <c r="BJ110" t="str">
        <f>IF(OR(C110="SP",C110="MR",C110="CL"),"P",VLOOKUP($A110,Bat!$A$4:$AP$1287,42,FALSE))</f>
        <v>P</v>
      </c>
    </row>
    <row r="111" spans="1:62">
      <c r="A111" t="str">
        <f>C111&amp;D111&amp;E111</f>
        <v>SPShu-yen Jing18</v>
      </c>
      <c r="B111">
        <f>VLOOKUP($A111,draft_listing_pitchers_stats!$A$1:$B$1324,2,FALSE)</f>
        <v>123</v>
      </c>
      <c r="C111" s="1" t="s">
        <v>2003</v>
      </c>
      <c r="D111" s="1" t="s">
        <v>1122</v>
      </c>
      <c r="E111" s="1">
        <v>18</v>
      </c>
      <c r="F111" s="1" t="s">
        <v>2022</v>
      </c>
      <c r="G111" s="1" t="s">
        <v>2022</v>
      </c>
      <c r="H111" s="1" t="s">
        <v>2033</v>
      </c>
      <c r="I111" s="31" t="s">
        <v>2023</v>
      </c>
      <c r="J111" s="1" t="s">
        <v>2040</v>
      </c>
      <c r="K111" s="31" t="s">
        <v>2025</v>
      </c>
      <c r="L111" s="1">
        <v>2</v>
      </c>
      <c r="M111" s="1">
        <v>4</v>
      </c>
      <c r="N111" s="31">
        <v>1</v>
      </c>
      <c r="O111" s="1">
        <v>4</v>
      </c>
      <c r="P111" s="1">
        <v>5</v>
      </c>
      <c r="Q111" s="31">
        <v>5</v>
      </c>
      <c r="R111" s="1">
        <v>3</v>
      </c>
      <c r="S111" s="1">
        <v>5</v>
      </c>
      <c r="T111" s="1">
        <v>1</v>
      </c>
      <c r="U111" s="1">
        <v>4</v>
      </c>
      <c r="V111" s="1" t="s">
        <v>2027</v>
      </c>
      <c r="W111" s="1" t="s">
        <v>2027</v>
      </c>
      <c r="X111" s="1">
        <v>2</v>
      </c>
      <c r="Y111" s="1">
        <v>4</v>
      </c>
      <c r="Z111" s="1" t="s">
        <v>2027</v>
      </c>
      <c r="AA111" s="1" t="s">
        <v>2027</v>
      </c>
      <c r="AB111" s="1" t="s">
        <v>2027</v>
      </c>
      <c r="AC111" s="1" t="s">
        <v>2027</v>
      </c>
      <c r="AD111" s="1" t="s">
        <v>2027</v>
      </c>
      <c r="AE111" s="1" t="s">
        <v>2027</v>
      </c>
      <c r="AF111" s="1">
        <v>3</v>
      </c>
      <c r="AG111" s="1">
        <v>3</v>
      </c>
      <c r="AH111" s="1" t="s">
        <v>2027</v>
      </c>
      <c r="AI111" s="1" t="s">
        <v>2027</v>
      </c>
      <c r="AJ111" s="1" t="s">
        <v>2027</v>
      </c>
      <c r="AK111" s="1" t="s">
        <v>2027</v>
      </c>
      <c r="AL111" s="1" t="s">
        <v>2027</v>
      </c>
      <c r="AM111" s="1" t="s">
        <v>2027</v>
      </c>
      <c r="AN111" s="1" t="s">
        <v>2027</v>
      </c>
      <c r="AO111" s="31" t="s">
        <v>2027</v>
      </c>
      <c r="AP111" s="1" t="s">
        <v>2054</v>
      </c>
      <c r="AQ111" s="1">
        <v>7</v>
      </c>
      <c r="AR111" s="32">
        <v>0.56000000000000005</v>
      </c>
      <c r="AS111" s="45" t="s">
        <v>2029</v>
      </c>
      <c r="AT111" s="9">
        <f>($O$3*(L111-$O$1)/$O$2+$P$3*(M111-$P$1)/$P$2+$Q$3*(N111-$P$1)/$Q$2)/SUM($O$3:$Q$3)</f>
        <v>-1.9204977641682581</v>
      </c>
      <c r="AU111" s="9">
        <f>($O$3*(O111-$O$1)/$O$2+$P$3*(P111-$P$1)/$P$2+$Q$3*(Q111-$Q$1)/$Q$2)/SUM($O$3:$Q$3)</f>
        <v>7.9093616233657377E-2</v>
      </c>
      <c r="AV111">
        <f>COUNT(R111:AO111)/2</f>
        <v>4</v>
      </c>
      <c r="AW111">
        <f>COUNTIF(R111:AO111,"&gt;5")/2</f>
        <v>0</v>
      </c>
      <c r="AX111" s="6">
        <f>VLOOKUP(AP111,COND!$A$10:$B$31,2,FALSE)</f>
        <v>1</v>
      </c>
      <c r="AY111" s="9">
        <f>($AT$3*AT111+$AU$3*AU111+$AV$3*AV111+$AW$3*AW111)*AX111*IF(AQ111&lt;5,0.95,IF(AQ111&lt;7,0.975,1))+$J$3*VLOOKUP(J111,[1]Con!$A$2:$C$7,2,FALSE)+$K$3*VLOOKUP(K111,[1]Con!$A$2:$C$7,3,FALSE)+IF(BA111="SP",$BA$3,0)</f>
        <v>32.197772771839496</v>
      </c>
      <c r="AZ111" s="37">
        <f>STANDARDIZE(AY111,AVERAGE($AY$5:$AY$1116),STDEVP($AY$5:$AY$1116))</f>
        <v>-0.13681925805781439</v>
      </c>
      <c r="BA111" t="str">
        <f>IF(OR(AND(AQ111&gt;7,AW111&gt;1),AND(AQ111&gt;4,AV111&gt;2)),"SP","RP")</f>
        <v>SP</v>
      </c>
      <c r="BC111">
        <f>VLOOKUP($A111,'Draft List'!$A$4:$V$530,22,FALSE)</f>
        <v>0</v>
      </c>
      <c r="BE111" t="str">
        <f>IF(AVERAGE($O111:$Q111)&gt;=6,"Likely",IF(AVERAGE($O111:$Q111)&gt;=4,"Possible","Unlikely"))</f>
        <v>Possible</v>
      </c>
      <c r="BG111" t="str">
        <f>IF(VLOOKUP($B111,'Draft List'!$D$4:$AB$2598,BG$3,FALSE)&lt;&gt;0,VLOOKUP($B111,'Draft List'!$D$4:$AB$2598,BG$3,FALSE),"")</f>
        <v/>
      </c>
      <c r="BH111" t="str">
        <f>IF(VLOOKUP($B111,'Draft List'!$D$4:$AB$2598,BH$3,FALSE)&lt;&gt;0,VLOOKUP($B111,'Draft List'!$D$4:$AB$2598,BH$3,FALSE),"")</f>
        <v/>
      </c>
      <c r="BI111" t="str">
        <f>IF(VLOOKUP($B111,'Draft List'!$D$4:$AB$2598,BI$3,FALSE)&lt;&gt;0,VLOOKUP($B111,'Draft List'!$D$4:$AB$2598,BI$3,FALSE),"")</f>
        <v/>
      </c>
      <c r="BJ111" t="str">
        <f>IF(OR(C111="SP",C111="MR",C111="CL"),"P",VLOOKUP($A111,Bat!$A$4:$AP$1287,42,FALSE))</f>
        <v>P</v>
      </c>
    </row>
    <row r="112" spans="1:62">
      <c r="A112" t="str">
        <f>C112&amp;D112&amp;E112</f>
        <v>MRTony Wright22</v>
      </c>
      <c r="B112">
        <f>VLOOKUP($A112,draft_listing_pitchers_stats!$A$1:$B$1324,2,FALSE)</f>
        <v>12034</v>
      </c>
      <c r="C112" s="1" t="s">
        <v>2021</v>
      </c>
      <c r="D112" s="1" t="s">
        <v>2071</v>
      </c>
      <c r="E112" s="1">
        <v>22</v>
      </c>
      <c r="F112" s="1" t="s">
        <v>2038</v>
      </c>
      <c r="G112" s="1" t="s">
        <v>2038</v>
      </c>
      <c r="H112" s="1" t="s">
        <v>2033</v>
      </c>
      <c r="I112" s="31" t="s">
        <v>2023</v>
      </c>
      <c r="J112" s="1" t="s">
        <v>2025</v>
      </c>
      <c r="K112" s="31" t="s">
        <v>2025</v>
      </c>
      <c r="L112" s="1">
        <v>5</v>
      </c>
      <c r="M112" s="1">
        <v>6</v>
      </c>
      <c r="N112" s="31">
        <v>2</v>
      </c>
      <c r="O112" s="1">
        <v>5</v>
      </c>
      <c r="P112" s="1">
        <v>6</v>
      </c>
      <c r="Q112" s="31">
        <v>3</v>
      </c>
      <c r="R112" s="1">
        <v>5</v>
      </c>
      <c r="S112" s="1">
        <v>6</v>
      </c>
      <c r="T112" s="1">
        <v>1</v>
      </c>
      <c r="U112" s="1">
        <v>5</v>
      </c>
      <c r="V112" s="1" t="s">
        <v>2027</v>
      </c>
      <c r="W112" s="1" t="s">
        <v>2027</v>
      </c>
      <c r="X112" s="1">
        <v>5</v>
      </c>
      <c r="Y112" s="1">
        <v>5</v>
      </c>
      <c r="Z112" s="1" t="s">
        <v>2027</v>
      </c>
      <c r="AA112" s="1" t="s">
        <v>2027</v>
      </c>
      <c r="AB112" s="1" t="s">
        <v>2027</v>
      </c>
      <c r="AC112" s="1" t="s">
        <v>2027</v>
      </c>
      <c r="AD112" s="1" t="s">
        <v>2027</v>
      </c>
      <c r="AE112" s="1" t="s">
        <v>2027</v>
      </c>
      <c r="AF112" s="1" t="s">
        <v>2027</v>
      </c>
      <c r="AG112" s="1" t="s">
        <v>2027</v>
      </c>
      <c r="AH112" s="1" t="s">
        <v>2027</v>
      </c>
      <c r="AI112" s="1" t="s">
        <v>2027</v>
      </c>
      <c r="AJ112" s="1" t="s">
        <v>2027</v>
      </c>
      <c r="AK112" s="1" t="s">
        <v>2027</v>
      </c>
      <c r="AL112" s="1">
        <v>2</v>
      </c>
      <c r="AM112" s="1">
        <v>2</v>
      </c>
      <c r="AN112" s="1" t="s">
        <v>2027</v>
      </c>
      <c r="AO112" s="31" t="s">
        <v>2027</v>
      </c>
      <c r="AP112" s="1" t="s">
        <v>2047</v>
      </c>
      <c r="AQ112" s="1">
        <v>2</v>
      </c>
      <c r="AR112" s="32">
        <v>0.55000000000000004</v>
      </c>
      <c r="AS112" s="45">
        <v>2600000</v>
      </c>
      <c r="AT112" s="9">
        <f>($O$3*(L112-$O$1)/$O$2+$P$3*(M112-$P$1)/$P$2+$Q$3*(N112-$P$1)/$Q$2)/SUM($O$3:$Q$3)</f>
        <v>-0.70323979172651652</v>
      </c>
      <c r="AU112" s="9">
        <f>($O$3*(O112-$O$1)/$O$2+$P$3*(P112-$P$1)/$P$2+$Q$3*(Q112-$Q$1)/$Q$2)/SUM($O$3:$Q$3)</f>
        <v>-1.5424474935334484E-2</v>
      </c>
      <c r="AV112">
        <f>COUNT(R112:AO112)/2</f>
        <v>4</v>
      </c>
      <c r="AW112">
        <f>COUNTIF(R112:AO112,"&gt;5")/2</f>
        <v>0.5</v>
      </c>
      <c r="AX112" s="6">
        <f>VLOOKUP(AP112,COND!$A$10:$B$31,2,FALSE)</f>
        <v>1.0249999999999999</v>
      </c>
      <c r="AY112" s="9">
        <f>($AT$3*AT112+$AU$3*AU112+$AV$3*AV112+$AW$3*AW112)*AX112*IF(AQ112&lt;5,0.95,IF(AQ112&lt;7,0.975,1))+$J$3*VLOOKUP(J112,[1]Con!$A$2:$C$7,2,FALSE)+$K$3*VLOOKUP(K112,[1]Con!$A$2:$C$7,3,FALSE)+IF(BA112="SP",$BA$3,0)</f>
        <v>32.118746151195623</v>
      </c>
      <c r="AZ112" s="37">
        <f>STANDARDIZE(AY112,AVERAGE($AY$5:$AY$1116),STDEVP($AY$5:$AY$1116))</f>
        <v>-0.14309290806813463</v>
      </c>
      <c r="BA112" t="str">
        <f>IF(OR(AND(AQ112&gt;7,AW112&gt;1),AND(AQ112&gt;4,AV112&gt;2)),"SP","RP")</f>
        <v>RP</v>
      </c>
      <c r="BC112">
        <f>VLOOKUP($A112,'Draft List'!$A$4:$V$530,22,FALSE)</f>
        <v>0</v>
      </c>
      <c r="BD112" t="s">
        <v>1</v>
      </c>
      <c r="BE112" t="str">
        <f>IF(AVERAGE($O112:$Q112)&gt;=6,"Likely",IF(AVERAGE($O112:$Q112)&gt;=4,"Possible","Unlikely"))</f>
        <v>Possible</v>
      </c>
      <c r="BG112" t="str">
        <f>IF(VLOOKUP($B112,'Draft List'!$D$4:$AB$2598,BG$3,FALSE)&lt;&gt;0,VLOOKUP($B112,'Draft List'!$D$4:$AB$2598,BG$3,FALSE),"")</f>
        <v/>
      </c>
      <c r="BH112" t="str">
        <f>IF(VLOOKUP($B112,'Draft List'!$D$4:$AB$2598,BH$3,FALSE)&lt;&gt;0,VLOOKUP($B112,'Draft List'!$D$4:$AB$2598,BH$3,FALSE),"")</f>
        <v/>
      </c>
      <c r="BI112" t="str">
        <f>IF(VLOOKUP($B112,'Draft List'!$D$4:$AB$2598,BI$3,FALSE)&lt;&gt;0,VLOOKUP($B112,'Draft List'!$D$4:$AB$2598,BI$3,FALSE),"")</f>
        <v/>
      </c>
      <c r="BJ112" t="str">
        <f>IF(OR(C112="SP",C112="MR",C112="CL"),"P",VLOOKUP($A112,Bat!$A$4:$AP$1287,42,FALSE))</f>
        <v>P</v>
      </c>
    </row>
    <row r="113" spans="1:62">
      <c r="A113" t="str">
        <f>C113&amp;D113&amp;E113</f>
        <v>MRKen Mullen21</v>
      </c>
      <c r="B113">
        <f>VLOOKUP($A113,draft_listing_pitchers_stats!$A$1:$B$1324,2,FALSE)</f>
        <v>1996</v>
      </c>
      <c r="C113" s="1" t="s">
        <v>2021</v>
      </c>
      <c r="D113" s="1" t="s">
        <v>1032</v>
      </c>
      <c r="E113" s="1">
        <v>21</v>
      </c>
      <c r="F113" s="1" t="s">
        <v>2049</v>
      </c>
      <c r="G113" s="1" t="s">
        <v>2022</v>
      </c>
      <c r="H113" s="1" t="s">
        <v>2033</v>
      </c>
      <c r="I113" s="31" t="s">
        <v>2033</v>
      </c>
      <c r="J113" s="1" t="s">
        <v>2026</v>
      </c>
      <c r="K113" s="31" t="s">
        <v>2036</v>
      </c>
      <c r="L113" s="1">
        <v>4</v>
      </c>
      <c r="M113" s="1">
        <v>4</v>
      </c>
      <c r="N113" s="31">
        <v>2</v>
      </c>
      <c r="O113" s="1">
        <v>5</v>
      </c>
      <c r="P113" s="1">
        <v>4</v>
      </c>
      <c r="Q113" s="31">
        <v>4</v>
      </c>
      <c r="R113" s="1">
        <v>5</v>
      </c>
      <c r="S113" s="1">
        <v>5</v>
      </c>
      <c r="T113" s="1">
        <v>2</v>
      </c>
      <c r="U113" s="1">
        <v>3</v>
      </c>
      <c r="V113" s="1">
        <v>2</v>
      </c>
      <c r="W113" s="1">
        <v>3</v>
      </c>
      <c r="X113" s="1">
        <v>4</v>
      </c>
      <c r="Y113" s="1">
        <v>5</v>
      </c>
      <c r="Z113" s="1" t="s">
        <v>2027</v>
      </c>
      <c r="AA113" s="1" t="s">
        <v>2027</v>
      </c>
      <c r="AB113" s="1" t="s">
        <v>2027</v>
      </c>
      <c r="AC113" s="1" t="s">
        <v>2027</v>
      </c>
      <c r="AD113" s="1" t="s">
        <v>2027</v>
      </c>
      <c r="AE113" s="1" t="s">
        <v>2027</v>
      </c>
      <c r="AF113" s="1">
        <v>4</v>
      </c>
      <c r="AG113" s="1">
        <v>4</v>
      </c>
      <c r="AH113" s="1">
        <v>1</v>
      </c>
      <c r="AI113" s="1">
        <v>3</v>
      </c>
      <c r="AJ113" s="1" t="s">
        <v>2027</v>
      </c>
      <c r="AK113" s="1" t="s">
        <v>2027</v>
      </c>
      <c r="AL113" s="1" t="s">
        <v>2027</v>
      </c>
      <c r="AM113" s="1" t="s">
        <v>2027</v>
      </c>
      <c r="AN113" s="1" t="s">
        <v>2027</v>
      </c>
      <c r="AO113" s="31" t="s">
        <v>2027</v>
      </c>
      <c r="AP113" s="1" t="s">
        <v>2044</v>
      </c>
      <c r="AQ113" s="1">
        <v>6</v>
      </c>
      <c r="AR113" s="32">
        <v>0.49</v>
      </c>
      <c r="AS113" s="45" t="s">
        <v>2029</v>
      </c>
      <c r="AT113" s="9">
        <f>($O$3*(L113-$O$1)/$O$2+$P$3*(M113-$P$1)/$P$2+$Q$3*(N113-$P$1)/$Q$2)/SUM($O$3:$Q$3)</f>
        <v>-1.288794549095801</v>
      </c>
      <c r="AU113" s="9">
        <f>($O$3*(O113-$O$1)/$O$2+$P$3*(P113-$P$1)/$P$2+$Q$3*(Q113-$Q$1)/$Q$2)/SUM($O$3:$Q$3)</f>
        <v>-0.16396734174133493</v>
      </c>
      <c r="AV113">
        <f>COUNT(R113:AO113)/2</f>
        <v>6</v>
      </c>
      <c r="AW113">
        <f>COUNTIF(R113:AO113,"&gt;5")/2</f>
        <v>0</v>
      </c>
      <c r="AX113" s="6">
        <f>VLOOKUP(AP113,COND!$A$10:$B$31,2,FALSE)</f>
        <v>1</v>
      </c>
      <c r="AY113" s="9">
        <f>($AT$3*AT113+$AU$3*AU113+$AV$3*AV113+$AW$3*AW113)*AX113*IF(AQ113&lt;5,0.95,IF(AQ113&lt;7,0.975,1))+$J$3*VLOOKUP(J113,[1]Con!$A$2:$C$7,2,FALSE)+$K$3*VLOOKUP(K113,[1]Con!$A$2:$C$7,3,FALSE)+IF(BA113="SP",$BA$3,0)</f>
        <v>31.776321898970288</v>
      </c>
      <c r="AZ113" s="37">
        <f>STANDARDIZE(AY113,AVERAGE($AY$5:$AY$1116),STDEVP($AY$5:$AY$1116))</f>
        <v>-0.1702767847922613</v>
      </c>
      <c r="BA113" t="str">
        <f>IF(OR(AND(AQ113&gt;7,AW113&gt;1),AND(AQ113&gt;4,AV113&gt;2)),"SP","RP")</f>
        <v>SP</v>
      </c>
      <c r="BC113">
        <f>VLOOKUP($A113,'Draft List'!$A$4:$V$530,22,FALSE)</f>
        <v>0</v>
      </c>
      <c r="BE113" t="str">
        <f>IF(AVERAGE($O113:$Q113)&gt;=6,"Likely",IF(AVERAGE($O113:$Q113)&gt;=4,"Possible","Unlikely"))</f>
        <v>Possible</v>
      </c>
      <c r="BG113" t="str">
        <f>IF(VLOOKUP($B113,'Draft List'!$D$4:$AB$2598,BG$3,FALSE)&lt;&gt;0,VLOOKUP($B113,'Draft List'!$D$4:$AB$2598,BG$3,FALSE),"")</f>
        <v/>
      </c>
      <c r="BH113" t="str">
        <f>IF(VLOOKUP($B113,'Draft List'!$D$4:$AB$2598,BH$3,FALSE)&lt;&gt;0,VLOOKUP($B113,'Draft List'!$D$4:$AB$2598,BH$3,FALSE),"")</f>
        <v/>
      </c>
      <c r="BI113" t="str">
        <f>IF(VLOOKUP($B113,'Draft List'!$D$4:$AB$2598,BI$3,FALSE)&lt;&gt;0,VLOOKUP($B113,'Draft List'!$D$4:$AB$2598,BI$3,FALSE),"")</f>
        <v/>
      </c>
      <c r="BJ113" t="str">
        <f>IF(OR(C113="SP",C113="MR",C113="CL"),"P",VLOOKUP($A113,Bat!$A$4:$AP$1287,42,FALSE))</f>
        <v>P</v>
      </c>
    </row>
    <row r="114" spans="1:62">
      <c r="A114" t="str">
        <f>C114&amp;D114&amp;E114</f>
        <v>MRCarl Lilly21</v>
      </c>
      <c r="B114">
        <f>VLOOKUP($A114,draft_listing_pitchers_stats!$A$1:$B$1324,2,FALSE)</f>
        <v>9250</v>
      </c>
      <c r="C114" s="1" t="s">
        <v>2021</v>
      </c>
      <c r="D114" s="1" t="s">
        <v>1128</v>
      </c>
      <c r="E114" s="1">
        <v>21</v>
      </c>
      <c r="F114" s="1" t="s">
        <v>2022</v>
      </c>
      <c r="G114" s="1" t="s">
        <v>2022</v>
      </c>
      <c r="H114" s="1" t="s">
        <v>2033</v>
      </c>
      <c r="I114" s="31" t="s">
        <v>2023</v>
      </c>
      <c r="J114" s="1" t="s">
        <v>2025</v>
      </c>
      <c r="K114" s="31" t="s">
        <v>2030</v>
      </c>
      <c r="L114" s="1">
        <v>4</v>
      </c>
      <c r="M114" s="1">
        <v>4</v>
      </c>
      <c r="N114" s="31">
        <v>1</v>
      </c>
      <c r="O114" s="1">
        <v>5</v>
      </c>
      <c r="P114" s="1">
        <v>4</v>
      </c>
      <c r="Q114" s="31">
        <v>4</v>
      </c>
      <c r="R114" s="1">
        <v>5</v>
      </c>
      <c r="S114" s="1">
        <v>6</v>
      </c>
      <c r="T114" s="1">
        <v>2</v>
      </c>
      <c r="U114" s="1">
        <v>2</v>
      </c>
      <c r="V114" s="1">
        <v>3</v>
      </c>
      <c r="W114" s="1">
        <v>4</v>
      </c>
      <c r="X114" s="1" t="s">
        <v>2027</v>
      </c>
      <c r="Y114" s="1" t="s">
        <v>2027</v>
      </c>
      <c r="Z114" s="1" t="s">
        <v>2027</v>
      </c>
      <c r="AA114" s="1" t="s">
        <v>2027</v>
      </c>
      <c r="AB114" s="1">
        <v>4</v>
      </c>
      <c r="AC114" s="1">
        <v>4</v>
      </c>
      <c r="AD114" s="1" t="s">
        <v>2027</v>
      </c>
      <c r="AE114" s="1" t="s">
        <v>2027</v>
      </c>
      <c r="AF114" s="1" t="s">
        <v>2027</v>
      </c>
      <c r="AG114" s="1" t="s">
        <v>2027</v>
      </c>
      <c r="AH114" s="1" t="s">
        <v>2027</v>
      </c>
      <c r="AI114" s="1" t="s">
        <v>2027</v>
      </c>
      <c r="AJ114" s="1" t="s">
        <v>2027</v>
      </c>
      <c r="AK114" s="1" t="s">
        <v>2027</v>
      </c>
      <c r="AL114" s="1" t="s">
        <v>2027</v>
      </c>
      <c r="AM114" s="1" t="s">
        <v>2027</v>
      </c>
      <c r="AN114" s="1" t="s">
        <v>2027</v>
      </c>
      <c r="AO114" s="31" t="s">
        <v>2027</v>
      </c>
      <c r="AP114" s="1" t="s">
        <v>2039</v>
      </c>
      <c r="AQ114" s="1">
        <v>9</v>
      </c>
      <c r="AR114" s="32">
        <v>0.55000000000000004</v>
      </c>
      <c r="AS114" s="45" t="s">
        <v>2029</v>
      </c>
      <c r="AT114" s="9">
        <f>($O$3*(L114-$O$1)/$O$2+$P$3*(M114-$P$1)/$P$2+$Q$3*(N114-$P$1)/$Q$2)/SUM($O$3:$Q$3)</f>
        <v>-1.5311151151499114</v>
      </c>
      <c r="AU114" s="9">
        <f>($O$3*(O114-$O$1)/$O$2+$P$3*(P114-$P$1)/$P$2+$Q$3*(Q114-$Q$1)/$Q$2)/SUM($O$3:$Q$3)</f>
        <v>-0.16396734174133493</v>
      </c>
      <c r="AV114">
        <f>COUNT(R114:AO114)/2</f>
        <v>4</v>
      </c>
      <c r="AW114">
        <f>COUNTIF(R114:AO114,"&gt;5")/2</f>
        <v>0.5</v>
      </c>
      <c r="AX114" s="6">
        <f>VLOOKUP(AP114,COND!$A$10:$B$31,2,FALSE)</f>
        <v>1.0249999999999999</v>
      </c>
      <c r="AY114" s="9">
        <f>($AT$3*AT114+$AU$3*AU114+$AV$3*AV114+$AW$3*AW114)*AX114*IF(AQ114&lt;5,0.95,IF(AQ114&lt;7,0.975,1))+$J$3*VLOOKUP(J114,[1]Con!$A$2:$C$7,2,FALSE)+$K$3*VLOOKUP(K114,[1]Con!$A$2:$C$7,3,FALSE)+IF(BA114="SP",$BA$3,0)</f>
        <v>31.765415895696904</v>
      </c>
      <c r="AZ114" s="37">
        <f>STANDARDIZE(AY114,AVERAGE($AY$5:$AY$1116),STDEVP($AY$5:$AY$1116))</f>
        <v>-0.17114257466143648</v>
      </c>
      <c r="BA114" t="str">
        <f>IF(OR(AND(AQ114&gt;7,AW114&gt;1),AND(AQ114&gt;4,AV114&gt;2)),"SP","RP")</f>
        <v>SP</v>
      </c>
      <c r="BC114">
        <f>VLOOKUP($A114,'Draft List'!$A$4:$V$530,22,FALSE)</f>
        <v>0</v>
      </c>
      <c r="BE114" t="str">
        <f>IF(AVERAGE($O114:$Q114)&gt;=6,"Likely",IF(AVERAGE($O114:$Q114)&gt;=4,"Possible","Unlikely"))</f>
        <v>Possible</v>
      </c>
      <c r="BG114" t="str">
        <f>IF(VLOOKUP($B114,'Draft List'!$D$4:$AB$2598,BG$3,FALSE)&lt;&gt;0,VLOOKUP($B114,'Draft List'!$D$4:$AB$2598,BG$3,FALSE),"")</f>
        <v/>
      </c>
      <c r="BH114" t="str">
        <f>IF(VLOOKUP($B114,'Draft List'!$D$4:$AB$2598,BH$3,FALSE)&lt;&gt;0,VLOOKUP($B114,'Draft List'!$D$4:$AB$2598,BH$3,FALSE),"")</f>
        <v/>
      </c>
      <c r="BI114" t="str">
        <f>IF(VLOOKUP($B114,'Draft List'!$D$4:$AB$2598,BI$3,FALSE)&lt;&gt;0,VLOOKUP($B114,'Draft List'!$D$4:$AB$2598,BI$3,FALSE),"")</f>
        <v/>
      </c>
      <c r="BJ114" t="str">
        <f>IF(OR(C114="SP",C114="MR",C114="CL"),"P",VLOOKUP($A114,Bat!$A$4:$AP$1287,42,FALSE))</f>
        <v>P</v>
      </c>
    </row>
    <row r="115" spans="1:62">
      <c r="A115" t="str">
        <f>C115&amp;D115&amp;E115</f>
        <v>SPKen Hill21</v>
      </c>
      <c r="B115">
        <f>VLOOKUP($A115,draft_listing_pitchers_stats!$A$1:$B$1324,2,FALSE)</f>
        <v>3232</v>
      </c>
      <c r="C115" s="1" t="s">
        <v>2003</v>
      </c>
      <c r="D115" s="1" t="s">
        <v>1121</v>
      </c>
      <c r="E115" s="1">
        <v>21</v>
      </c>
      <c r="F115" s="1" t="s">
        <v>2049</v>
      </c>
      <c r="G115" s="1" t="s">
        <v>2022</v>
      </c>
      <c r="H115" s="1" t="s">
        <v>2033</v>
      </c>
      <c r="I115" s="31" t="s">
        <v>2023</v>
      </c>
      <c r="J115" s="1" t="s">
        <v>2026</v>
      </c>
      <c r="K115" s="31" t="s">
        <v>2026</v>
      </c>
      <c r="L115" s="1">
        <v>5</v>
      </c>
      <c r="M115" s="1">
        <v>4</v>
      </c>
      <c r="N115" s="31">
        <v>2</v>
      </c>
      <c r="O115" s="1">
        <v>6</v>
      </c>
      <c r="P115" s="1">
        <v>4</v>
      </c>
      <c r="Q115" s="31">
        <v>4</v>
      </c>
      <c r="R115" s="1">
        <v>7</v>
      </c>
      <c r="S115" s="1">
        <v>9</v>
      </c>
      <c r="T115" s="1" t="s">
        <v>2027</v>
      </c>
      <c r="U115" s="1" t="s">
        <v>2027</v>
      </c>
      <c r="V115" s="1" t="s">
        <v>2027</v>
      </c>
      <c r="W115" s="1" t="s">
        <v>2027</v>
      </c>
      <c r="X115" s="1">
        <v>5</v>
      </c>
      <c r="Y115" s="1">
        <v>7</v>
      </c>
      <c r="Z115" s="1" t="s">
        <v>2027</v>
      </c>
      <c r="AA115" s="1" t="s">
        <v>2027</v>
      </c>
      <c r="AB115" s="1" t="s">
        <v>2027</v>
      </c>
      <c r="AC115" s="1" t="s">
        <v>2027</v>
      </c>
      <c r="AD115" s="1" t="s">
        <v>2027</v>
      </c>
      <c r="AE115" s="1" t="s">
        <v>2027</v>
      </c>
      <c r="AF115" s="1" t="s">
        <v>2027</v>
      </c>
      <c r="AG115" s="1" t="s">
        <v>2027</v>
      </c>
      <c r="AH115" s="1" t="s">
        <v>2027</v>
      </c>
      <c r="AI115" s="1" t="s">
        <v>2027</v>
      </c>
      <c r="AJ115" s="1" t="s">
        <v>2027</v>
      </c>
      <c r="AK115" s="1" t="s">
        <v>2027</v>
      </c>
      <c r="AL115" s="1" t="s">
        <v>2027</v>
      </c>
      <c r="AM115" s="1" t="s">
        <v>2027</v>
      </c>
      <c r="AN115" s="1" t="s">
        <v>2027</v>
      </c>
      <c r="AO115" s="31" t="s">
        <v>2027</v>
      </c>
      <c r="AP115" s="1" t="s">
        <v>2028</v>
      </c>
      <c r="AQ115" s="1">
        <v>4</v>
      </c>
      <c r="AR115" s="32">
        <v>0.45</v>
      </c>
      <c r="AS115" s="45" t="s">
        <v>2029</v>
      </c>
      <c r="AT115" s="9">
        <f>($O$3*(L115-$O$1)/$O$2+$P$3*(M115-$P$1)/$P$2+$Q$3*(N115-$P$1)/$Q$2)/SUM($O$3:$Q$3)</f>
        <v>-1.0941032245866273</v>
      </c>
      <c r="AU115" s="9">
        <f>($O$3*(O115-$O$1)/$O$2+$P$3*(P115-$P$1)/$P$2+$Q$3*(Q115-$Q$1)/$Q$2)/SUM($O$3:$Q$3)</f>
        <v>3.0723982767838571E-2</v>
      </c>
      <c r="AV115">
        <f>COUNT(R115:AO115)/2</f>
        <v>2</v>
      </c>
      <c r="AW115">
        <f>COUNTIF(R115:AO115,"&gt;5")/2</f>
        <v>1.5</v>
      </c>
      <c r="AX115" s="6">
        <f>VLOOKUP(AP115,COND!$A$10:$B$31,2,FALSE)</f>
        <v>1.05</v>
      </c>
      <c r="AY115" s="9">
        <f>($AT$3*AT115+$AU$3*AU115+$AV$3*AV115+$AW$3*AW115)*AX115*IF(AQ115&lt;5,0.95,IF(AQ115&lt;7,0.975,1))+$J$3*VLOOKUP(J115,[1]Con!$A$2:$C$7,2,FALSE)+$K$3*VLOOKUP(K115,[1]Con!$A$2:$C$7,3,FALSE)+IF(BA115="SP",$BA$3,0)</f>
        <v>31.762482362913346</v>
      </c>
      <c r="AZ115" s="37">
        <f>STANDARDIZE(AY115,AVERAGE($AY$5:$AY$1116),STDEVP($AY$5:$AY$1116))</f>
        <v>-0.17137545768019519</v>
      </c>
      <c r="BA115" t="str">
        <f>IF(OR(AND(AQ115&gt;7,AW115&gt;1),AND(AQ115&gt;4,AV115&gt;2)),"SP","RP")</f>
        <v>RP</v>
      </c>
      <c r="BC115">
        <f>VLOOKUP($A115,'Draft List'!$A$4:$V$530,22,FALSE)</f>
        <v>0</v>
      </c>
      <c r="BE115" t="str">
        <f>IF(AVERAGE($O115:$Q115)&gt;=6,"Likely",IF(AVERAGE($O115:$Q115)&gt;=4,"Possible","Unlikely"))</f>
        <v>Possible</v>
      </c>
      <c r="BG115" t="str">
        <f>IF(VLOOKUP($B115,'Draft List'!$D$4:$AB$2598,BG$3,FALSE)&lt;&gt;0,VLOOKUP($B115,'Draft List'!$D$4:$AB$2598,BG$3,FALSE),"")</f>
        <v/>
      </c>
      <c r="BH115" t="str">
        <f>IF(VLOOKUP($B115,'Draft List'!$D$4:$AB$2598,BH$3,FALSE)&lt;&gt;0,VLOOKUP($B115,'Draft List'!$D$4:$AB$2598,BH$3,FALSE),"")</f>
        <v/>
      </c>
      <c r="BI115" t="str">
        <f>IF(VLOOKUP($B115,'Draft List'!$D$4:$AB$2598,BI$3,FALSE)&lt;&gt;0,VLOOKUP($B115,'Draft List'!$D$4:$AB$2598,BI$3,FALSE),"")</f>
        <v/>
      </c>
      <c r="BJ115" t="str">
        <f>IF(OR(C115="SP",C115="MR",C115="CL"),"P",VLOOKUP($A115,Bat!$A$4:$AP$1287,42,FALSE))</f>
        <v>P</v>
      </c>
    </row>
    <row r="116" spans="1:62">
      <c r="A116" t="str">
        <f>C116&amp;D116&amp;E116</f>
        <v>MRChet Jones21</v>
      </c>
      <c r="B116">
        <f>VLOOKUP($A116,draft_listing_pitchers_stats!$A$1:$B$1324,2,FALSE)</f>
        <v>13912</v>
      </c>
      <c r="C116" s="1" t="s">
        <v>2021</v>
      </c>
      <c r="D116" s="1" t="s">
        <v>1123</v>
      </c>
      <c r="E116" s="1">
        <v>21</v>
      </c>
      <c r="F116" s="1" t="s">
        <v>2049</v>
      </c>
      <c r="G116" s="1" t="s">
        <v>2022</v>
      </c>
      <c r="H116" s="1" t="s">
        <v>2033</v>
      </c>
      <c r="I116" s="31" t="s">
        <v>2023</v>
      </c>
      <c r="J116" s="1" t="s">
        <v>2040</v>
      </c>
      <c r="K116" s="31" t="s">
        <v>2026</v>
      </c>
      <c r="L116" s="1">
        <v>4</v>
      </c>
      <c r="M116" s="1">
        <v>5</v>
      </c>
      <c r="N116" s="31">
        <v>2</v>
      </c>
      <c r="O116" s="1">
        <v>4</v>
      </c>
      <c r="P116" s="1">
        <v>5</v>
      </c>
      <c r="Q116" s="31">
        <v>5</v>
      </c>
      <c r="R116" s="1">
        <v>5</v>
      </c>
      <c r="S116" s="1">
        <v>5</v>
      </c>
      <c r="T116" s="1">
        <v>4</v>
      </c>
      <c r="U116" s="1">
        <v>4</v>
      </c>
      <c r="V116" s="1" t="s">
        <v>2027</v>
      </c>
      <c r="W116" s="1" t="s">
        <v>2027</v>
      </c>
      <c r="X116" s="1">
        <v>3</v>
      </c>
      <c r="Y116" s="1">
        <v>3</v>
      </c>
      <c r="Z116" s="1" t="s">
        <v>2027</v>
      </c>
      <c r="AA116" s="1" t="s">
        <v>2027</v>
      </c>
      <c r="AB116" s="1" t="s">
        <v>2027</v>
      </c>
      <c r="AC116" s="1" t="s">
        <v>2027</v>
      </c>
      <c r="AD116" s="1" t="s">
        <v>2027</v>
      </c>
      <c r="AE116" s="1" t="s">
        <v>2027</v>
      </c>
      <c r="AF116" s="1">
        <v>5</v>
      </c>
      <c r="AG116" s="1">
        <v>5</v>
      </c>
      <c r="AH116" s="1" t="s">
        <v>2027</v>
      </c>
      <c r="AI116" s="1" t="s">
        <v>2027</v>
      </c>
      <c r="AJ116" s="1" t="s">
        <v>2027</v>
      </c>
      <c r="AK116" s="1" t="s">
        <v>2027</v>
      </c>
      <c r="AL116" s="1" t="s">
        <v>2027</v>
      </c>
      <c r="AM116" s="1" t="s">
        <v>2027</v>
      </c>
      <c r="AN116" s="1" t="s">
        <v>2027</v>
      </c>
      <c r="AO116" s="31" t="s">
        <v>2027</v>
      </c>
      <c r="AP116" s="1" t="s">
        <v>2044</v>
      </c>
      <c r="AQ116" s="1">
        <v>9</v>
      </c>
      <c r="AR116" s="32">
        <v>0.57999999999999996</v>
      </c>
      <c r="AS116" s="45" t="s">
        <v>2029</v>
      </c>
      <c r="AT116" s="9">
        <f>($O$3*(L116-$O$1)/$O$2+$P$3*(M116-$P$1)/$P$2+$Q$3*(N116-$P$1)/$Q$2)/SUM($O$3:$Q$3)</f>
        <v>-1.0933628326657454</v>
      </c>
      <c r="AU116" s="9">
        <f>($O$3*(O116-$O$1)/$O$2+$P$3*(P116-$P$1)/$P$2+$Q$3*(Q116-$Q$1)/$Q$2)/SUM($O$3:$Q$3)</f>
        <v>7.9093616233657377E-2</v>
      </c>
      <c r="AV116">
        <f>COUNT(R116:AO116)/2</f>
        <v>4</v>
      </c>
      <c r="AW116">
        <f>COUNTIF(R116:AO116,"&gt;5")/2</f>
        <v>0</v>
      </c>
      <c r="AX116" s="6">
        <f>VLOOKUP(AP116,COND!$A$10:$B$31,2,FALSE)</f>
        <v>1</v>
      </c>
      <c r="AY116" s="9">
        <f>($AT$3*AT116+$AU$3*AU116+$AV$3*AV116+$AW$3*AW116)*AX116*IF(AQ116&lt;5,0.95,IF(AQ116&lt;7,0.975,1))+$J$3*VLOOKUP(J116,[1]Con!$A$2:$C$7,2,FALSE)+$K$3*VLOOKUP(K116,[1]Con!$A$2:$C$7,3,FALSE)+IF(BA116="SP",$BA$3,0)</f>
        <v>31.613199758139999</v>
      </c>
      <c r="AZ116" s="37">
        <f>STANDARDIZE(AY116,AVERAGE($AY$5:$AY$1116),STDEVP($AY$5:$AY$1116))</f>
        <v>-0.18322648721108467</v>
      </c>
      <c r="BA116" t="str">
        <f>IF(OR(AND(AQ116&gt;7,AW116&gt;1),AND(AQ116&gt;4,AV116&gt;2)),"SP","RP")</f>
        <v>SP</v>
      </c>
      <c r="BC116">
        <f>VLOOKUP($A116,'Draft List'!$A$4:$V$530,22,FALSE)</f>
        <v>0</v>
      </c>
      <c r="BE116" t="str">
        <f>IF(AVERAGE($O116:$Q116)&gt;=6,"Likely",IF(AVERAGE($O116:$Q116)&gt;=4,"Possible","Unlikely"))</f>
        <v>Possible</v>
      </c>
      <c r="BG116" t="str">
        <f>IF(VLOOKUP($B116,'Draft List'!$D$4:$AB$2598,BG$3,FALSE)&lt;&gt;0,VLOOKUP($B116,'Draft List'!$D$4:$AB$2598,BG$3,FALSE),"")</f>
        <v/>
      </c>
      <c r="BH116" t="str">
        <f>IF(VLOOKUP($B116,'Draft List'!$D$4:$AB$2598,BH$3,FALSE)&lt;&gt;0,VLOOKUP($B116,'Draft List'!$D$4:$AB$2598,BH$3,FALSE),"")</f>
        <v/>
      </c>
      <c r="BI116" t="str">
        <f>IF(VLOOKUP($B116,'Draft List'!$D$4:$AB$2598,BI$3,FALSE)&lt;&gt;0,VLOOKUP($B116,'Draft List'!$D$4:$AB$2598,BI$3,FALSE),"")</f>
        <v/>
      </c>
      <c r="BJ116" t="str">
        <f>IF(OR(C116="SP",C116="MR",C116="CL"),"P",VLOOKUP($A116,Bat!$A$4:$AP$1287,42,FALSE))</f>
        <v>P</v>
      </c>
    </row>
    <row r="117" spans="1:62">
      <c r="A117" t="str">
        <f>C117&amp;D117&amp;E117</f>
        <v>SPWillis Warren18</v>
      </c>
      <c r="B117">
        <f>VLOOKUP($A117,draft_listing_pitchers_stats!$A$1:$B$1324,2,FALSE)</f>
        <v>13761</v>
      </c>
      <c r="C117" s="1" t="s">
        <v>2003</v>
      </c>
      <c r="D117" s="1" t="s">
        <v>1063</v>
      </c>
      <c r="E117" s="1">
        <v>18</v>
      </c>
      <c r="F117" s="1" t="s">
        <v>2022</v>
      </c>
      <c r="G117" s="1" t="s">
        <v>2022</v>
      </c>
      <c r="H117" s="1" t="s">
        <v>2033</v>
      </c>
      <c r="I117" s="31" t="s">
        <v>2033</v>
      </c>
      <c r="J117" s="1" t="s">
        <v>2030</v>
      </c>
      <c r="K117" s="31" t="s">
        <v>2025</v>
      </c>
      <c r="L117" s="1">
        <v>2</v>
      </c>
      <c r="M117" s="1">
        <v>4</v>
      </c>
      <c r="N117" s="31">
        <v>1</v>
      </c>
      <c r="O117" s="1">
        <v>5</v>
      </c>
      <c r="P117" s="1">
        <v>4</v>
      </c>
      <c r="Q117" s="31">
        <v>4</v>
      </c>
      <c r="R117" s="1">
        <v>3</v>
      </c>
      <c r="S117" s="1">
        <v>5</v>
      </c>
      <c r="T117" s="1">
        <v>1</v>
      </c>
      <c r="U117" s="1">
        <v>6</v>
      </c>
      <c r="V117" s="1" t="s">
        <v>2027</v>
      </c>
      <c r="W117" s="1" t="s">
        <v>2027</v>
      </c>
      <c r="X117" s="1" t="s">
        <v>2027</v>
      </c>
      <c r="Y117" s="1" t="s">
        <v>2027</v>
      </c>
      <c r="Z117" s="1" t="s">
        <v>2027</v>
      </c>
      <c r="AA117" s="1" t="s">
        <v>2027</v>
      </c>
      <c r="AB117" s="1" t="s">
        <v>2027</v>
      </c>
      <c r="AC117" s="1" t="s">
        <v>2027</v>
      </c>
      <c r="AD117" s="1">
        <v>3</v>
      </c>
      <c r="AE117" s="1">
        <v>5</v>
      </c>
      <c r="AF117" s="1" t="s">
        <v>2027</v>
      </c>
      <c r="AG117" s="1" t="s">
        <v>2027</v>
      </c>
      <c r="AH117" s="1" t="s">
        <v>2027</v>
      </c>
      <c r="AI117" s="1" t="s">
        <v>2027</v>
      </c>
      <c r="AJ117" s="1" t="s">
        <v>2027</v>
      </c>
      <c r="AK117" s="1" t="s">
        <v>2027</v>
      </c>
      <c r="AL117" s="1" t="s">
        <v>2027</v>
      </c>
      <c r="AM117" s="1" t="s">
        <v>2027</v>
      </c>
      <c r="AN117" s="1" t="s">
        <v>2027</v>
      </c>
      <c r="AO117" s="31" t="s">
        <v>2027</v>
      </c>
      <c r="AP117" s="1" t="s">
        <v>2034</v>
      </c>
      <c r="AQ117" s="1">
        <v>6</v>
      </c>
      <c r="AR117" s="32">
        <v>0.48</v>
      </c>
      <c r="AS117" s="45" t="s">
        <v>2029</v>
      </c>
      <c r="AT117" s="9">
        <f>($O$3*(L117-$O$1)/$O$2+$P$3*(M117-$P$1)/$P$2+$Q$3*(N117-$P$1)/$Q$2)/SUM($O$3:$Q$3)</f>
        <v>-1.9204977641682581</v>
      </c>
      <c r="AU117" s="9">
        <f>($O$3*(O117-$O$1)/$O$2+$P$3*(P117-$P$1)/$P$2+$Q$3*(Q117-$Q$1)/$Q$2)/SUM($O$3:$Q$3)</f>
        <v>-0.16396734174133493</v>
      </c>
      <c r="AV117">
        <f>COUNT(R117:AO117)/2</f>
        <v>3</v>
      </c>
      <c r="AW117">
        <f>COUNTIF(R117:AO117,"&gt;5")/2</f>
        <v>0.5</v>
      </c>
      <c r="AX117" s="6">
        <f>VLOOKUP(AP117,COND!$A$10:$B$31,2,FALSE)</f>
        <v>1</v>
      </c>
      <c r="AY117" s="9">
        <f>($AT$3*AT117+$AU$3*AU117+$AV$3*AV117+$AW$3*AW117)*AX117*IF(AQ117&lt;5,0.95,IF(AQ117&lt;7,0.975,1))+$J$3*VLOOKUP(J117,[1]Con!$A$2:$C$7,2,FALSE)+$K$3*VLOOKUP(K117,[1]Con!$A$2:$C$7,3,FALSE)+IF(BA117="SP",$BA$3,0)</f>
        <v>31.250014772031157</v>
      </c>
      <c r="AZ117" s="37">
        <f>STANDARDIZE(AY117,AVERAGE($AY$5:$AY$1116),STDEVP($AY$5:$AY$1116))</f>
        <v>-0.21205848677383624</v>
      </c>
      <c r="BA117" t="str">
        <f>IF(OR(AND(AQ117&gt;7,AW117&gt;1),AND(AQ117&gt;4,AV117&gt;2)),"SP","RP")</f>
        <v>SP</v>
      </c>
      <c r="BC117">
        <f>VLOOKUP($A117,'Draft List'!$A$4:$V$530,22,FALSE)</f>
        <v>0</v>
      </c>
      <c r="BE117" t="str">
        <f>IF(AVERAGE($O117:$Q117)&gt;=6,"Likely",IF(AVERAGE($O117:$Q117)&gt;=4,"Possible","Unlikely"))</f>
        <v>Possible</v>
      </c>
      <c r="BG117" t="str">
        <f>IF(VLOOKUP($B117,'Draft List'!$D$4:$AB$2598,BG$3,FALSE)&lt;&gt;0,VLOOKUP($B117,'Draft List'!$D$4:$AB$2598,BG$3,FALSE),"")</f>
        <v/>
      </c>
      <c r="BH117" t="str">
        <f>IF(VLOOKUP($B117,'Draft List'!$D$4:$AB$2598,BH$3,FALSE)&lt;&gt;0,VLOOKUP($B117,'Draft List'!$D$4:$AB$2598,BH$3,FALSE),"")</f>
        <v/>
      </c>
      <c r="BI117" t="str">
        <f>IF(VLOOKUP($B117,'Draft List'!$D$4:$AB$2598,BI$3,FALSE)&lt;&gt;0,VLOOKUP($B117,'Draft List'!$D$4:$AB$2598,BI$3,FALSE),"")</f>
        <v/>
      </c>
      <c r="BJ117" t="str">
        <f>IF(OR(C117="SP",C117="MR",C117="CL"),"P",VLOOKUP($A117,Bat!$A$4:$AP$1287,42,FALSE))</f>
        <v>P</v>
      </c>
    </row>
    <row r="118" spans="1:62">
      <c r="A118" t="str">
        <f>C118&amp;D118&amp;E118</f>
        <v>SPVincente Murillo21</v>
      </c>
      <c r="B118">
        <f>VLOOKUP($A118,draft_listing_pitchers_stats!$A$1:$B$1324,2,FALSE)</f>
        <v>2169</v>
      </c>
      <c r="C118" s="1" t="s">
        <v>2003</v>
      </c>
      <c r="D118" s="1" t="s">
        <v>1034</v>
      </c>
      <c r="E118" s="1">
        <v>21</v>
      </c>
      <c r="F118" s="1" t="s">
        <v>2022</v>
      </c>
      <c r="G118" s="1" t="s">
        <v>2022</v>
      </c>
      <c r="H118" s="1" t="s">
        <v>2033</v>
      </c>
      <c r="I118" s="31" t="s">
        <v>2033</v>
      </c>
      <c r="J118" s="1" t="s">
        <v>2036</v>
      </c>
      <c r="K118" s="31" t="s">
        <v>2025</v>
      </c>
      <c r="L118" s="1">
        <v>4</v>
      </c>
      <c r="M118" s="1">
        <v>4</v>
      </c>
      <c r="N118" s="31">
        <v>2</v>
      </c>
      <c r="O118" s="1">
        <v>4</v>
      </c>
      <c r="P118" s="1">
        <v>5</v>
      </c>
      <c r="Q118" s="31">
        <v>4</v>
      </c>
      <c r="R118" s="1">
        <v>4</v>
      </c>
      <c r="S118" s="1">
        <v>5</v>
      </c>
      <c r="T118" s="1">
        <v>4</v>
      </c>
      <c r="U118" s="1">
        <v>4</v>
      </c>
      <c r="V118" s="1">
        <v>4</v>
      </c>
      <c r="W118" s="1">
        <v>5</v>
      </c>
      <c r="X118" s="1" t="s">
        <v>2027</v>
      </c>
      <c r="Y118" s="1" t="s">
        <v>2027</v>
      </c>
      <c r="Z118" s="1" t="s">
        <v>2027</v>
      </c>
      <c r="AA118" s="1" t="s">
        <v>2027</v>
      </c>
      <c r="AB118" s="1" t="s">
        <v>2027</v>
      </c>
      <c r="AC118" s="1" t="s">
        <v>2027</v>
      </c>
      <c r="AD118" s="1" t="s">
        <v>2027</v>
      </c>
      <c r="AE118" s="1" t="s">
        <v>2027</v>
      </c>
      <c r="AF118" s="1" t="s">
        <v>2027</v>
      </c>
      <c r="AG118" s="1" t="s">
        <v>2027</v>
      </c>
      <c r="AH118" s="1" t="s">
        <v>2027</v>
      </c>
      <c r="AI118" s="1" t="s">
        <v>2027</v>
      </c>
      <c r="AJ118" s="1" t="s">
        <v>2027</v>
      </c>
      <c r="AK118" s="1" t="s">
        <v>2027</v>
      </c>
      <c r="AL118" s="1" t="s">
        <v>2027</v>
      </c>
      <c r="AM118" s="1" t="s">
        <v>2027</v>
      </c>
      <c r="AN118" s="1" t="s">
        <v>2027</v>
      </c>
      <c r="AO118" s="31" t="s">
        <v>2027</v>
      </c>
      <c r="AP118" s="1" t="s">
        <v>2041</v>
      </c>
      <c r="AQ118" s="1">
        <v>6</v>
      </c>
      <c r="AR118" s="32">
        <v>0.48</v>
      </c>
      <c r="AS118" s="45" t="s">
        <v>2029</v>
      </c>
      <c r="AT118" s="9">
        <f>($O$3*(L118-$O$1)/$O$2+$P$3*(M118-$P$1)/$P$2+$Q$3*(N118-$P$1)/$Q$2)/SUM($O$3:$Q$3)</f>
        <v>-1.288794549095801</v>
      </c>
      <c r="AU118" s="9">
        <f>($O$3*(O118-$O$1)/$O$2+$P$3*(P118-$P$1)/$P$2+$Q$3*(Q118-$Q$1)/$Q$2)/SUM($O$3:$Q$3)</f>
        <v>-0.16322694982045299</v>
      </c>
      <c r="AV118">
        <f>COUNT(R118:AO118)/2</f>
        <v>3</v>
      </c>
      <c r="AW118">
        <f>COUNTIF(R118:AO118,"&gt;5")/2</f>
        <v>0</v>
      </c>
      <c r="AX118" s="6">
        <f>VLOOKUP(AP118,COND!$A$10:$B$31,2,FALSE)</f>
        <v>1</v>
      </c>
      <c r="AY118" s="9">
        <f>($AT$3*AT118+$AU$3*AU118+$AV$3*AV118+$AW$3*AW118)*AX118*IF(AQ118&lt;5,0.95,IF(AQ118&lt;7,0.975,1))+$J$3*VLOOKUP(J118,[1]Con!$A$2:$C$7,2,FALSE)+$K$3*VLOOKUP(K118,[1]Con!$A$2:$C$7,3,FALSE)+IF(BA118="SP",$BA$3,0)</f>
        <v>31.078259541427485</v>
      </c>
      <c r="AZ118" s="37">
        <f>STANDARDIZE(AY118,AVERAGE($AY$5:$AY$1116),STDEVP($AY$5:$AY$1116))</f>
        <v>-0.22569354032250172</v>
      </c>
      <c r="BA118" t="str">
        <f>IF(OR(AND(AQ118&gt;7,AW118&gt;1),AND(AQ118&gt;4,AV118&gt;2)),"SP","RP")</f>
        <v>SP</v>
      </c>
      <c r="BC118">
        <f>VLOOKUP($A118,'Draft List'!$A$4:$V$530,22,FALSE)</f>
        <v>0</v>
      </c>
      <c r="BE118" t="str">
        <f>IF(AVERAGE($O118:$Q118)&gt;=6,"Likely",IF(AVERAGE($O118:$Q118)&gt;=4,"Possible","Unlikely"))</f>
        <v>Possible</v>
      </c>
      <c r="BG118" t="str">
        <f>IF(VLOOKUP($B118,'Draft List'!$D$4:$AB$2598,BG$3,FALSE)&lt;&gt;0,VLOOKUP($B118,'Draft List'!$D$4:$AB$2598,BG$3,FALSE),"")</f>
        <v/>
      </c>
      <c r="BH118" t="str">
        <f>IF(VLOOKUP($B118,'Draft List'!$D$4:$AB$2598,BH$3,FALSE)&lt;&gt;0,VLOOKUP($B118,'Draft List'!$D$4:$AB$2598,BH$3,FALSE),"")</f>
        <v/>
      </c>
      <c r="BI118" t="str">
        <f>IF(VLOOKUP($B118,'Draft List'!$D$4:$AB$2598,BI$3,FALSE)&lt;&gt;0,VLOOKUP($B118,'Draft List'!$D$4:$AB$2598,BI$3,FALSE),"")</f>
        <v/>
      </c>
      <c r="BJ118" t="str">
        <f>IF(OR(C118="SP",C118="MR",C118="CL"),"P",VLOOKUP($A118,Bat!$A$4:$AP$1287,42,FALSE))</f>
        <v>P</v>
      </c>
    </row>
    <row r="119" spans="1:62">
      <c r="A119" t="str">
        <f>C119&amp;D119&amp;E119</f>
        <v>MRJúlio Zamora21</v>
      </c>
      <c r="B119">
        <f>VLOOKUP($A119,draft_listing_pitchers_stats!$A$1:$B$1324,2,FALSE)</f>
        <v>7140</v>
      </c>
      <c r="C119" s="1" t="s">
        <v>2021</v>
      </c>
      <c r="D119" s="1" t="s">
        <v>1072</v>
      </c>
      <c r="E119" s="1">
        <v>21</v>
      </c>
      <c r="F119" s="1" t="s">
        <v>2022</v>
      </c>
      <c r="G119" s="1" t="s">
        <v>2022</v>
      </c>
      <c r="H119" s="1" t="s">
        <v>2033</v>
      </c>
      <c r="I119" s="31" t="s">
        <v>2033</v>
      </c>
      <c r="J119" s="1" t="s">
        <v>2026</v>
      </c>
      <c r="K119" s="31" t="s">
        <v>2036</v>
      </c>
      <c r="L119" s="1">
        <v>4</v>
      </c>
      <c r="M119" s="1">
        <v>3</v>
      </c>
      <c r="N119" s="31">
        <v>2</v>
      </c>
      <c r="O119" s="1">
        <v>6</v>
      </c>
      <c r="P119" s="1">
        <v>3</v>
      </c>
      <c r="Q119" s="31">
        <v>4</v>
      </c>
      <c r="R119" s="1">
        <v>4</v>
      </c>
      <c r="S119" s="1">
        <v>5</v>
      </c>
      <c r="T119" s="1">
        <v>2</v>
      </c>
      <c r="U119" s="1">
        <v>4</v>
      </c>
      <c r="V119" s="1" t="s">
        <v>2027</v>
      </c>
      <c r="W119" s="1" t="s">
        <v>2027</v>
      </c>
      <c r="X119" s="1" t="s">
        <v>2027</v>
      </c>
      <c r="Y119" s="1" t="s">
        <v>2027</v>
      </c>
      <c r="Z119" s="1" t="s">
        <v>2027</v>
      </c>
      <c r="AA119" s="1" t="s">
        <v>2027</v>
      </c>
      <c r="AB119" s="1">
        <v>3</v>
      </c>
      <c r="AC119" s="1">
        <v>3</v>
      </c>
      <c r="AD119" s="1" t="s">
        <v>2027</v>
      </c>
      <c r="AE119" s="1" t="s">
        <v>2027</v>
      </c>
      <c r="AF119" s="1">
        <v>5</v>
      </c>
      <c r="AG119" s="1">
        <v>5</v>
      </c>
      <c r="AH119" s="1" t="s">
        <v>2027</v>
      </c>
      <c r="AI119" s="1" t="s">
        <v>2027</v>
      </c>
      <c r="AJ119" s="1" t="s">
        <v>2027</v>
      </c>
      <c r="AK119" s="1" t="s">
        <v>2027</v>
      </c>
      <c r="AL119" s="1" t="s">
        <v>2027</v>
      </c>
      <c r="AM119" s="1" t="s">
        <v>2027</v>
      </c>
      <c r="AN119" s="1" t="s">
        <v>2027</v>
      </c>
      <c r="AO119" s="31" t="s">
        <v>2027</v>
      </c>
      <c r="AP119" s="1" t="s">
        <v>2034</v>
      </c>
      <c r="AQ119" s="1">
        <v>10</v>
      </c>
      <c r="AR119" s="32">
        <v>0.41</v>
      </c>
      <c r="AS119" s="45" t="s">
        <v>2029</v>
      </c>
      <c r="AT119" s="9">
        <f>($O$3*(L119-$O$1)/$O$2+$P$3*(M119-$P$1)/$P$2+$Q$3*(N119-$P$1)/$Q$2)/SUM($O$3:$Q$3)</f>
        <v>-1.4842262655258562</v>
      </c>
      <c r="AU119" s="9">
        <f>($O$3*(O119-$O$1)/$O$2+$P$3*(P119-$P$1)/$P$2+$Q$3*(Q119-$Q$1)/$Q$2)/SUM($O$3:$Q$3)</f>
        <v>-0.16470773366221675</v>
      </c>
      <c r="AV119">
        <f>COUNT(R119:AO119)/2</f>
        <v>4</v>
      </c>
      <c r="AW119">
        <f>COUNTIF(R119:AO119,"&gt;5")/2</f>
        <v>0</v>
      </c>
      <c r="AX119" s="6">
        <f>VLOOKUP(AP119,COND!$A$10:$B$31,2,FALSE)</f>
        <v>1</v>
      </c>
      <c r="AY119" s="9">
        <f>($AT$3*AT119+$AU$3*AU119+$AV$3*AV119+$AW$3*AW119)*AX119*IF(AQ119&lt;5,0.95,IF(AQ119&lt;7,0.975,1))+$J$3*VLOOKUP(J119,[1]Con!$A$2:$C$7,2,FALSE)+$K$3*VLOOKUP(K119,[1]Con!$A$2:$C$7,3,FALSE)+IF(BA119="SP",$BA$3,0)</f>
        <v>30.709000073650493</v>
      </c>
      <c r="AZ119" s="37">
        <f>STANDARDIZE(AY119,AVERAGE($AY$5:$AY$1116),STDEVP($AY$5:$AY$1116))</f>
        <v>-0.25500777196944957</v>
      </c>
      <c r="BA119" t="str">
        <f>IF(OR(AND(AQ119&gt;7,AW119&gt;1),AND(AQ119&gt;4,AV119&gt;2)),"SP","RP")</f>
        <v>SP</v>
      </c>
      <c r="BC119">
        <f>VLOOKUP($A119,'Draft List'!$A$4:$V$530,22,FALSE)</f>
        <v>0</v>
      </c>
      <c r="BE119" t="str">
        <f>IF(AVERAGE($O119:$Q119)&gt;=6,"Likely",IF(AVERAGE($O119:$Q119)&gt;=4,"Possible","Unlikely"))</f>
        <v>Possible</v>
      </c>
      <c r="BG119" t="str">
        <f>IF(VLOOKUP($B119,'Draft List'!$D$4:$AB$2598,BG$3,FALSE)&lt;&gt;0,VLOOKUP($B119,'Draft List'!$D$4:$AB$2598,BG$3,FALSE),"")</f>
        <v/>
      </c>
      <c r="BH119" t="str">
        <f>IF(VLOOKUP($B119,'Draft List'!$D$4:$AB$2598,BH$3,FALSE)&lt;&gt;0,VLOOKUP($B119,'Draft List'!$D$4:$AB$2598,BH$3,FALSE),"")</f>
        <v/>
      </c>
      <c r="BI119" t="str">
        <f>IF(VLOOKUP($B119,'Draft List'!$D$4:$AB$2598,BI$3,FALSE)&lt;&gt;0,VLOOKUP($B119,'Draft List'!$D$4:$AB$2598,BI$3,FALSE),"")</f>
        <v/>
      </c>
      <c r="BJ119" t="str">
        <f>IF(OR(C119="SP",C119="MR",C119="CL"),"P",VLOOKUP($A119,Bat!$A$4:$AP$1287,42,FALSE))</f>
        <v>P</v>
      </c>
    </row>
    <row r="120" spans="1:62">
      <c r="A120" t="str">
        <f>C120&amp;D120&amp;E120</f>
        <v>MREdmond Pals21</v>
      </c>
      <c r="B120">
        <f>VLOOKUP($A120,draft_listing_pitchers_stats!$A$1:$B$1324,2,FALSE)</f>
        <v>6410</v>
      </c>
      <c r="C120" s="1" t="s">
        <v>2021</v>
      </c>
      <c r="D120" s="1" t="s">
        <v>1038</v>
      </c>
      <c r="E120" s="1">
        <v>21</v>
      </c>
      <c r="F120" s="1" t="s">
        <v>2022</v>
      </c>
      <c r="G120" s="1" t="s">
        <v>2022</v>
      </c>
      <c r="H120" s="1" t="s">
        <v>2033</v>
      </c>
      <c r="I120" s="31" t="s">
        <v>2033</v>
      </c>
      <c r="J120" s="1" t="s">
        <v>2025</v>
      </c>
      <c r="K120" s="31" t="s">
        <v>2026</v>
      </c>
      <c r="L120" s="1">
        <v>3</v>
      </c>
      <c r="M120" s="1">
        <v>4</v>
      </c>
      <c r="N120" s="31">
        <v>2</v>
      </c>
      <c r="O120" s="1">
        <v>4</v>
      </c>
      <c r="P120" s="1">
        <v>4</v>
      </c>
      <c r="Q120" s="31">
        <v>5</v>
      </c>
      <c r="R120" s="1" t="s">
        <v>2027</v>
      </c>
      <c r="S120" s="1" t="s">
        <v>2027</v>
      </c>
      <c r="T120" s="1">
        <v>3</v>
      </c>
      <c r="U120" s="1">
        <v>4</v>
      </c>
      <c r="V120" s="1">
        <v>3</v>
      </c>
      <c r="W120" s="1">
        <v>4</v>
      </c>
      <c r="X120" s="1">
        <v>2</v>
      </c>
      <c r="Y120" s="1">
        <v>3</v>
      </c>
      <c r="Z120" s="1" t="s">
        <v>2027</v>
      </c>
      <c r="AA120" s="1" t="s">
        <v>2027</v>
      </c>
      <c r="AB120" s="1" t="s">
        <v>2027</v>
      </c>
      <c r="AC120" s="1" t="s">
        <v>2027</v>
      </c>
      <c r="AD120" s="1">
        <v>4</v>
      </c>
      <c r="AE120" s="1">
        <v>4</v>
      </c>
      <c r="AF120" s="1" t="s">
        <v>2027</v>
      </c>
      <c r="AG120" s="1" t="s">
        <v>2027</v>
      </c>
      <c r="AH120" s="1" t="s">
        <v>2027</v>
      </c>
      <c r="AI120" s="1" t="s">
        <v>2027</v>
      </c>
      <c r="AJ120" s="1" t="s">
        <v>2027</v>
      </c>
      <c r="AK120" s="1" t="s">
        <v>2027</v>
      </c>
      <c r="AL120" s="1" t="s">
        <v>2027</v>
      </c>
      <c r="AM120" s="1" t="s">
        <v>2027</v>
      </c>
      <c r="AN120" s="1" t="s">
        <v>2027</v>
      </c>
      <c r="AO120" s="31" t="s">
        <v>2027</v>
      </c>
      <c r="AP120" s="1" t="s">
        <v>2034</v>
      </c>
      <c r="AQ120" s="1">
        <v>7</v>
      </c>
      <c r="AR120" s="32">
        <v>0.47</v>
      </c>
      <c r="AS120" s="45" t="s">
        <v>2029</v>
      </c>
      <c r="AT120" s="9">
        <f>($O$3*(L120-$O$1)/$O$2+$P$3*(M120-$P$1)/$P$2+$Q$3*(N120-$P$1)/$Q$2)/SUM($O$3:$Q$3)</f>
        <v>-1.4834858736049745</v>
      </c>
      <c r="AU120" s="9">
        <f>($O$3*(O120-$O$1)/$O$2+$P$3*(P120-$P$1)/$P$2+$Q$3*(Q120-$Q$1)/$Q$2)/SUM($O$3:$Q$3)</f>
        <v>-0.11633810019639811</v>
      </c>
      <c r="AV120">
        <f>COUNT(R120:AO120)/2</f>
        <v>4</v>
      </c>
      <c r="AW120">
        <f>COUNTIF(R120:AO120,"&gt;5")/2</f>
        <v>0</v>
      </c>
      <c r="AX120" s="6">
        <f>VLOOKUP(AP120,COND!$A$10:$B$31,2,FALSE)</f>
        <v>1</v>
      </c>
      <c r="AY120" s="9">
        <f>($AT$3*AT120+$AU$3*AU120+$AV$3*AV120+$AW$3*AW120)*AX120*IF(AQ120&lt;5,0.95,IF(AQ120&lt;7,0.975,1))+$J$3*VLOOKUP(J120,[1]Con!$A$2:$C$7,2,FALSE)+$K$3*VLOOKUP(K120,[1]Con!$A$2:$C$7,3,FALSE)+IF(BA120="SP",$BA$3,0)</f>
        <v>30.626540821351043</v>
      </c>
      <c r="AZ120" s="37">
        <f>STANDARDIZE(AY120,AVERAGE($AY$5:$AY$1116),STDEVP($AY$5:$AY$1116))</f>
        <v>-0.26155392673128242</v>
      </c>
      <c r="BA120" t="str">
        <f>IF(OR(AND(AQ120&gt;7,AW120&gt;1),AND(AQ120&gt;4,AV120&gt;2)),"SP","RP")</f>
        <v>SP</v>
      </c>
      <c r="BC120">
        <f>VLOOKUP($A120,'Draft List'!$A$4:$V$530,22,FALSE)</f>
        <v>0</v>
      </c>
      <c r="BE120" t="str">
        <f>IF(AVERAGE($O120:$Q120)&gt;=6,"Likely",IF(AVERAGE($O120:$Q120)&gt;=4,"Possible","Unlikely"))</f>
        <v>Possible</v>
      </c>
      <c r="BG120" t="str">
        <f>IF(VLOOKUP($B120,'Draft List'!$D$4:$AB$2598,BG$3,FALSE)&lt;&gt;0,VLOOKUP($B120,'Draft List'!$D$4:$AB$2598,BG$3,FALSE),"")</f>
        <v/>
      </c>
      <c r="BH120" t="str">
        <f>IF(VLOOKUP($B120,'Draft List'!$D$4:$AB$2598,BH$3,FALSE)&lt;&gt;0,VLOOKUP($B120,'Draft List'!$D$4:$AB$2598,BH$3,FALSE),"")</f>
        <v/>
      </c>
      <c r="BI120" t="str">
        <f>IF(VLOOKUP($B120,'Draft List'!$D$4:$AB$2598,BI$3,FALSE)&lt;&gt;0,VLOOKUP($B120,'Draft List'!$D$4:$AB$2598,BI$3,FALSE),"")</f>
        <v/>
      </c>
      <c r="BJ120" t="str">
        <f>IF(OR(C120="SP",C120="MR",C120="CL"),"P",VLOOKUP($A120,Bat!$A$4:$AP$1287,42,FALSE))</f>
        <v>P</v>
      </c>
    </row>
    <row r="121" spans="1:62">
      <c r="A121" t="str">
        <f>C121&amp;D121&amp;E121</f>
        <v>MRFilip de Gast21</v>
      </c>
      <c r="B121">
        <f>VLOOKUP($A121,draft_listing_pitchers_stats!$A$1:$B$1324,2,FALSE)</f>
        <v>1957</v>
      </c>
      <c r="C121" s="1" t="s">
        <v>2021</v>
      </c>
      <c r="D121" s="1" t="s">
        <v>1192</v>
      </c>
      <c r="E121" s="1">
        <v>21</v>
      </c>
      <c r="F121" s="1" t="s">
        <v>2049</v>
      </c>
      <c r="G121" s="1" t="s">
        <v>2022</v>
      </c>
      <c r="H121" s="1" t="s">
        <v>2033</v>
      </c>
      <c r="I121" s="31" t="s">
        <v>2033</v>
      </c>
      <c r="J121" s="1" t="s">
        <v>2025</v>
      </c>
      <c r="K121" s="31" t="s">
        <v>2025</v>
      </c>
      <c r="L121" s="1">
        <v>4</v>
      </c>
      <c r="M121" s="1">
        <v>4</v>
      </c>
      <c r="N121" s="31">
        <v>2</v>
      </c>
      <c r="O121" s="1">
        <v>5</v>
      </c>
      <c r="P121" s="1">
        <v>4</v>
      </c>
      <c r="Q121" s="31">
        <v>4</v>
      </c>
      <c r="R121" s="1">
        <v>5</v>
      </c>
      <c r="S121" s="1">
        <v>6</v>
      </c>
      <c r="T121" s="1">
        <v>3</v>
      </c>
      <c r="U121" s="1">
        <v>4</v>
      </c>
      <c r="V121" s="1" t="s">
        <v>2027</v>
      </c>
      <c r="W121" s="1" t="s">
        <v>2027</v>
      </c>
      <c r="X121" s="1">
        <v>4</v>
      </c>
      <c r="Y121" s="1">
        <v>5</v>
      </c>
      <c r="Z121" s="1" t="s">
        <v>2027</v>
      </c>
      <c r="AA121" s="1" t="s">
        <v>2027</v>
      </c>
      <c r="AB121" s="1" t="s">
        <v>2027</v>
      </c>
      <c r="AC121" s="1" t="s">
        <v>2027</v>
      </c>
      <c r="AD121" s="1" t="s">
        <v>2027</v>
      </c>
      <c r="AE121" s="1" t="s">
        <v>2027</v>
      </c>
      <c r="AF121" s="1" t="s">
        <v>2027</v>
      </c>
      <c r="AG121" s="1" t="s">
        <v>2027</v>
      </c>
      <c r="AH121" s="1" t="s">
        <v>2027</v>
      </c>
      <c r="AI121" s="1" t="s">
        <v>2027</v>
      </c>
      <c r="AJ121" s="1" t="s">
        <v>2027</v>
      </c>
      <c r="AK121" s="1" t="s">
        <v>2027</v>
      </c>
      <c r="AL121" s="1" t="s">
        <v>2027</v>
      </c>
      <c r="AM121" s="1" t="s">
        <v>2027</v>
      </c>
      <c r="AN121" s="1" t="s">
        <v>2027</v>
      </c>
      <c r="AO121" s="31" t="s">
        <v>2027</v>
      </c>
      <c r="AP121" s="1" t="s">
        <v>2044</v>
      </c>
      <c r="AQ121" s="1">
        <v>5</v>
      </c>
      <c r="AR121" s="32">
        <v>0.52</v>
      </c>
      <c r="AS121" s="45" t="s">
        <v>2029</v>
      </c>
      <c r="AT121" s="9">
        <f>($O$3*(L121-$O$1)/$O$2+$P$3*(M121-$P$1)/$P$2+$Q$3*(N121-$P$1)/$Q$2)/SUM($O$3:$Q$3)</f>
        <v>-1.288794549095801</v>
      </c>
      <c r="AU121" s="9">
        <f>($O$3*(O121-$O$1)/$O$2+$P$3*(P121-$P$1)/$P$2+$Q$3*(Q121-$Q$1)/$Q$2)/SUM($O$3:$Q$3)</f>
        <v>-0.16396734174133493</v>
      </c>
      <c r="AV121">
        <f>COUNT(R121:AO121)/2</f>
        <v>3</v>
      </c>
      <c r="AW121">
        <f>COUNTIF(R121:AO121,"&gt;5")/2</f>
        <v>0.5</v>
      </c>
      <c r="AX121" s="6">
        <f>VLOOKUP(AP121,COND!$A$10:$B$31,2,FALSE)</f>
        <v>1</v>
      </c>
      <c r="AY121" s="9">
        <f>($AT$3*AT121+$AU$3*AU121+$AV$3*AV121+$AW$3*AW121)*AX121*IF(AQ121&lt;5,0.95,IF(AQ121&lt;7,0.975,1))+$J$3*VLOOKUP(J121,[1]Con!$A$2:$C$7,2,FALSE)+$K$3*VLOOKUP(K121,[1]Con!$A$2:$C$7,3,FALSE)+IF(BA121="SP",$BA$3,0)</f>
        <v>30.623196898970285</v>
      </c>
      <c r="AZ121" s="37">
        <f>STANDARDIZE(AY121,AVERAGE($AY$5:$AY$1116),STDEVP($AY$5:$AY$1116))</f>
        <v>-0.26181938916036801</v>
      </c>
      <c r="BA121" t="str">
        <f>IF(OR(AND(AQ121&gt;7,AW121&gt;1),AND(AQ121&gt;4,AV121&gt;2)),"SP","RP")</f>
        <v>SP</v>
      </c>
      <c r="BC121">
        <f>VLOOKUP($A121,'Draft List'!$A$4:$V$530,22,FALSE)</f>
        <v>0</v>
      </c>
      <c r="BE121" t="str">
        <f>IF(AVERAGE($O121:$Q121)&gt;=6,"Likely",IF(AVERAGE($O121:$Q121)&gt;=4,"Possible","Unlikely"))</f>
        <v>Possible</v>
      </c>
      <c r="BG121" t="str">
        <f>IF(VLOOKUP($B121,'Draft List'!$D$4:$AB$2598,BG$3,FALSE)&lt;&gt;0,VLOOKUP($B121,'Draft List'!$D$4:$AB$2598,BG$3,FALSE),"")</f>
        <v/>
      </c>
      <c r="BH121" t="str">
        <f>IF(VLOOKUP($B121,'Draft List'!$D$4:$AB$2598,BH$3,FALSE)&lt;&gt;0,VLOOKUP($B121,'Draft List'!$D$4:$AB$2598,BH$3,FALSE),"")</f>
        <v/>
      </c>
      <c r="BI121" t="str">
        <f>IF(VLOOKUP($B121,'Draft List'!$D$4:$AB$2598,BI$3,FALSE)&lt;&gt;0,VLOOKUP($B121,'Draft List'!$D$4:$AB$2598,BI$3,FALSE),"")</f>
        <v/>
      </c>
      <c r="BJ121" t="str">
        <f>IF(OR(C121="SP",C121="MR",C121="CL"),"P",VLOOKUP($A121,Bat!$A$4:$AP$1287,42,FALSE))</f>
        <v>P</v>
      </c>
    </row>
    <row r="122" spans="1:62">
      <c r="A122" t="str">
        <f>C122&amp;D122&amp;E122</f>
        <v>MRKenneth Colón21</v>
      </c>
      <c r="B122">
        <f>VLOOKUP($A122,draft_listing_pitchers_stats!$A$1:$B$1324,2,FALSE)</f>
        <v>7170</v>
      </c>
      <c r="C122" s="1" t="s">
        <v>2021</v>
      </c>
      <c r="D122" s="1" t="s">
        <v>1188</v>
      </c>
      <c r="E122" s="1">
        <v>21</v>
      </c>
      <c r="F122" s="1" t="s">
        <v>2022</v>
      </c>
      <c r="G122" s="1" t="s">
        <v>2022</v>
      </c>
      <c r="H122" s="1" t="s">
        <v>2033</v>
      </c>
      <c r="I122" s="31" t="s">
        <v>2033</v>
      </c>
      <c r="J122" s="1" t="s">
        <v>2025</v>
      </c>
      <c r="K122" s="31" t="s">
        <v>2025</v>
      </c>
      <c r="L122" s="1">
        <v>4</v>
      </c>
      <c r="M122" s="1">
        <v>4</v>
      </c>
      <c r="N122" s="31">
        <v>2</v>
      </c>
      <c r="O122" s="1">
        <v>5</v>
      </c>
      <c r="P122" s="1">
        <v>4</v>
      </c>
      <c r="Q122" s="31">
        <v>4</v>
      </c>
      <c r="R122" s="1">
        <v>5</v>
      </c>
      <c r="S122" s="1">
        <v>6</v>
      </c>
      <c r="T122" s="1">
        <v>3</v>
      </c>
      <c r="U122" s="1">
        <v>3</v>
      </c>
      <c r="V122" s="1">
        <v>3</v>
      </c>
      <c r="W122" s="1">
        <v>4</v>
      </c>
      <c r="X122" s="1" t="s">
        <v>2027</v>
      </c>
      <c r="Y122" s="1" t="s">
        <v>2027</v>
      </c>
      <c r="Z122" s="1" t="s">
        <v>2027</v>
      </c>
      <c r="AA122" s="1" t="s">
        <v>2027</v>
      </c>
      <c r="AB122" s="1" t="s">
        <v>2027</v>
      </c>
      <c r="AC122" s="1" t="s">
        <v>2027</v>
      </c>
      <c r="AD122" s="1" t="s">
        <v>2027</v>
      </c>
      <c r="AE122" s="1" t="s">
        <v>2027</v>
      </c>
      <c r="AF122" s="1" t="s">
        <v>2027</v>
      </c>
      <c r="AG122" s="1" t="s">
        <v>2027</v>
      </c>
      <c r="AH122" s="1" t="s">
        <v>2027</v>
      </c>
      <c r="AI122" s="1" t="s">
        <v>2027</v>
      </c>
      <c r="AJ122" s="1" t="s">
        <v>2027</v>
      </c>
      <c r="AK122" s="1" t="s">
        <v>2027</v>
      </c>
      <c r="AL122" s="1" t="s">
        <v>2027</v>
      </c>
      <c r="AM122" s="1" t="s">
        <v>2027</v>
      </c>
      <c r="AN122" s="1" t="s">
        <v>2027</v>
      </c>
      <c r="AO122" s="31" t="s">
        <v>2027</v>
      </c>
      <c r="AP122" s="1" t="s">
        <v>2047</v>
      </c>
      <c r="AQ122" s="1">
        <v>8</v>
      </c>
      <c r="AR122" s="32">
        <v>0.45</v>
      </c>
      <c r="AS122" s="45" t="s">
        <v>2029</v>
      </c>
      <c r="AT122" s="9">
        <f>($O$3*(L122-$O$1)/$O$2+$P$3*(M122-$P$1)/$P$2+$Q$3*(N122-$P$1)/$Q$2)/SUM($O$3:$Q$3)</f>
        <v>-1.288794549095801</v>
      </c>
      <c r="AU122" s="9">
        <f>($O$3*(O122-$O$1)/$O$2+$P$3*(P122-$P$1)/$P$2+$Q$3*(Q122-$Q$1)/$Q$2)/SUM($O$3:$Q$3)</f>
        <v>-0.16396734174133493</v>
      </c>
      <c r="AV122">
        <f>COUNT(R122:AO122)/2</f>
        <v>3</v>
      </c>
      <c r="AW122">
        <f>COUNTIF(R122:AO122,"&gt;5")/2</f>
        <v>0.5</v>
      </c>
      <c r="AX122" s="6">
        <f>VLOOKUP(AP122,COND!$A$10:$B$31,2,FALSE)</f>
        <v>1.0249999999999999</v>
      </c>
      <c r="AY122" s="9">
        <f>($AT$3*AT122+$AU$3*AU122+$AV$3*AV122+$AW$3*AW122)*AX122*IF(AQ122&lt;5,0.95,IF(AQ122&lt;7,0.975,1))+$J$3*VLOOKUP(J122,[1]Con!$A$2:$C$7,2,FALSE)+$K$3*VLOOKUP(K122,[1]Con!$A$2:$C$7,3,FALSE)+IF(BA122="SP",$BA$3,0)</f>
        <v>30.552591611737995</v>
      </c>
      <c r="AZ122" s="37">
        <f>STANDARDIZE(AY122,AVERAGE($AY$5:$AY$1116),STDEVP($AY$5:$AY$1116))</f>
        <v>-0.26742449864581153</v>
      </c>
      <c r="BA122" t="str">
        <f>IF(OR(AND(AQ122&gt;7,AW122&gt;1),AND(AQ122&gt;4,AV122&gt;2)),"SP","RP")</f>
        <v>SP</v>
      </c>
      <c r="BC122">
        <f>VLOOKUP($A122,'Draft List'!$A$4:$V$530,22,FALSE)</f>
        <v>0</v>
      </c>
      <c r="BE122" t="str">
        <f>IF(AVERAGE($O122:$Q122)&gt;=6,"Likely",IF(AVERAGE($O122:$Q122)&gt;=4,"Possible","Unlikely"))</f>
        <v>Possible</v>
      </c>
      <c r="BG122" t="str">
        <f>IF(VLOOKUP($B122,'Draft List'!$D$4:$AB$2598,BG$3,FALSE)&lt;&gt;0,VLOOKUP($B122,'Draft List'!$D$4:$AB$2598,BG$3,FALSE),"")</f>
        <v/>
      </c>
      <c r="BH122" t="str">
        <f>IF(VLOOKUP($B122,'Draft List'!$D$4:$AB$2598,BH$3,FALSE)&lt;&gt;0,VLOOKUP($B122,'Draft List'!$D$4:$AB$2598,BH$3,FALSE),"")</f>
        <v/>
      </c>
      <c r="BI122" t="str">
        <f>IF(VLOOKUP($B122,'Draft List'!$D$4:$AB$2598,BI$3,FALSE)&lt;&gt;0,VLOOKUP($B122,'Draft List'!$D$4:$AB$2598,BI$3,FALSE),"")</f>
        <v/>
      </c>
      <c r="BJ122" t="str">
        <f>IF(OR(C122="SP",C122="MR",C122="CL"),"P",VLOOKUP($A122,Bat!$A$4:$AP$1287,42,FALSE))</f>
        <v>P</v>
      </c>
    </row>
    <row r="123" spans="1:62">
      <c r="A123" t="str">
        <f>C123&amp;D123&amp;E123</f>
        <v>SPMike Morgan21</v>
      </c>
      <c r="B123">
        <f>VLOOKUP($A123,draft_listing_pitchers_stats!$A$1:$B$1324,2,FALSE)</f>
        <v>2467</v>
      </c>
      <c r="C123" s="1" t="s">
        <v>2003</v>
      </c>
      <c r="D123" s="1" t="s">
        <v>1140</v>
      </c>
      <c r="E123" s="1">
        <v>21</v>
      </c>
      <c r="F123" s="1" t="s">
        <v>2022</v>
      </c>
      <c r="G123" s="1" t="s">
        <v>2022</v>
      </c>
      <c r="H123" s="1" t="s">
        <v>2033</v>
      </c>
      <c r="I123" s="31" t="s">
        <v>2023</v>
      </c>
      <c r="J123" s="1" t="s">
        <v>2025</v>
      </c>
      <c r="K123" s="31" t="s">
        <v>2026</v>
      </c>
      <c r="L123" s="1">
        <v>4</v>
      </c>
      <c r="M123" s="1">
        <v>4</v>
      </c>
      <c r="N123" s="31">
        <v>3</v>
      </c>
      <c r="O123" s="1">
        <v>5</v>
      </c>
      <c r="P123" s="1">
        <v>4</v>
      </c>
      <c r="Q123" s="31">
        <v>4</v>
      </c>
      <c r="R123" s="1">
        <v>6</v>
      </c>
      <c r="S123" s="1">
        <v>7</v>
      </c>
      <c r="T123" s="1">
        <v>4</v>
      </c>
      <c r="U123" s="1">
        <v>4</v>
      </c>
      <c r="V123" s="1" t="s">
        <v>2027</v>
      </c>
      <c r="W123" s="1" t="s">
        <v>2027</v>
      </c>
      <c r="X123" s="1" t="s">
        <v>2027</v>
      </c>
      <c r="Y123" s="1" t="s">
        <v>2027</v>
      </c>
      <c r="Z123" s="1" t="s">
        <v>2027</v>
      </c>
      <c r="AA123" s="1" t="s">
        <v>2027</v>
      </c>
      <c r="AB123" s="1">
        <v>5</v>
      </c>
      <c r="AC123" s="1">
        <v>5</v>
      </c>
      <c r="AD123" s="1" t="s">
        <v>2027</v>
      </c>
      <c r="AE123" s="1" t="s">
        <v>2027</v>
      </c>
      <c r="AF123" s="1" t="s">
        <v>2027</v>
      </c>
      <c r="AG123" s="1" t="s">
        <v>2027</v>
      </c>
      <c r="AH123" s="1" t="s">
        <v>2027</v>
      </c>
      <c r="AI123" s="1" t="s">
        <v>2027</v>
      </c>
      <c r="AJ123" s="1" t="s">
        <v>2027</v>
      </c>
      <c r="AK123" s="1" t="s">
        <v>2027</v>
      </c>
      <c r="AL123" s="1" t="s">
        <v>2027</v>
      </c>
      <c r="AM123" s="1" t="s">
        <v>2027</v>
      </c>
      <c r="AN123" s="1" t="s">
        <v>2027</v>
      </c>
      <c r="AO123" s="31" t="s">
        <v>2027</v>
      </c>
      <c r="AP123" s="1" t="s">
        <v>2048</v>
      </c>
      <c r="AQ123" s="1">
        <v>6</v>
      </c>
      <c r="AR123" s="32">
        <v>0.53</v>
      </c>
      <c r="AS123" s="45" t="s">
        <v>2029</v>
      </c>
      <c r="AT123" s="9">
        <f>($O$3*(L123-$O$1)/$O$2+$P$3*(M123-$P$1)/$P$2+$Q$3*(N123-$P$1)/$Q$2)/SUM($O$3:$Q$3)</f>
        <v>-1.0464739830416905</v>
      </c>
      <c r="AU123" s="9">
        <f>($O$3*(O123-$O$1)/$O$2+$P$3*(P123-$P$1)/$P$2+$Q$3*(Q123-$Q$1)/$Q$2)/SUM($O$3:$Q$3)</f>
        <v>-0.16396734174133493</v>
      </c>
      <c r="AV123">
        <f>COUNT(R123:AO123)/2</f>
        <v>3</v>
      </c>
      <c r="AW123">
        <f>COUNTIF(R123:AO123,"&gt;5")/2</f>
        <v>1</v>
      </c>
      <c r="AX123" s="6">
        <f>VLOOKUP(AP123,COND!$A$10:$B$31,2,FALSE)</f>
        <v>1.05</v>
      </c>
      <c r="AY123" s="9">
        <f>($AT$3*AT123+$AU$3*AU123+$AV$3*AV123+$AW$3*AW123)*AX123*IF(AQ123&lt;5,0.95,IF(AQ123&lt;7,0.975,1))+$J$3*VLOOKUP(J123,[1]Con!$A$2:$C$7,2,FALSE)+$K$3*VLOOKUP(K123,[1]Con!$A$2:$C$7,3,FALSE)+IF(BA123="SP",$BA$3,0)</f>
        <v>30.493815629818378</v>
      </c>
      <c r="AZ123" s="37">
        <f>STANDARDIZE(AY123,AVERAGE($AY$5:$AY$1116),STDEVP($AY$5:$AY$1116))</f>
        <v>-0.27209052050746091</v>
      </c>
      <c r="BA123" t="str">
        <f>IF(OR(AND(AQ123&gt;7,AW123&gt;1),AND(AQ123&gt;4,AV123&gt;2)),"SP","RP")</f>
        <v>SP</v>
      </c>
      <c r="BC123">
        <f>VLOOKUP($A123,'Draft List'!$A$4:$V$530,22,FALSE)</f>
        <v>0</v>
      </c>
      <c r="BE123" t="str">
        <f>IF(AVERAGE($O123:$Q123)&gt;=6,"Likely",IF(AVERAGE($O123:$Q123)&gt;=4,"Possible","Unlikely"))</f>
        <v>Possible</v>
      </c>
      <c r="BG123" t="str">
        <f>IF(VLOOKUP($B123,'Draft List'!$D$4:$AB$2598,BG$3,FALSE)&lt;&gt;0,VLOOKUP($B123,'Draft List'!$D$4:$AB$2598,BG$3,FALSE),"")</f>
        <v/>
      </c>
      <c r="BH123" t="str">
        <f>IF(VLOOKUP($B123,'Draft List'!$D$4:$AB$2598,BH$3,FALSE)&lt;&gt;0,VLOOKUP($B123,'Draft List'!$D$4:$AB$2598,BH$3,FALSE),"")</f>
        <v/>
      </c>
      <c r="BI123" t="str">
        <f>IF(VLOOKUP($B123,'Draft List'!$D$4:$AB$2598,BI$3,FALSE)&lt;&gt;0,VLOOKUP($B123,'Draft List'!$D$4:$AB$2598,BI$3,FALSE),"")</f>
        <v/>
      </c>
      <c r="BJ123" t="str">
        <f>IF(OR(C123="SP",C123="MR",C123="CL"),"P",VLOOKUP($A123,Bat!$A$4:$AP$1287,42,FALSE))</f>
        <v>P</v>
      </c>
    </row>
    <row r="124" spans="1:62">
      <c r="A124" t="str">
        <f>C124&amp;D124&amp;E124</f>
        <v>SPGerard Ladner21</v>
      </c>
      <c r="B124">
        <f>VLOOKUP($A124,draft_listing_pitchers_stats!$A$1:$B$1324,2,FALSE)</f>
        <v>6730</v>
      </c>
      <c r="C124" s="1" t="s">
        <v>2003</v>
      </c>
      <c r="D124" s="1" t="s">
        <v>1015</v>
      </c>
      <c r="E124" s="1">
        <v>21</v>
      </c>
      <c r="F124" s="1" t="s">
        <v>2022</v>
      </c>
      <c r="G124" s="1" t="s">
        <v>2022</v>
      </c>
      <c r="H124" s="1" t="s">
        <v>2033</v>
      </c>
      <c r="I124" s="31" t="s">
        <v>2033</v>
      </c>
      <c r="J124" s="1" t="s">
        <v>2025</v>
      </c>
      <c r="K124" s="31" t="s">
        <v>2025</v>
      </c>
      <c r="L124" s="1">
        <v>4</v>
      </c>
      <c r="M124" s="1">
        <v>4</v>
      </c>
      <c r="N124" s="31">
        <v>1</v>
      </c>
      <c r="O124" s="1">
        <v>5</v>
      </c>
      <c r="P124" s="1">
        <v>4</v>
      </c>
      <c r="Q124" s="31">
        <v>4</v>
      </c>
      <c r="R124" s="1" t="s">
        <v>2027</v>
      </c>
      <c r="S124" s="1" t="s">
        <v>2027</v>
      </c>
      <c r="T124" s="1">
        <v>2</v>
      </c>
      <c r="U124" s="1">
        <v>4</v>
      </c>
      <c r="V124" s="1" t="s">
        <v>2027</v>
      </c>
      <c r="W124" s="1" t="s">
        <v>2027</v>
      </c>
      <c r="X124" s="1">
        <v>4</v>
      </c>
      <c r="Y124" s="1">
        <v>5</v>
      </c>
      <c r="Z124" s="1" t="s">
        <v>2027</v>
      </c>
      <c r="AA124" s="1" t="s">
        <v>2027</v>
      </c>
      <c r="AB124" s="1">
        <v>5</v>
      </c>
      <c r="AC124" s="1">
        <v>5</v>
      </c>
      <c r="AD124" s="1">
        <v>4</v>
      </c>
      <c r="AE124" s="1">
        <v>4</v>
      </c>
      <c r="AF124" s="1" t="s">
        <v>2027</v>
      </c>
      <c r="AG124" s="1" t="s">
        <v>2027</v>
      </c>
      <c r="AH124" s="1" t="s">
        <v>2027</v>
      </c>
      <c r="AI124" s="1" t="s">
        <v>2027</v>
      </c>
      <c r="AJ124" s="1" t="s">
        <v>2027</v>
      </c>
      <c r="AK124" s="1" t="s">
        <v>2027</v>
      </c>
      <c r="AL124" s="1" t="s">
        <v>2027</v>
      </c>
      <c r="AM124" s="1" t="s">
        <v>2027</v>
      </c>
      <c r="AN124" s="1" t="s">
        <v>2027</v>
      </c>
      <c r="AO124" s="31" t="s">
        <v>2027</v>
      </c>
      <c r="AP124" s="1" t="s">
        <v>2042</v>
      </c>
      <c r="AQ124" s="1">
        <v>5</v>
      </c>
      <c r="AR124" s="32">
        <v>0.42</v>
      </c>
      <c r="AS124" s="45" t="s">
        <v>2029</v>
      </c>
      <c r="AT124" s="9">
        <f>($O$3*(L124-$O$1)/$O$2+$P$3*(M124-$P$1)/$P$2+$Q$3*(N124-$P$1)/$Q$2)/SUM($O$3:$Q$3)</f>
        <v>-1.5311151151499114</v>
      </c>
      <c r="AU124" s="9">
        <f>($O$3*(O124-$O$1)/$O$2+$P$3*(P124-$P$1)/$P$2+$Q$3*(Q124-$Q$1)/$Q$2)/SUM($O$3:$Q$3)</f>
        <v>-0.16396734174133493</v>
      </c>
      <c r="AV124">
        <f>COUNT(R124:AO124)/2</f>
        <v>4</v>
      </c>
      <c r="AW124">
        <f>COUNTIF(R124:AO124,"&gt;5")/2</f>
        <v>0</v>
      </c>
      <c r="AX124" s="6">
        <f>VLOOKUP(AP124,COND!$A$10:$B$31,2,FALSE)</f>
        <v>1</v>
      </c>
      <c r="AY124" s="9">
        <f>($AT$3*AT124+$AU$3*AU124+$AV$3*AV124+$AW$3*AW124)*AX124*IF(AQ124&lt;5,0.95,IF(AQ124&lt;7,0.975,1))+$J$3*VLOOKUP(J124,[1]Con!$A$2:$C$7,2,FALSE)+$K$3*VLOOKUP(K124,[1]Con!$A$2:$C$7,3,FALSE)+IF(BA124="SP",$BA$3,0)</f>
        <v>30.454069388589737</v>
      </c>
      <c r="AZ124" s="37">
        <f>STANDARDIZE(AY124,AVERAGE($AY$5:$AY$1116),STDEVP($AY$5:$AY$1116))</f>
        <v>-0.2752458370914504</v>
      </c>
      <c r="BA124" t="str">
        <f>IF(OR(AND(AQ124&gt;7,AW124&gt;1),AND(AQ124&gt;4,AV124&gt;2)),"SP","RP")</f>
        <v>SP</v>
      </c>
      <c r="BC124">
        <f>VLOOKUP($A124,'Draft List'!$A$4:$V$530,22,FALSE)</f>
        <v>0</v>
      </c>
      <c r="BE124" t="str">
        <f>IF(AVERAGE($O124:$Q124)&gt;=6,"Likely",IF(AVERAGE($O124:$Q124)&gt;=4,"Possible","Unlikely"))</f>
        <v>Possible</v>
      </c>
      <c r="BG124" t="str">
        <f>IF(VLOOKUP($B124,'Draft List'!$D$4:$AB$2598,BG$3,FALSE)&lt;&gt;0,VLOOKUP($B124,'Draft List'!$D$4:$AB$2598,BG$3,FALSE),"")</f>
        <v/>
      </c>
      <c r="BH124" t="str">
        <f>IF(VLOOKUP($B124,'Draft List'!$D$4:$AB$2598,BH$3,FALSE)&lt;&gt;0,VLOOKUP($B124,'Draft List'!$D$4:$AB$2598,BH$3,FALSE),"")</f>
        <v/>
      </c>
      <c r="BI124" t="str">
        <f>IF(VLOOKUP($B124,'Draft List'!$D$4:$AB$2598,BI$3,FALSE)&lt;&gt;0,VLOOKUP($B124,'Draft List'!$D$4:$AB$2598,BI$3,FALSE),"")</f>
        <v/>
      </c>
      <c r="BJ124" t="str">
        <f>IF(OR(C124="SP",C124="MR",C124="CL"),"P",VLOOKUP($A124,Bat!$A$4:$AP$1287,42,FALSE))</f>
        <v>P</v>
      </c>
    </row>
    <row r="125" spans="1:62">
      <c r="A125" t="str">
        <f>C125&amp;D125&amp;E125</f>
        <v>MRJuan Campos21</v>
      </c>
      <c r="B125">
        <f>VLOOKUP($A125,draft_listing_pitchers_stats!$A$1:$B$1324,2,FALSE)</f>
        <v>8641</v>
      </c>
      <c r="C125" s="1" t="s">
        <v>2021</v>
      </c>
      <c r="D125" s="1" t="s">
        <v>1181</v>
      </c>
      <c r="E125" s="1">
        <v>21</v>
      </c>
      <c r="F125" s="1" t="s">
        <v>2038</v>
      </c>
      <c r="G125" s="1" t="s">
        <v>2038</v>
      </c>
      <c r="H125" s="1" t="s">
        <v>2033</v>
      </c>
      <c r="I125" s="31" t="s">
        <v>2033</v>
      </c>
      <c r="J125" s="1" t="s">
        <v>2025</v>
      </c>
      <c r="K125" s="31" t="s">
        <v>2030</v>
      </c>
      <c r="L125" s="1">
        <v>7</v>
      </c>
      <c r="M125" s="1">
        <v>3</v>
      </c>
      <c r="N125" s="31">
        <v>2</v>
      </c>
      <c r="O125" s="1">
        <v>7</v>
      </c>
      <c r="P125" s="1">
        <v>3</v>
      </c>
      <c r="Q125" s="31">
        <v>3</v>
      </c>
      <c r="R125" s="1">
        <v>6</v>
      </c>
      <c r="S125" s="1">
        <v>7</v>
      </c>
      <c r="T125" s="1">
        <v>8</v>
      </c>
      <c r="U125" s="1">
        <v>8</v>
      </c>
      <c r="V125" s="1" t="s">
        <v>2027</v>
      </c>
      <c r="W125" s="1" t="s">
        <v>2027</v>
      </c>
      <c r="X125" s="1">
        <v>3</v>
      </c>
      <c r="Y125" s="1">
        <v>3</v>
      </c>
      <c r="Z125" s="1" t="s">
        <v>2027</v>
      </c>
      <c r="AA125" s="1" t="s">
        <v>2027</v>
      </c>
      <c r="AB125" s="1" t="s">
        <v>2027</v>
      </c>
      <c r="AC125" s="1" t="s">
        <v>2027</v>
      </c>
      <c r="AD125" s="1" t="s">
        <v>2027</v>
      </c>
      <c r="AE125" s="1" t="s">
        <v>2027</v>
      </c>
      <c r="AF125" s="1" t="s">
        <v>2027</v>
      </c>
      <c r="AG125" s="1" t="s">
        <v>2027</v>
      </c>
      <c r="AH125" s="1" t="s">
        <v>2027</v>
      </c>
      <c r="AI125" s="1" t="s">
        <v>2027</v>
      </c>
      <c r="AJ125" s="1" t="s">
        <v>2027</v>
      </c>
      <c r="AK125" s="1" t="s">
        <v>2027</v>
      </c>
      <c r="AL125" s="1" t="s">
        <v>2027</v>
      </c>
      <c r="AM125" s="1" t="s">
        <v>2027</v>
      </c>
      <c r="AN125" s="1" t="s">
        <v>2027</v>
      </c>
      <c r="AO125" s="31" t="s">
        <v>2027</v>
      </c>
      <c r="AP125" s="1" t="s">
        <v>2039</v>
      </c>
      <c r="AQ125" s="1">
        <v>2</v>
      </c>
      <c r="AR125" s="32">
        <v>0.42</v>
      </c>
      <c r="AS125" s="45" t="s">
        <v>2029</v>
      </c>
      <c r="AT125" s="9">
        <f>($O$3*(L125-$O$1)/$O$2+$P$3*(M125-$P$1)/$P$2+$Q$3*(N125-$P$1)/$Q$2)/SUM($O$3:$Q$3)</f>
        <v>-0.9001522919983358</v>
      </c>
      <c r="AU125" s="9">
        <f>($O$3*(O125-$O$1)/$O$2+$P$3*(P125-$P$1)/$P$2+$Q$3*(Q125-$Q$1)/$Q$2)/SUM($O$3:$Q$3)</f>
        <v>-0.21233697520715372</v>
      </c>
      <c r="AV125">
        <f>COUNT(R125:AO125)/2</f>
        <v>3</v>
      </c>
      <c r="AW125">
        <f>COUNTIF(R125:AO125,"&gt;5")/2</f>
        <v>2</v>
      </c>
      <c r="AX125" s="6">
        <f>VLOOKUP(AP125,COND!$A$10:$B$31,2,FALSE)</f>
        <v>1.0249999999999999</v>
      </c>
      <c r="AY125" s="9">
        <f>($AT$3*AT125+$AU$3*AU125+$AV$3*AV125+$AW$3*AW125)*AX125*IF(AQ125&lt;5,0.95,IF(AQ125&lt;7,0.975,1))+$J$3*VLOOKUP(J125,[1]Con!$A$2:$C$7,2,FALSE)+$K$3*VLOOKUP(K125,[1]Con!$A$2:$C$7,3,FALSE)+IF(BA125="SP",$BA$3,0)</f>
        <v>30.334432748974006</v>
      </c>
      <c r="AZ125" s="37">
        <f>STANDARDIZE(AY125,AVERAGE($AY$5:$AY$1116),STDEVP($AY$5:$AY$1116))</f>
        <v>-0.28474337601244559</v>
      </c>
      <c r="BA125" t="str">
        <f>IF(OR(AND(AQ125&gt;7,AW125&gt;1),AND(AQ125&gt;4,AV125&gt;2)),"SP","RP")</f>
        <v>RP</v>
      </c>
      <c r="BC125">
        <f>VLOOKUP($A125,'Draft List'!$A$4:$V$530,22,FALSE)</f>
        <v>0</v>
      </c>
      <c r="BE125" t="str">
        <f>IF(AVERAGE($O125:$Q125)&gt;=6,"Likely",IF(AVERAGE($O125:$Q125)&gt;=4,"Possible","Unlikely"))</f>
        <v>Possible</v>
      </c>
      <c r="BG125" t="str">
        <f>IF(VLOOKUP($B125,'Draft List'!$D$4:$AB$2598,BG$3,FALSE)&lt;&gt;0,VLOOKUP($B125,'Draft List'!$D$4:$AB$2598,BG$3,FALSE),"")</f>
        <v/>
      </c>
      <c r="BH125" t="str">
        <f>IF(VLOOKUP($B125,'Draft List'!$D$4:$AB$2598,BH$3,FALSE)&lt;&gt;0,VLOOKUP($B125,'Draft List'!$D$4:$AB$2598,BH$3,FALSE),"")</f>
        <v/>
      </c>
      <c r="BI125" t="str">
        <f>IF(VLOOKUP($B125,'Draft List'!$D$4:$AB$2598,BI$3,FALSE)&lt;&gt;0,VLOOKUP($B125,'Draft List'!$D$4:$AB$2598,BI$3,FALSE),"")</f>
        <v/>
      </c>
      <c r="BJ125" t="str">
        <f>IF(OR(C125="SP",C125="MR",C125="CL"),"P",VLOOKUP($A125,Bat!$A$4:$AP$1287,42,FALSE))</f>
        <v>P</v>
      </c>
    </row>
    <row r="126" spans="1:62">
      <c r="A126" t="str">
        <f>C126&amp;D126&amp;E126</f>
        <v>CLLuis Flores18</v>
      </c>
      <c r="B126">
        <f>VLOOKUP($A126,draft_listing_pitchers_stats!$A$1:$B$1324,2,FALSE)</f>
        <v>1853</v>
      </c>
      <c r="C126" s="1" t="s">
        <v>2032</v>
      </c>
      <c r="D126" s="1" t="s">
        <v>1110</v>
      </c>
      <c r="E126" s="1">
        <v>18</v>
      </c>
      <c r="F126" s="1" t="s">
        <v>2022</v>
      </c>
      <c r="G126" s="1" t="s">
        <v>2022</v>
      </c>
      <c r="H126" s="1" t="s">
        <v>2033</v>
      </c>
      <c r="I126" s="31" t="s">
        <v>2023</v>
      </c>
      <c r="J126" s="1" t="s">
        <v>2026</v>
      </c>
      <c r="K126" s="31" t="s">
        <v>2026</v>
      </c>
      <c r="L126" s="1">
        <v>2</v>
      </c>
      <c r="M126" s="1">
        <v>4</v>
      </c>
      <c r="N126" s="31">
        <v>1</v>
      </c>
      <c r="O126" s="1">
        <v>5</v>
      </c>
      <c r="P126" s="1">
        <v>5</v>
      </c>
      <c r="Q126" s="31">
        <v>4</v>
      </c>
      <c r="R126" s="1">
        <v>3</v>
      </c>
      <c r="S126" s="1">
        <v>4</v>
      </c>
      <c r="T126" s="1">
        <v>1</v>
      </c>
      <c r="U126" s="1">
        <v>7</v>
      </c>
      <c r="V126" s="1" t="s">
        <v>2027</v>
      </c>
      <c r="W126" s="1" t="s">
        <v>2027</v>
      </c>
      <c r="X126" s="1" t="s">
        <v>2027</v>
      </c>
      <c r="Y126" s="1" t="s">
        <v>2027</v>
      </c>
      <c r="Z126" s="1" t="s">
        <v>2027</v>
      </c>
      <c r="AA126" s="1" t="s">
        <v>2027</v>
      </c>
      <c r="AB126" s="1" t="s">
        <v>2027</v>
      </c>
      <c r="AC126" s="1" t="s">
        <v>2027</v>
      </c>
      <c r="AD126" s="1" t="s">
        <v>2027</v>
      </c>
      <c r="AE126" s="1" t="s">
        <v>2027</v>
      </c>
      <c r="AF126" s="1" t="s">
        <v>2027</v>
      </c>
      <c r="AG126" s="1" t="s">
        <v>2027</v>
      </c>
      <c r="AH126" s="1" t="s">
        <v>2027</v>
      </c>
      <c r="AI126" s="1" t="s">
        <v>2027</v>
      </c>
      <c r="AJ126" s="1" t="s">
        <v>2027</v>
      </c>
      <c r="AK126" s="1" t="s">
        <v>2027</v>
      </c>
      <c r="AL126" s="1" t="s">
        <v>2027</v>
      </c>
      <c r="AM126" s="1" t="s">
        <v>2027</v>
      </c>
      <c r="AN126" s="1" t="s">
        <v>2027</v>
      </c>
      <c r="AO126" s="31" t="s">
        <v>2027</v>
      </c>
      <c r="AP126" s="1" t="s">
        <v>2056</v>
      </c>
      <c r="AQ126" s="1">
        <v>6</v>
      </c>
      <c r="AR126" s="32">
        <v>0.53</v>
      </c>
      <c r="AS126" s="45" t="s">
        <v>2029</v>
      </c>
      <c r="AT126" s="9">
        <f>($O$3*(L126-$O$1)/$O$2+$P$3*(M126-$P$1)/$P$2+$Q$3*(N126-$P$1)/$Q$2)/SUM($O$3:$Q$3)</f>
        <v>-1.9204977641682581</v>
      </c>
      <c r="AU126" s="9">
        <f>($O$3*(O126-$O$1)/$O$2+$P$3*(P126-$P$1)/$P$2+$Q$3*(Q126-$Q$1)/$Q$2)/SUM($O$3:$Q$3)</f>
        <v>3.146437468872048E-2</v>
      </c>
      <c r="AV126">
        <f>COUNT(R126:AO126)/2</f>
        <v>2</v>
      </c>
      <c r="AW126">
        <f>COUNTIF(R126:AO126,"&gt;5")/2</f>
        <v>0.5</v>
      </c>
      <c r="AX126" s="6">
        <f>VLOOKUP(AP126,COND!$A$10:$B$31,2,FALSE)</f>
        <v>0.95</v>
      </c>
      <c r="AY126" s="9">
        <f>($AT$3*AT126+$AU$3*AU126+$AV$3*AV126+$AW$3*AW126)*AX126*IF(AQ126&lt;5,0.95,IF(AQ126&lt;7,0.975,1))+$J$3*VLOOKUP(J126,[1]Con!$A$2:$C$7,2,FALSE)+$K$3*VLOOKUP(K126,[1]Con!$A$2:$C$7,3,FALSE)+IF(BA126="SP",$BA$3,0)</f>
        <v>30.232261580296377</v>
      </c>
      <c r="AZ126" s="37">
        <f>STANDARDIZE(AY126,AVERAGE($AY$5:$AY$1116),STDEVP($AY$5:$AY$1116))</f>
        <v>-0.29285439161967219</v>
      </c>
      <c r="BA126" t="str">
        <f>IF(OR(AND(AQ126&gt;7,AW126&gt;1),AND(AQ126&gt;4,AV126&gt;2)),"SP","RP")</f>
        <v>RP</v>
      </c>
      <c r="BC126">
        <f>VLOOKUP($A126,'Draft List'!$A$4:$V$530,22,FALSE)</f>
        <v>0</v>
      </c>
      <c r="BE126" t="str">
        <f>IF(AVERAGE($O126:$Q126)&gt;=6,"Likely",IF(AVERAGE($O126:$Q126)&gt;=4,"Possible","Unlikely"))</f>
        <v>Possible</v>
      </c>
      <c r="BG126" t="str">
        <f>IF(VLOOKUP($B126,'Draft List'!$D$4:$AB$2598,BG$3,FALSE)&lt;&gt;0,VLOOKUP($B126,'Draft List'!$D$4:$AB$2598,BG$3,FALSE),"")</f>
        <v/>
      </c>
      <c r="BH126" t="str">
        <f>IF(VLOOKUP($B126,'Draft List'!$D$4:$AB$2598,BH$3,FALSE)&lt;&gt;0,VLOOKUP($B126,'Draft List'!$D$4:$AB$2598,BH$3,FALSE),"")</f>
        <v/>
      </c>
      <c r="BI126" t="str">
        <f>IF(VLOOKUP($B126,'Draft List'!$D$4:$AB$2598,BI$3,FALSE)&lt;&gt;0,VLOOKUP($B126,'Draft List'!$D$4:$AB$2598,BI$3,FALSE),"")</f>
        <v/>
      </c>
      <c r="BJ126" t="str">
        <f>IF(OR(C126="SP",C126="MR",C126="CL"),"P",VLOOKUP($A126,Bat!$A$4:$AP$1287,42,FALSE))</f>
        <v>P</v>
      </c>
    </row>
    <row r="127" spans="1:62">
      <c r="A127" t="str">
        <f>C127&amp;D127&amp;E127</f>
        <v>SPBruce Benson21</v>
      </c>
      <c r="B127">
        <f>VLOOKUP($A127,draft_listing_pitchers_stats!$A$1:$B$1324,2,FALSE)</f>
        <v>6873</v>
      </c>
      <c r="C127" s="1" t="s">
        <v>2003</v>
      </c>
      <c r="D127" s="1" t="s">
        <v>1175</v>
      </c>
      <c r="E127" s="1">
        <v>21</v>
      </c>
      <c r="F127" s="1" t="s">
        <v>2022</v>
      </c>
      <c r="G127" s="1" t="s">
        <v>2022</v>
      </c>
      <c r="H127" s="1" t="s">
        <v>2033</v>
      </c>
      <c r="I127" s="31" t="s">
        <v>2033</v>
      </c>
      <c r="J127" s="1" t="s">
        <v>2026</v>
      </c>
      <c r="K127" s="31" t="s">
        <v>2026</v>
      </c>
      <c r="L127" s="1">
        <v>4</v>
      </c>
      <c r="M127" s="1">
        <v>4</v>
      </c>
      <c r="N127" s="31">
        <v>2</v>
      </c>
      <c r="O127" s="1">
        <v>5</v>
      </c>
      <c r="P127" s="1">
        <v>4</v>
      </c>
      <c r="Q127" s="31">
        <v>4</v>
      </c>
      <c r="R127" s="1">
        <v>6</v>
      </c>
      <c r="S127" s="1">
        <v>6</v>
      </c>
      <c r="T127" s="1">
        <v>4</v>
      </c>
      <c r="U127" s="1">
        <v>5</v>
      </c>
      <c r="V127" s="1" t="s">
        <v>2027</v>
      </c>
      <c r="W127" s="1" t="s">
        <v>2027</v>
      </c>
      <c r="X127" s="1">
        <v>3</v>
      </c>
      <c r="Y127" s="1">
        <v>3</v>
      </c>
      <c r="Z127" s="1" t="s">
        <v>2027</v>
      </c>
      <c r="AA127" s="1" t="s">
        <v>2027</v>
      </c>
      <c r="AB127" s="1" t="s">
        <v>2027</v>
      </c>
      <c r="AC127" s="1" t="s">
        <v>2027</v>
      </c>
      <c r="AD127" s="1" t="s">
        <v>2027</v>
      </c>
      <c r="AE127" s="1" t="s">
        <v>2027</v>
      </c>
      <c r="AF127" s="1">
        <v>5</v>
      </c>
      <c r="AG127" s="1">
        <v>5</v>
      </c>
      <c r="AH127" s="1" t="s">
        <v>2027</v>
      </c>
      <c r="AI127" s="1" t="s">
        <v>2027</v>
      </c>
      <c r="AJ127" s="1" t="s">
        <v>2027</v>
      </c>
      <c r="AK127" s="1" t="s">
        <v>2027</v>
      </c>
      <c r="AL127" s="1" t="s">
        <v>2027</v>
      </c>
      <c r="AM127" s="1" t="s">
        <v>2027</v>
      </c>
      <c r="AN127" s="1" t="s">
        <v>2027</v>
      </c>
      <c r="AO127" s="31" t="s">
        <v>2027</v>
      </c>
      <c r="AP127" s="1" t="s">
        <v>2039</v>
      </c>
      <c r="AQ127" s="1">
        <v>8</v>
      </c>
      <c r="AR127" s="32">
        <v>0.46</v>
      </c>
      <c r="AS127" s="45" t="s">
        <v>2029</v>
      </c>
      <c r="AT127" s="9">
        <f>($O$3*(L127-$O$1)/$O$2+$P$3*(M127-$P$1)/$P$2+$Q$3*(N127-$P$1)/$Q$2)/SUM($O$3:$Q$3)</f>
        <v>-1.288794549095801</v>
      </c>
      <c r="AU127" s="9">
        <f>($O$3*(O127-$O$1)/$O$2+$P$3*(P127-$P$1)/$P$2+$Q$3*(Q127-$Q$1)/$Q$2)/SUM($O$3:$Q$3)</f>
        <v>-0.16396734174133493</v>
      </c>
      <c r="AV127">
        <f>COUNT(R127:AO127)/2</f>
        <v>4</v>
      </c>
      <c r="AW127">
        <f>COUNTIF(R127:AO127,"&gt;5")/2</f>
        <v>1</v>
      </c>
      <c r="AX127" s="6">
        <f>VLOOKUP(AP127,COND!$A$10:$B$31,2,FALSE)</f>
        <v>1.0249999999999999</v>
      </c>
      <c r="AY127" s="9">
        <f>($AT$3*AT127+$AU$3*AU127+$AV$3*AV127+$AW$3*AW127)*AX127*IF(AQ127&lt;5,0.95,IF(AQ127&lt;7,0.975,1))+$J$3*VLOOKUP(J127,[1]Con!$A$2:$C$7,2,FALSE)+$K$3*VLOOKUP(K127,[1]Con!$A$2:$C$7,3,FALSE)+IF(BA127="SP",$BA$3,0)</f>
        <v>30.205716611737994</v>
      </c>
      <c r="AZ127" s="37">
        <f>STANDARDIZE(AY127,AVERAGE($AY$5:$AY$1116),STDEVP($AY$5:$AY$1116))</f>
        <v>-0.29496170483784362</v>
      </c>
      <c r="BA127" t="str">
        <f>IF(OR(AND(AQ127&gt;7,AW127&gt;1),AND(AQ127&gt;4,AV127&gt;2)),"SP","RP")</f>
        <v>SP</v>
      </c>
      <c r="BC127">
        <f>VLOOKUP($A127,'Draft List'!$A$4:$V$530,22,FALSE)</f>
        <v>0</v>
      </c>
      <c r="BE127" t="str">
        <f>IF(AVERAGE($O127:$Q127)&gt;=6,"Likely",IF(AVERAGE($O127:$Q127)&gt;=4,"Possible","Unlikely"))</f>
        <v>Possible</v>
      </c>
      <c r="BG127" t="str">
        <f>IF(VLOOKUP($B127,'Draft List'!$D$4:$AB$2598,BG$3,FALSE)&lt;&gt;0,VLOOKUP($B127,'Draft List'!$D$4:$AB$2598,BG$3,FALSE),"")</f>
        <v/>
      </c>
      <c r="BH127" t="str">
        <f>IF(VLOOKUP($B127,'Draft List'!$D$4:$AB$2598,BH$3,FALSE)&lt;&gt;0,VLOOKUP($B127,'Draft List'!$D$4:$AB$2598,BH$3,FALSE),"")</f>
        <v/>
      </c>
      <c r="BI127" t="str">
        <f>IF(VLOOKUP($B127,'Draft List'!$D$4:$AB$2598,BI$3,FALSE)&lt;&gt;0,VLOOKUP($B127,'Draft List'!$D$4:$AB$2598,BI$3,FALSE),"")</f>
        <v/>
      </c>
      <c r="BJ127" t="str">
        <f>IF(OR(C127="SP",C127="MR",C127="CL"),"P",VLOOKUP($A127,Bat!$A$4:$AP$1287,42,FALSE))</f>
        <v>P</v>
      </c>
    </row>
    <row r="128" spans="1:62">
      <c r="A128" t="str">
        <f>C128&amp;D128&amp;E128</f>
        <v>MRAntónio Ramos18</v>
      </c>
      <c r="B128">
        <f>VLOOKUP($A128,draft_listing_pitchers_stats!$A$1:$B$1324,2,FALSE)</f>
        <v>13852</v>
      </c>
      <c r="C128" s="1" t="s">
        <v>2021</v>
      </c>
      <c r="D128" s="1" t="s">
        <v>1042</v>
      </c>
      <c r="E128" s="1">
        <v>18</v>
      </c>
      <c r="F128" s="1" t="s">
        <v>2022</v>
      </c>
      <c r="G128" s="1" t="s">
        <v>2022</v>
      </c>
      <c r="H128" s="1" t="s">
        <v>2033</v>
      </c>
      <c r="I128" s="31" t="s">
        <v>2033</v>
      </c>
      <c r="J128" s="1" t="s">
        <v>2030</v>
      </c>
      <c r="K128" s="31" t="s">
        <v>2025</v>
      </c>
      <c r="L128" s="1">
        <v>2</v>
      </c>
      <c r="M128" s="1">
        <v>4</v>
      </c>
      <c r="N128" s="31">
        <v>1</v>
      </c>
      <c r="O128" s="1">
        <v>4</v>
      </c>
      <c r="P128" s="1">
        <v>4</v>
      </c>
      <c r="Q128" s="31">
        <v>5</v>
      </c>
      <c r="R128" s="1">
        <v>2</v>
      </c>
      <c r="S128" s="1">
        <v>3</v>
      </c>
      <c r="T128" s="1">
        <v>1</v>
      </c>
      <c r="U128" s="1">
        <v>1</v>
      </c>
      <c r="V128" s="1" t="s">
        <v>2027</v>
      </c>
      <c r="W128" s="1" t="s">
        <v>2027</v>
      </c>
      <c r="X128" s="1" t="s">
        <v>2027</v>
      </c>
      <c r="Y128" s="1" t="s">
        <v>2027</v>
      </c>
      <c r="Z128" s="1" t="s">
        <v>2027</v>
      </c>
      <c r="AA128" s="1" t="s">
        <v>2027</v>
      </c>
      <c r="AB128" s="1" t="s">
        <v>2027</v>
      </c>
      <c r="AC128" s="1" t="s">
        <v>2027</v>
      </c>
      <c r="AD128" s="1">
        <v>2</v>
      </c>
      <c r="AE128" s="1">
        <v>4</v>
      </c>
      <c r="AF128" s="1">
        <v>2</v>
      </c>
      <c r="AG128" s="1">
        <v>4</v>
      </c>
      <c r="AH128" s="1" t="s">
        <v>2027</v>
      </c>
      <c r="AI128" s="1" t="s">
        <v>2027</v>
      </c>
      <c r="AJ128" s="1" t="s">
        <v>2027</v>
      </c>
      <c r="AK128" s="1" t="s">
        <v>2027</v>
      </c>
      <c r="AL128" s="1" t="s">
        <v>2027</v>
      </c>
      <c r="AM128" s="1" t="s">
        <v>2027</v>
      </c>
      <c r="AN128" s="1" t="s">
        <v>2027</v>
      </c>
      <c r="AO128" s="31" t="s">
        <v>2027</v>
      </c>
      <c r="AP128" s="1" t="s">
        <v>2059</v>
      </c>
      <c r="AQ128" s="1">
        <v>4</v>
      </c>
      <c r="AR128" s="32">
        <v>0.48</v>
      </c>
      <c r="AS128" s="45" t="s">
        <v>2029</v>
      </c>
      <c r="AT128" s="9">
        <f>($O$3*(L128-$O$1)/$O$2+$P$3*(M128-$P$1)/$P$2+$Q$3*(N128-$P$1)/$Q$2)/SUM($O$3:$Q$3)</f>
        <v>-1.9204977641682581</v>
      </c>
      <c r="AU128" s="9">
        <f>($O$3*(O128-$O$1)/$O$2+$P$3*(P128-$P$1)/$P$2+$Q$3*(Q128-$Q$1)/$Q$2)/SUM($O$3:$Q$3)</f>
        <v>-0.11633810019639811</v>
      </c>
      <c r="AV128">
        <f>COUNT(R128:AO128)/2</f>
        <v>4</v>
      </c>
      <c r="AW128">
        <f>COUNTIF(R128:AO128,"&gt;5")/2</f>
        <v>0</v>
      </c>
      <c r="AX128" s="6">
        <f>VLOOKUP(AP128,COND!$A$10:$B$31,2,FALSE)</f>
        <v>0.9</v>
      </c>
      <c r="AY128" s="9">
        <f>($AT$3*AT128+$AU$3*AU128+$AV$3*AV128+$AW$3*AW128)*AX128*IF(AQ128&lt;5,0.95,IF(AQ128&lt;7,0.975,1))+$J$3*VLOOKUP(J128,[1]Con!$A$2:$C$7,2,FALSE)+$K$3*VLOOKUP(K128,[1]Con!$A$2:$C$7,3,FALSE)+IF(BA128="SP",$BA$3,0)</f>
        <v>30.142213368968818</v>
      </c>
      <c r="AZ128" s="37">
        <f>STANDARDIZE(AY128,AVERAGE($AY$5:$AY$1116),STDEVP($AY$5:$AY$1116))</f>
        <v>-0.30000300758378229</v>
      </c>
      <c r="BA128" t="str">
        <f>IF(OR(AND(AQ128&gt;7,AW128&gt;1),AND(AQ128&gt;4,AV128&gt;2)),"SP","RP")</f>
        <v>RP</v>
      </c>
      <c r="BC128">
        <f>VLOOKUP($A128,'Draft List'!$A$4:$V$530,22,FALSE)</f>
        <v>0</v>
      </c>
      <c r="BE128" t="str">
        <f>IF(AVERAGE($O128:$Q128)&gt;=6,"Likely",IF(AVERAGE($O128:$Q128)&gt;=4,"Possible","Unlikely"))</f>
        <v>Possible</v>
      </c>
      <c r="BG128" t="str">
        <f>IF(VLOOKUP($B128,'Draft List'!$D$4:$AB$2598,BG$3,FALSE)&lt;&gt;0,VLOOKUP($B128,'Draft List'!$D$4:$AB$2598,BG$3,FALSE),"")</f>
        <v/>
      </c>
      <c r="BH128" t="str">
        <f>IF(VLOOKUP($B128,'Draft List'!$D$4:$AB$2598,BH$3,FALSE)&lt;&gt;0,VLOOKUP($B128,'Draft List'!$D$4:$AB$2598,BH$3,FALSE),"")</f>
        <v/>
      </c>
      <c r="BI128" t="str">
        <f>IF(VLOOKUP($B128,'Draft List'!$D$4:$AB$2598,BI$3,FALSE)&lt;&gt;0,VLOOKUP($B128,'Draft List'!$D$4:$AB$2598,BI$3,FALSE),"")</f>
        <v/>
      </c>
      <c r="BJ128" t="str">
        <f>IF(OR(C128="SP",C128="MR",C128="CL"),"P",VLOOKUP($A128,Bat!$A$4:$AP$1287,42,FALSE))</f>
        <v>P</v>
      </c>
    </row>
    <row r="129" spans="1:62">
      <c r="A129" t="str">
        <f>C129&amp;D129&amp;E129</f>
        <v>MRKokaji Muriithi18</v>
      </c>
      <c r="B129">
        <f>VLOOKUP($A129,draft_listing_pitchers_stats!$A$1:$B$1324,2,FALSE)</f>
        <v>1493</v>
      </c>
      <c r="C129" s="1" t="s">
        <v>2021</v>
      </c>
      <c r="D129" s="1" t="s">
        <v>1141</v>
      </c>
      <c r="E129" s="1">
        <v>18</v>
      </c>
      <c r="F129" s="1" t="s">
        <v>2022</v>
      </c>
      <c r="G129" s="1" t="s">
        <v>2022</v>
      </c>
      <c r="H129" s="1" t="s">
        <v>2033</v>
      </c>
      <c r="I129" s="31" t="s">
        <v>2023</v>
      </c>
      <c r="J129" s="1" t="s">
        <v>2025</v>
      </c>
      <c r="K129" s="31" t="s">
        <v>2026</v>
      </c>
      <c r="L129" s="1">
        <v>3</v>
      </c>
      <c r="M129" s="1">
        <v>4</v>
      </c>
      <c r="N129" s="31">
        <v>1</v>
      </c>
      <c r="O129" s="1">
        <v>4</v>
      </c>
      <c r="P129" s="1">
        <v>4</v>
      </c>
      <c r="Q129" s="31">
        <v>5</v>
      </c>
      <c r="R129" s="1">
        <v>4</v>
      </c>
      <c r="S129" s="1">
        <v>5</v>
      </c>
      <c r="T129" s="1">
        <v>1</v>
      </c>
      <c r="U129" s="1">
        <v>1</v>
      </c>
      <c r="V129" s="1" t="s">
        <v>2027</v>
      </c>
      <c r="W129" s="1" t="s">
        <v>2027</v>
      </c>
      <c r="X129" s="1" t="s">
        <v>2027</v>
      </c>
      <c r="Y129" s="1" t="s">
        <v>2027</v>
      </c>
      <c r="Z129" s="1" t="s">
        <v>2027</v>
      </c>
      <c r="AA129" s="1" t="s">
        <v>2027</v>
      </c>
      <c r="AB129" s="1" t="s">
        <v>2027</v>
      </c>
      <c r="AC129" s="1" t="s">
        <v>2027</v>
      </c>
      <c r="AD129" s="1" t="s">
        <v>2027</v>
      </c>
      <c r="AE129" s="1" t="s">
        <v>2027</v>
      </c>
      <c r="AF129" s="1" t="s">
        <v>2027</v>
      </c>
      <c r="AG129" s="1" t="s">
        <v>2027</v>
      </c>
      <c r="AH129" s="1" t="s">
        <v>2027</v>
      </c>
      <c r="AI129" s="1" t="s">
        <v>2027</v>
      </c>
      <c r="AJ129" s="1" t="s">
        <v>2027</v>
      </c>
      <c r="AK129" s="1" t="s">
        <v>2027</v>
      </c>
      <c r="AL129" s="1">
        <v>2</v>
      </c>
      <c r="AM129" s="1">
        <v>4</v>
      </c>
      <c r="AN129" s="1" t="s">
        <v>2027</v>
      </c>
      <c r="AO129" s="31" t="s">
        <v>2027</v>
      </c>
      <c r="AP129" s="1" t="s">
        <v>2042</v>
      </c>
      <c r="AQ129" s="1">
        <v>5</v>
      </c>
      <c r="AR129" s="32">
        <v>0.46</v>
      </c>
      <c r="AS129" s="45">
        <v>2000000</v>
      </c>
      <c r="AT129" s="9">
        <f>($O$3*(L129-$O$1)/$O$2+$P$3*(M129-$P$1)/$P$2+$Q$3*(N129-$P$1)/$Q$2)/SUM($O$3:$Q$3)</f>
        <v>-1.7258064396590846</v>
      </c>
      <c r="AU129" s="9">
        <f>($O$3*(O129-$O$1)/$O$2+$P$3*(P129-$P$1)/$P$2+$Q$3*(Q129-$Q$1)/$Q$2)/SUM($O$3:$Q$3)</f>
        <v>-0.11633810019639811</v>
      </c>
      <c r="AV129">
        <f>COUNT(R129:AO129)/2</f>
        <v>3</v>
      </c>
      <c r="AW129">
        <f>COUNTIF(R129:AO129,"&gt;5")/2</f>
        <v>0</v>
      </c>
      <c r="AX129" s="6">
        <f>VLOOKUP(AP129,COND!$A$10:$B$31,2,FALSE)</f>
        <v>1</v>
      </c>
      <c r="AY129" s="9">
        <f>($AT$3*AT129+$AU$3*AU129+$AV$3*AV129+$AW$3*AW129)*AX129*IF(AQ129&lt;5,0.95,IF(AQ129&lt;7,0.975,1))+$J$3*VLOOKUP(J129,[1]Con!$A$2:$C$7,2,FALSE)+$K$3*VLOOKUP(K129,[1]Con!$A$2:$C$7,3,FALSE)+IF(BA129="SP",$BA$3,0)</f>
        <v>30.107374790436715</v>
      </c>
      <c r="AZ129" s="37">
        <f>STANDARDIZE(AY129,AVERAGE($AY$5:$AY$1116),STDEVP($AY$5:$AY$1116))</f>
        <v>-0.30276872180497383</v>
      </c>
      <c r="BA129" t="str">
        <f>IF(OR(AND(AQ129&gt;7,AW129&gt;1),AND(AQ129&gt;4,AV129&gt;2)),"SP","RP")</f>
        <v>SP</v>
      </c>
      <c r="BC129">
        <f>VLOOKUP($A129,'Draft List'!$A$4:$V$530,22,FALSE)</f>
        <v>0</v>
      </c>
      <c r="BD129" t="s">
        <v>8</v>
      </c>
      <c r="BE129" t="str">
        <f>IF(AVERAGE($O129:$Q129)&gt;=6,"Likely",IF(AVERAGE($O129:$Q129)&gt;=4,"Possible","Unlikely"))</f>
        <v>Possible</v>
      </c>
      <c r="BG129" t="str">
        <f>IF(VLOOKUP($B129,'Draft List'!$D$4:$AB$2598,BG$3,FALSE)&lt;&gt;0,VLOOKUP($B129,'Draft List'!$D$4:$AB$2598,BG$3,FALSE),"")</f>
        <v/>
      </c>
      <c r="BH129" t="str">
        <f>IF(VLOOKUP($B129,'Draft List'!$D$4:$AB$2598,BH$3,FALSE)&lt;&gt;0,VLOOKUP($B129,'Draft List'!$D$4:$AB$2598,BH$3,FALSE),"")</f>
        <v/>
      </c>
      <c r="BI129" t="str">
        <f>IF(VLOOKUP($B129,'Draft List'!$D$4:$AB$2598,BI$3,FALSE)&lt;&gt;0,VLOOKUP($B129,'Draft List'!$D$4:$AB$2598,BI$3,FALSE),"")</f>
        <v/>
      </c>
      <c r="BJ129" t="str">
        <f>IF(OR(C129="SP",C129="MR",C129="CL"),"P",VLOOKUP($A129,Bat!$A$4:$AP$1287,42,FALSE))</f>
        <v>P</v>
      </c>
    </row>
    <row r="130" spans="1:62">
      <c r="A130" t="str">
        <f>C130&amp;D130&amp;E130</f>
        <v>SPBrian Buckner18</v>
      </c>
      <c r="B130">
        <f>VLOOKUP($A130,draft_listing_pitchers_stats!$A$1:$B$1324,2,FALSE)</f>
        <v>13768</v>
      </c>
      <c r="C130" s="1" t="s">
        <v>2003</v>
      </c>
      <c r="D130" s="1" t="s">
        <v>1179</v>
      </c>
      <c r="E130" s="1">
        <v>18</v>
      </c>
      <c r="F130" s="1" t="s">
        <v>2038</v>
      </c>
      <c r="G130" s="1" t="s">
        <v>2022</v>
      </c>
      <c r="H130" s="1" t="s">
        <v>2033</v>
      </c>
      <c r="I130" s="31" t="s">
        <v>2033</v>
      </c>
      <c r="J130" s="1" t="s">
        <v>2036</v>
      </c>
      <c r="K130" s="31" t="s">
        <v>2026</v>
      </c>
      <c r="L130" s="1">
        <v>1</v>
      </c>
      <c r="M130" s="1">
        <v>4</v>
      </c>
      <c r="N130" s="31">
        <v>1</v>
      </c>
      <c r="O130" s="1">
        <v>4</v>
      </c>
      <c r="P130" s="1">
        <v>4</v>
      </c>
      <c r="Q130" s="31">
        <v>5</v>
      </c>
      <c r="R130" s="1">
        <v>2</v>
      </c>
      <c r="S130" s="1">
        <v>5</v>
      </c>
      <c r="T130" s="1">
        <v>1</v>
      </c>
      <c r="U130" s="1">
        <v>4</v>
      </c>
      <c r="V130" s="1">
        <v>1</v>
      </c>
      <c r="W130" s="1">
        <v>2</v>
      </c>
      <c r="X130" s="1">
        <v>2</v>
      </c>
      <c r="Y130" s="1">
        <v>4</v>
      </c>
      <c r="Z130" s="1" t="s">
        <v>2027</v>
      </c>
      <c r="AA130" s="1" t="s">
        <v>2027</v>
      </c>
      <c r="AB130" s="1" t="s">
        <v>2027</v>
      </c>
      <c r="AC130" s="1" t="s">
        <v>2027</v>
      </c>
      <c r="AD130" s="1" t="s">
        <v>2027</v>
      </c>
      <c r="AE130" s="1" t="s">
        <v>2027</v>
      </c>
      <c r="AF130" s="1">
        <v>2</v>
      </c>
      <c r="AG130" s="1">
        <v>4</v>
      </c>
      <c r="AH130" s="1" t="s">
        <v>2027</v>
      </c>
      <c r="AI130" s="1" t="s">
        <v>2027</v>
      </c>
      <c r="AJ130" s="1" t="s">
        <v>2027</v>
      </c>
      <c r="AK130" s="1" t="s">
        <v>2027</v>
      </c>
      <c r="AL130" s="1" t="s">
        <v>2027</v>
      </c>
      <c r="AM130" s="1" t="s">
        <v>2027</v>
      </c>
      <c r="AN130" s="1" t="s">
        <v>2027</v>
      </c>
      <c r="AO130" s="31" t="s">
        <v>2027</v>
      </c>
      <c r="AP130" s="1" t="s">
        <v>2063</v>
      </c>
      <c r="AQ130" s="1">
        <v>3</v>
      </c>
      <c r="AR130" s="32">
        <v>0.46</v>
      </c>
      <c r="AS130" s="45" t="s">
        <v>2029</v>
      </c>
      <c r="AT130" s="9">
        <f>($O$3*(L130-$O$1)/$O$2+$P$3*(M130-$P$1)/$P$2+$Q$3*(N130-$P$1)/$Q$2)/SUM($O$3:$Q$3)</f>
        <v>-2.1151890886774316</v>
      </c>
      <c r="AU130" s="9">
        <f>($O$3*(O130-$O$1)/$O$2+$P$3*(P130-$P$1)/$P$2+$Q$3*(Q130-$Q$1)/$Q$2)/SUM($O$3:$Q$3)</f>
        <v>-0.11633810019639811</v>
      </c>
      <c r="AV130">
        <f>COUNT(R130:AO130)/2</f>
        <v>5</v>
      </c>
      <c r="AW130">
        <f>COUNTIF(R130:AO130,"&gt;5")/2</f>
        <v>0</v>
      </c>
      <c r="AX130" s="6">
        <f>VLOOKUP(AP130,COND!$A$10:$B$31,2,FALSE)</f>
        <v>0.9</v>
      </c>
      <c r="AY130" s="9">
        <f>($AT$3*AT130+$AU$3*AU130+$AV$3*AV130+$AW$3*AW130)*AX130*IF(AQ130&lt;5,0.95,IF(AQ130&lt;7,0.975,1))+$J$3*VLOOKUP(J130,[1]Con!$A$2:$C$7,2,FALSE)+$K$3*VLOOKUP(K130,[1]Con!$A$2:$C$7,3,FALSE)+IF(BA130="SP",$BA$3,0)</f>
        <v>30.086421152477755</v>
      </c>
      <c r="AZ130" s="37">
        <f>STANDARDIZE(AY130,AVERAGE($AY$5:$AY$1116),STDEVP($AY$5:$AY$1116))</f>
        <v>-0.304432158630773</v>
      </c>
      <c r="BA130" t="str">
        <f>IF(OR(AND(AQ130&gt;7,AW130&gt;1),AND(AQ130&gt;4,AV130&gt;2)),"SP","RP")</f>
        <v>RP</v>
      </c>
      <c r="BC130">
        <f>VLOOKUP($A130,'Draft List'!$A$4:$V$530,22,FALSE)</f>
        <v>0</v>
      </c>
      <c r="BE130" t="str">
        <f>IF(AVERAGE($O130:$Q130)&gt;=6,"Likely",IF(AVERAGE($O130:$Q130)&gt;=4,"Possible","Unlikely"))</f>
        <v>Possible</v>
      </c>
      <c r="BG130" t="str">
        <f>IF(VLOOKUP($B130,'Draft List'!$D$4:$AB$2598,BG$3,FALSE)&lt;&gt;0,VLOOKUP($B130,'Draft List'!$D$4:$AB$2598,BG$3,FALSE),"")</f>
        <v/>
      </c>
      <c r="BH130" t="str">
        <f>IF(VLOOKUP($B130,'Draft List'!$D$4:$AB$2598,BH$3,FALSE)&lt;&gt;0,VLOOKUP($B130,'Draft List'!$D$4:$AB$2598,BH$3,FALSE),"")</f>
        <v/>
      </c>
      <c r="BI130" t="str">
        <f>IF(VLOOKUP($B130,'Draft List'!$D$4:$AB$2598,BI$3,FALSE)&lt;&gt;0,VLOOKUP($B130,'Draft List'!$D$4:$AB$2598,BI$3,FALSE),"")</f>
        <v/>
      </c>
      <c r="BJ130" t="str">
        <f>IF(OR(C130="SP",C130="MR",C130="CL"),"P",VLOOKUP($A130,Bat!$A$4:$AP$1287,42,FALSE))</f>
        <v>P</v>
      </c>
    </row>
    <row r="131" spans="1:62">
      <c r="A131" t="str">
        <f>C131&amp;D131&amp;E131</f>
        <v>MRGregg Williams18</v>
      </c>
      <c r="B131">
        <f>VLOOKUP($A131,draft_listing_pitchers_stats!$A$1:$B$1324,2,FALSE)</f>
        <v>1809</v>
      </c>
      <c r="C131" s="1" t="s">
        <v>107</v>
      </c>
      <c r="D131" s="1" t="s">
        <v>1255</v>
      </c>
      <c r="E131" s="1">
        <v>18</v>
      </c>
      <c r="F131" s="1" t="s">
        <v>2038</v>
      </c>
      <c r="G131" s="1" t="s">
        <v>2038</v>
      </c>
      <c r="H131" s="1" t="s">
        <v>2033</v>
      </c>
      <c r="I131" s="31" t="s">
        <v>2033</v>
      </c>
      <c r="J131" s="1" t="s">
        <v>2025</v>
      </c>
      <c r="K131" s="31" t="s">
        <v>2025</v>
      </c>
      <c r="L131" s="1">
        <v>3</v>
      </c>
      <c r="M131" s="1">
        <v>4</v>
      </c>
      <c r="N131" s="31">
        <v>1</v>
      </c>
      <c r="O131" s="1">
        <v>5</v>
      </c>
      <c r="P131" s="1">
        <v>6</v>
      </c>
      <c r="Q131" s="31">
        <v>7</v>
      </c>
      <c r="R131" s="1">
        <v>3</v>
      </c>
      <c r="S131" s="1">
        <v>5</v>
      </c>
      <c r="T131" s="1" t="s">
        <v>2027</v>
      </c>
      <c r="U131" s="1" t="s">
        <v>2027</v>
      </c>
      <c r="V131" s="1" t="s">
        <v>2027</v>
      </c>
      <c r="W131" s="1" t="s">
        <v>2027</v>
      </c>
      <c r="X131" s="1">
        <v>2</v>
      </c>
      <c r="Y131" s="1">
        <v>7</v>
      </c>
      <c r="Z131" s="1" t="s">
        <v>2027</v>
      </c>
      <c r="AA131" s="1" t="s">
        <v>2027</v>
      </c>
      <c r="AB131" s="1" t="s">
        <v>2027</v>
      </c>
      <c r="AC131" s="1" t="s">
        <v>2027</v>
      </c>
      <c r="AD131" s="1" t="s">
        <v>2027</v>
      </c>
      <c r="AE131" s="1" t="s">
        <v>2027</v>
      </c>
      <c r="AF131" s="1" t="s">
        <v>2027</v>
      </c>
      <c r="AG131" s="1" t="s">
        <v>2027</v>
      </c>
      <c r="AH131" s="1" t="s">
        <v>2027</v>
      </c>
      <c r="AI131" s="1" t="s">
        <v>2027</v>
      </c>
      <c r="AJ131" s="1" t="s">
        <v>2027</v>
      </c>
      <c r="AK131" s="1" t="s">
        <v>2027</v>
      </c>
      <c r="AL131" s="1" t="s">
        <v>2027</v>
      </c>
      <c r="AM131" s="1" t="s">
        <v>2027</v>
      </c>
      <c r="AN131" s="1" t="s">
        <v>2027</v>
      </c>
      <c r="AO131" s="31" t="s">
        <v>2027</v>
      </c>
      <c r="AP131" s="1" t="s">
        <v>2054</v>
      </c>
      <c r="AQ131" s="1">
        <v>8</v>
      </c>
      <c r="AR131" s="32">
        <v>0.51</v>
      </c>
      <c r="AS131" s="45">
        <v>2100000</v>
      </c>
      <c r="AT131" s="9"/>
      <c r="AU131" s="9"/>
      <c r="AY131" s="9">
        <f>($AT$3*AT131+$AU$3*AU131+$AV$3*AV131+$AW$3*AW131)*AX131*IF(AQ131&lt;5,0.95,IF(AQ131&lt;7,0.975,1))+$J$3*VLOOKUP(J131,[1]Con!$A$2:$C$7,2,FALSE)+$K$3*VLOOKUP(K131,[1]Con!$A$2:$C$7,3,FALSE)+IF(BA131="SP",$BA$3,0)</f>
        <v>30</v>
      </c>
      <c r="AZ131" s="37">
        <f>STANDARDIZE(AY131,AVERAGE($AY$5:$AY$1116),STDEVP($AY$5:$AY$1116))</f>
        <v>-0.31129283494106624</v>
      </c>
      <c r="BA131" t="str">
        <f>IF(OR(AND(AQ131&gt;7,AW131&gt;1),AND(AQ131&gt;4,AV131&gt;2)),"SP","RP")</f>
        <v>RP</v>
      </c>
      <c r="BC131">
        <f>VLOOKUP($A131,'Draft List'!$A$4:$V$530,22,FALSE)</f>
        <v>0</v>
      </c>
      <c r="BD131" t="s">
        <v>155</v>
      </c>
      <c r="BE131" t="str">
        <f>IF(AVERAGE($O131:$Q131)&gt;=6,"Likely",IF(AVERAGE($O131:$Q131)&gt;=4,"Possible","Unlikely"))</f>
        <v>Likely</v>
      </c>
      <c r="BG131" t="str">
        <f>IF(VLOOKUP($B131,'Draft List'!$D$4:$AB$2598,BG$3,FALSE)&lt;&gt;0,VLOOKUP($B131,'Draft List'!$D$4:$AB$2598,BG$3,FALSE),"")</f>
        <v/>
      </c>
      <c r="BH131" t="str">
        <f>IF(VLOOKUP($B131,'Draft List'!$D$4:$AB$2598,BH$3,FALSE)&lt;&gt;0,VLOOKUP($B131,'Draft List'!$D$4:$AB$2598,BH$3,FALSE),"")</f>
        <v/>
      </c>
      <c r="BI131" t="str">
        <f>IF(VLOOKUP($B131,'Draft List'!$D$4:$AB$2598,BI$3,FALSE)&lt;&gt;0,VLOOKUP($B131,'Draft List'!$D$4:$AB$2598,BI$3,FALSE),"")</f>
        <v/>
      </c>
      <c r="BJ131" t="str">
        <f>IF(OR(C131="SP",C131="MR",C131="CL"),"P",VLOOKUP($A131,Bat!$A$4:$AP$1287,42,FALSE))</f>
        <v>P</v>
      </c>
    </row>
    <row r="132" spans="1:62">
      <c r="A132" t="str">
        <f>C132&amp;D132&amp;E132</f>
        <v>MRCarlos Herrera21</v>
      </c>
      <c r="B132">
        <f>VLOOKUP($A132,draft_listing_pitchers_stats!$A$1:$B$1324,2,FALSE)</f>
        <v>7035</v>
      </c>
      <c r="C132" s="1" t="s">
        <v>2021</v>
      </c>
      <c r="D132" s="1" t="s">
        <v>1004</v>
      </c>
      <c r="E132" s="1">
        <v>21</v>
      </c>
      <c r="F132" s="1" t="s">
        <v>2022</v>
      </c>
      <c r="G132" s="1" t="s">
        <v>2022</v>
      </c>
      <c r="H132" s="1" t="s">
        <v>2033</v>
      </c>
      <c r="I132" s="31" t="s">
        <v>2033</v>
      </c>
      <c r="J132" s="1" t="s">
        <v>2026</v>
      </c>
      <c r="K132" s="31" t="s">
        <v>2036</v>
      </c>
      <c r="L132" s="1">
        <v>4</v>
      </c>
      <c r="M132" s="1">
        <v>4</v>
      </c>
      <c r="N132" s="31">
        <v>3</v>
      </c>
      <c r="O132" s="1">
        <v>4</v>
      </c>
      <c r="P132" s="1">
        <v>4</v>
      </c>
      <c r="Q132" s="31">
        <v>5</v>
      </c>
      <c r="R132" s="1">
        <v>5</v>
      </c>
      <c r="S132" s="1">
        <v>5</v>
      </c>
      <c r="T132" s="1">
        <v>4</v>
      </c>
      <c r="U132" s="1">
        <v>4</v>
      </c>
      <c r="V132" s="1">
        <v>2</v>
      </c>
      <c r="W132" s="1">
        <v>4</v>
      </c>
      <c r="X132" s="1">
        <v>3</v>
      </c>
      <c r="Y132" s="1">
        <v>4</v>
      </c>
      <c r="Z132" s="1" t="s">
        <v>2027</v>
      </c>
      <c r="AA132" s="1" t="s">
        <v>2027</v>
      </c>
      <c r="AB132" s="1" t="s">
        <v>2027</v>
      </c>
      <c r="AC132" s="1" t="s">
        <v>2027</v>
      </c>
      <c r="AD132" s="1" t="s">
        <v>2027</v>
      </c>
      <c r="AE132" s="1" t="s">
        <v>2027</v>
      </c>
      <c r="AF132" s="1" t="s">
        <v>2027</v>
      </c>
      <c r="AG132" s="1" t="s">
        <v>2027</v>
      </c>
      <c r="AH132" s="1" t="s">
        <v>2027</v>
      </c>
      <c r="AI132" s="1" t="s">
        <v>2027</v>
      </c>
      <c r="AJ132" s="1" t="s">
        <v>2027</v>
      </c>
      <c r="AK132" s="1" t="s">
        <v>2027</v>
      </c>
      <c r="AL132" s="1" t="s">
        <v>2027</v>
      </c>
      <c r="AM132" s="1" t="s">
        <v>2027</v>
      </c>
      <c r="AN132" s="1" t="s">
        <v>2027</v>
      </c>
      <c r="AO132" s="31" t="s">
        <v>2027</v>
      </c>
      <c r="AP132" s="1" t="s">
        <v>2041</v>
      </c>
      <c r="AQ132" s="1">
        <v>4</v>
      </c>
      <c r="AR132" s="32">
        <v>0.49</v>
      </c>
      <c r="AS132" s="45" t="s">
        <v>2029</v>
      </c>
      <c r="AT132" s="9">
        <f>($O$3*(L132-$O$1)/$O$2+$P$3*(M132-$P$1)/$P$2+$Q$3*(N132-$P$1)/$Q$2)/SUM($O$3:$Q$3)</f>
        <v>-1.0464739830416905</v>
      </c>
      <c r="AU132" s="9">
        <f>($O$3*(O132-$O$1)/$O$2+$P$3*(P132-$P$1)/$P$2+$Q$3*(Q132-$Q$1)/$Q$2)/SUM($O$3:$Q$3)</f>
        <v>-0.11633810019639811</v>
      </c>
      <c r="AV132">
        <f>COUNT(R132:AO132)/2</f>
        <v>4</v>
      </c>
      <c r="AW132">
        <f>COUNTIF(R132:AO132,"&gt;5")/2</f>
        <v>0</v>
      </c>
      <c r="AX132" s="6">
        <f>VLOOKUP(AP132,COND!$A$10:$B$31,2,FALSE)</f>
        <v>1</v>
      </c>
      <c r="AY132" s="9">
        <f>($AT$3*AT132+$AU$3*AU132+$AV$3*AV132+$AW$3*AW132)*AX132*IF(AQ132&lt;5,0.95,IF(AQ132&lt;7,0.975,1))+$J$3*VLOOKUP(J132,[1]Con!$A$2:$C$7,2,FALSE)+$K$3*VLOOKUP(K132,[1]Con!$A$2:$C$7,3,FALSE)+IF(BA132="SP",$BA$3,0)</f>
        <v>29.790746039490514</v>
      </c>
      <c r="AZ132" s="37">
        <f>STANDARDIZE(AY132,AVERAGE($AY$5:$AY$1116),STDEVP($AY$5:$AY$1116))</f>
        <v>-0.32790478292535175</v>
      </c>
      <c r="BA132" t="str">
        <f>IF(OR(AND(AQ132&gt;7,AW132&gt;1),AND(AQ132&gt;4,AV132&gt;2)),"SP","RP")</f>
        <v>RP</v>
      </c>
      <c r="BC132">
        <f>VLOOKUP($A132,'Draft List'!$A$4:$V$530,22,FALSE)</f>
        <v>0</v>
      </c>
      <c r="BE132" t="str">
        <f>IF(AVERAGE($O132:$Q132)&gt;=6,"Likely",IF(AVERAGE($O132:$Q132)&gt;=4,"Possible","Unlikely"))</f>
        <v>Possible</v>
      </c>
      <c r="BG132" t="str">
        <f>IF(VLOOKUP($B132,'Draft List'!$D$4:$AB$2598,BG$3,FALSE)&lt;&gt;0,VLOOKUP($B132,'Draft List'!$D$4:$AB$2598,BG$3,FALSE),"")</f>
        <v/>
      </c>
      <c r="BH132" t="str">
        <f>IF(VLOOKUP($B132,'Draft List'!$D$4:$AB$2598,BH$3,FALSE)&lt;&gt;0,VLOOKUP($B132,'Draft List'!$D$4:$AB$2598,BH$3,FALSE),"")</f>
        <v/>
      </c>
      <c r="BI132" t="str">
        <f>IF(VLOOKUP($B132,'Draft List'!$D$4:$AB$2598,BI$3,FALSE)&lt;&gt;0,VLOOKUP($B132,'Draft List'!$D$4:$AB$2598,BI$3,FALSE),"")</f>
        <v/>
      </c>
      <c r="BJ132" t="str">
        <f>IF(OR(C132="SP",C132="MR",C132="CL"),"P",VLOOKUP($A132,Bat!$A$4:$AP$1287,42,FALSE))</f>
        <v>P</v>
      </c>
    </row>
    <row r="133" spans="1:62">
      <c r="A133" t="str">
        <f>C133&amp;D133&amp;E133</f>
        <v>SPBob Bennett21</v>
      </c>
      <c r="B133">
        <f>VLOOKUP($A133,draft_listing_pitchers_stats!$A$1:$B$1324,2,FALSE)</f>
        <v>2573</v>
      </c>
      <c r="C133" s="1" t="s">
        <v>2003</v>
      </c>
      <c r="D133" s="1" t="s">
        <v>1099</v>
      </c>
      <c r="E133" s="1">
        <v>21</v>
      </c>
      <c r="F133" s="1" t="s">
        <v>2022</v>
      </c>
      <c r="G133" s="1" t="s">
        <v>2022</v>
      </c>
      <c r="H133" s="1" t="s">
        <v>2033</v>
      </c>
      <c r="I133" s="31" t="s">
        <v>2023</v>
      </c>
      <c r="J133" s="1" t="s">
        <v>2025</v>
      </c>
      <c r="K133" s="31" t="s">
        <v>2036</v>
      </c>
      <c r="L133" s="1">
        <v>3</v>
      </c>
      <c r="M133" s="1">
        <v>5</v>
      </c>
      <c r="N133" s="31">
        <v>2</v>
      </c>
      <c r="O133" s="1">
        <v>4</v>
      </c>
      <c r="P133" s="1">
        <v>5</v>
      </c>
      <c r="Q133" s="31">
        <v>4</v>
      </c>
      <c r="R133" s="1">
        <v>4</v>
      </c>
      <c r="S133" s="1">
        <v>5</v>
      </c>
      <c r="T133" s="1">
        <v>4</v>
      </c>
      <c r="U133" s="1">
        <v>4</v>
      </c>
      <c r="V133" s="1" t="s">
        <v>2027</v>
      </c>
      <c r="W133" s="1" t="s">
        <v>2027</v>
      </c>
      <c r="X133" s="1">
        <v>3</v>
      </c>
      <c r="Y133" s="1">
        <v>5</v>
      </c>
      <c r="Z133" s="1" t="s">
        <v>2027</v>
      </c>
      <c r="AA133" s="1" t="s">
        <v>2027</v>
      </c>
      <c r="AB133" s="1" t="s">
        <v>2027</v>
      </c>
      <c r="AC133" s="1" t="s">
        <v>2027</v>
      </c>
      <c r="AD133" s="1" t="s">
        <v>2027</v>
      </c>
      <c r="AE133" s="1" t="s">
        <v>2027</v>
      </c>
      <c r="AF133" s="1" t="s">
        <v>2027</v>
      </c>
      <c r="AG133" s="1" t="s">
        <v>2027</v>
      </c>
      <c r="AH133" s="1">
        <v>1</v>
      </c>
      <c r="AI133" s="1">
        <v>1</v>
      </c>
      <c r="AJ133" s="1" t="s">
        <v>2027</v>
      </c>
      <c r="AK133" s="1" t="s">
        <v>2027</v>
      </c>
      <c r="AL133" s="1" t="s">
        <v>2027</v>
      </c>
      <c r="AM133" s="1" t="s">
        <v>2027</v>
      </c>
      <c r="AN133" s="1" t="s">
        <v>2027</v>
      </c>
      <c r="AO133" s="31" t="s">
        <v>2027</v>
      </c>
      <c r="AP133" s="1" t="s">
        <v>2041</v>
      </c>
      <c r="AQ133" s="1">
        <v>3</v>
      </c>
      <c r="AR133" s="32">
        <v>0.57999999999999996</v>
      </c>
      <c r="AS133" s="45" t="s">
        <v>2029</v>
      </c>
      <c r="AT133" s="9">
        <f>($O$3*(L133-$O$1)/$O$2+$P$3*(M133-$P$1)/$P$2+$Q$3*(N133-$P$1)/$Q$2)/SUM($O$3:$Q$3)</f>
        <v>-1.2880541571749189</v>
      </c>
      <c r="AU133" s="9">
        <f>($O$3*(O133-$O$1)/$O$2+$P$3*(P133-$P$1)/$P$2+$Q$3*(Q133-$Q$1)/$Q$2)/SUM($O$3:$Q$3)</f>
        <v>-0.16322694982045299</v>
      </c>
      <c r="AV133">
        <f>COUNT(R133:AO133)/2</f>
        <v>4</v>
      </c>
      <c r="AW133">
        <f>COUNTIF(R133:AO133,"&gt;5")/2</f>
        <v>0</v>
      </c>
      <c r="AX133" s="6">
        <f>VLOOKUP(AP133,COND!$A$10:$B$31,2,FALSE)</f>
        <v>1</v>
      </c>
      <c r="AY133" s="9">
        <f>($AT$3*AT133+$AU$3*AU133+$AV$3*AV133+$AW$3*AW133)*AX133*IF(AQ133&lt;5,0.95,IF(AQ133&lt;7,0.975,1))+$J$3*VLOOKUP(J133,[1]Con!$A$2:$C$7,2,FALSE)+$K$3*VLOOKUP(K133,[1]Con!$A$2:$C$7,3,FALSE)+IF(BA133="SP",$BA$3,0)</f>
        <v>29.603957663548158</v>
      </c>
      <c r="AZ133" s="37">
        <f>STANDARDIZE(AY133,AVERAGE($AY$5:$AY$1116),STDEVP($AY$5:$AY$1116))</f>
        <v>-0.34273326587338621</v>
      </c>
      <c r="BA133" t="str">
        <f>IF(OR(AND(AQ133&gt;7,AW133&gt;1),AND(AQ133&gt;4,AV133&gt;2)),"SP","RP")</f>
        <v>RP</v>
      </c>
      <c r="BC133">
        <f>VLOOKUP($A133,'Draft List'!$A$4:$V$530,22,FALSE)</f>
        <v>0</v>
      </c>
      <c r="BD133" t="s">
        <v>154</v>
      </c>
      <c r="BE133" t="str">
        <f>IF(AVERAGE($O133:$Q133)&gt;=6,"Likely",IF(AVERAGE($O133:$Q133)&gt;=4,"Possible","Unlikely"))</f>
        <v>Possible</v>
      </c>
      <c r="BG133" t="str">
        <f>IF(VLOOKUP($B133,'Draft List'!$D$4:$AB$2598,BG$3,FALSE)&lt;&gt;0,VLOOKUP($B133,'Draft List'!$D$4:$AB$2598,BG$3,FALSE),"")</f>
        <v/>
      </c>
      <c r="BH133" t="str">
        <f>IF(VLOOKUP($B133,'Draft List'!$D$4:$AB$2598,BH$3,FALSE)&lt;&gt;0,VLOOKUP($B133,'Draft List'!$D$4:$AB$2598,BH$3,FALSE),"")</f>
        <v/>
      </c>
      <c r="BI133" t="str">
        <f>IF(VLOOKUP($B133,'Draft List'!$D$4:$AB$2598,BI$3,FALSE)&lt;&gt;0,VLOOKUP($B133,'Draft List'!$D$4:$AB$2598,BI$3,FALSE),"")</f>
        <v/>
      </c>
      <c r="BJ133" t="str">
        <f>IF(OR(C133="SP",C133="MR",C133="CL"),"P",VLOOKUP($A133,Bat!$A$4:$AP$1287,42,FALSE))</f>
        <v>P</v>
      </c>
    </row>
    <row r="134" spans="1:62">
      <c r="A134" t="str">
        <f>C134&amp;D134&amp;E134</f>
        <v>MREd Randolph21</v>
      </c>
      <c r="B134">
        <f>VLOOKUP($A134,draft_listing_pitchers_stats!$A$1:$B$1324,2,FALSE)</f>
        <v>9240</v>
      </c>
      <c r="C134" s="1" t="s">
        <v>2021</v>
      </c>
      <c r="D134" s="1" t="s">
        <v>1043</v>
      </c>
      <c r="E134" s="1">
        <v>21</v>
      </c>
      <c r="F134" s="1" t="s">
        <v>2038</v>
      </c>
      <c r="G134" s="1" t="s">
        <v>2038</v>
      </c>
      <c r="H134" s="1" t="s">
        <v>2033</v>
      </c>
      <c r="I134" s="31" t="s">
        <v>2033</v>
      </c>
      <c r="J134" s="1" t="s">
        <v>2025</v>
      </c>
      <c r="K134" s="31" t="s">
        <v>2036</v>
      </c>
      <c r="L134" s="1">
        <v>4</v>
      </c>
      <c r="M134" s="1">
        <v>4</v>
      </c>
      <c r="N134" s="31">
        <v>2</v>
      </c>
      <c r="O134" s="1">
        <v>4</v>
      </c>
      <c r="P134" s="1">
        <v>4</v>
      </c>
      <c r="Q134" s="31">
        <v>5</v>
      </c>
      <c r="R134" s="1">
        <v>5</v>
      </c>
      <c r="S134" s="1">
        <v>5</v>
      </c>
      <c r="T134" s="1" t="s">
        <v>2027</v>
      </c>
      <c r="U134" s="1" t="s">
        <v>2027</v>
      </c>
      <c r="V134" s="1">
        <v>3</v>
      </c>
      <c r="W134" s="1">
        <v>4</v>
      </c>
      <c r="X134" s="1" t="s">
        <v>2027</v>
      </c>
      <c r="Y134" s="1" t="s">
        <v>2027</v>
      </c>
      <c r="Z134" s="1" t="s">
        <v>2027</v>
      </c>
      <c r="AA134" s="1" t="s">
        <v>2027</v>
      </c>
      <c r="AB134" s="1" t="s">
        <v>2027</v>
      </c>
      <c r="AC134" s="1" t="s">
        <v>2027</v>
      </c>
      <c r="AD134" s="1" t="s">
        <v>2027</v>
      </c>
      <c r="AE134" s="1" t="s">
        <v>2027</v>
      </c>
      <c r="AF134" s="1" t="s">
        <v>2027</v>
      </c>
      <c r="AG134" s="1" t="s">
        <v>2027</v>
      </c>
      <c r="AH134" s="1" t="s">
        <v>2027</v>
      </c>
      <c r="AI134" s="1" t="s">
        <v>2027</v>
      </c>
      <c r="AJ134" s="1" t="s">
        <v>2027</v>
      </c>
      <c r="AK134" s="1" t="s">
        <v>2027</v>
      </c>
      <c r="AL134" s="1" t="s">
        <v>2027</v>
      </c>
      <c r="AM134" s="1" t="s">
        <v>2027</v>
      </c>
      <c r="AN134" s="1" t="s">
        <v>2027</v>
      </c>
      <c r="AO134" s="31" t="s">
        <v>2027</v>
      </c>
      <c r="AP134" s="1" t="s">
        <v>2044</v>
      </c>
      <c r="AQ134" s="1">
        <v>1</v>
      </c>
      <c r="AR134" s="32">
        <v>0.47</v>
      </c>
      <c r="AS134" s="45" t="s">
        <v>2029</v>
      </c>
      <c r="AT134" s="9">
        <f>($O$3*(L134-$O$1)/$O$2+$P$3*(M134-$P$1)/$P$2+$Q$3*(N134-$P$1)/$Q$2)/SUM($O$3:$Q$3)</f>
        <v>-1.288794549095801</v>
      </c>
      <c r="AU134" s="9">
        <f>($O$3*(O134-$O$1)/$O$2+$P$3*(P134-$P$1)/$P$2+$Q$3*(Q134-$Q$1)/$Q$2)/SUM($O$3:$Q$3)</f>
        <v>-0.11633810019639811</v>
      </c>
      <c r="AV134">
        <f>COUNT(R134:AO134)/2</f>
        <v>2</v>
      </c>
      <c r="AW134">
        <f>COUNTIF(R134:AO134,"&gt;5")/2</f>
        <v>0</v>
      </c>
      <c r="AX134" s="6">
        <f>VLOOKUP(AP134,COND!$A$10:$B$31,2,FALSE)</f>
        <v>1</v>
      </c>
      <c r="AY134" s="9">
        <f>($AT$3*AT134+$AU$3*AU134+$AV$3*AV134+$AW$3*AW134)*AX134*IF(AQ134&lt;5,0.95,IF(AQ134&lt;7,0.975,1))+$J$3*VLOOKUP(J134,[1]Con!$A$2:$C$7,2,FALSE)+$K$3*VLOOKUP(K134,[1]Con!$A$2:$C$7,3,FALSE)+IF(BA134="SP",$BA$3,0)</f>
        <v>29.544705131940233</v>
      </c>
      <c r="AZ134" s="37">
        <f>STANDARDIZE(AY134,AVERAGE($AY$5:$AY$1116),STDEVP($AY$5:$AY$1116))</f>
        <v>-0.34743711936610644</v>
      </c>
      <c r="BA134" t="str">
        <f>IF(OR(AND(AQ134&gt;7,AW134&gt;1),AND(AQ134&gt;4,AV134&gt;2)),"SP","RP")</f>
        <v>RP</v>
      </c>
      <c r="BC134">
        <f>VLOOKUP($A134,'Draft List'!$A$4:$V$530,22,FALSE)</f>
        <v>0</v>
      </c>
      <c r="BE134" t="str">
        <f>IF(AVERAGE($O134:$Q134)&gt;=6,"Likely",IF(AVERAGE($O134:$Q134)&gt;=4,"Possible","Unlikely"))</f>
        <v>Possible</v>
      </c>
      <c r="BG134" t="str">
        <f>IF(VLOOKUP($B134,'Draft List'!$D$4:$AB$2598,BG$3,FALSE)&lt;&gt;0,VLOOKUP($B134,'Draft List'!$D$4:$AB$2598,BG$3,FALSE),"")</f>
        <v/>
      </c>
      <c r="BH134" t="str">
        <f>IF(VLOOKUP($B134,'Draft List'!$D$4:$AB$2598,BH$3,FALSE)&lt;&gt;0,VLOOKUP($B134,'Draft List'!$D$4:$AB$2598,BH$3,FALSE),"")</f>
        <v/>
      </c>
      <c r="BI134" t="str">
        <f>IF(VLOOKUP($B134,'Draft List'!$D$4:$AB$2598,BI$3,FALSE)&lt;&gt;0,VLOOKUP($B134,'Draft List'!$D$4:$AB$2598,BI$3,FALSE),"")</f>
        <v/>
      </c>
      <c r="BJ134" t="str">
        <f>IF(OR(C134="SP",C134="MR",C134="CL"),"P",VLOOKUP($A134,Bat!$A$4:$AP$1287,42,FALSE))</f>
        <v>P</v>
      </c>
    </row>
    <row r="135" spans="1:62">
      <c r="A135" t="str">
        <f>C135&amp;D135&amp;E135</f>
        <v>MRRob Magee18</v>
      </c>
      <c r="B135" t="e">
        <f>VLOOKUP($A135,draft_listing_pitchers_stats!$A$1:$B$1324,2,FALSE)</f>
        <v>#N/A</v>
      </c>
      <c r="C135" s="1" t="s">
        <v>2021</v>
      </c>
      <c r="D135" s="1" t="s">
        <v>1131</v>
      </c>
      <c r="E135" s="1">
        <v>18</v>
      </c>
      <c r="F135" s="1" t="s">
        <v>2022</v>
      </c>
      <c r="G135" s="1" t="s">
        <v>2022</v>
      </c>
      <c r="H135" s="1" t="s">
        <v>2033</v>
      </c>
      <c r="I135" s="31" t="s">
        <v>2023</v>
      </c>
      <c r="J135" s="1" t="s">
        <v>2025</v>
      </c>
      <c r="K135" s="31" t="s">
        <v>2026</v>
      </c>
      <c r="L135" s="1">
        <v>2</v>
      </c>
      <c r="M135" s="1">
        <v>3</v>
      </c>
      <c r="N135" s="31">
        <v>1</v>
      </c>
      <c r="O135" s="1">
        <v>4</v>
      </c>
      <c r="P135" s="1">
        <v>3</v>
      </c>
      <c r="Q135" s="31">
        <v>6</v>
      </c>
      <c r="R135" s="1">
        <v>2</v>
      </c>
      <c r="S135" s="1">
        <v>2</v>
      </c>
      <c r="T135" s="1">
        <v>1</v>
      </c>
      <c r="U135" s="1">
        <v>7</v>
      </c>
      <c r="V135" s="1" t="s">
        <v>2027</v>
      </c>
      <c r="W135" s="1" t="s">
        <v>2027</v>
      </c>
      <c r="X135" s="1">
        <v>2</v>
      </c>
      <c r="Y135" s="1">
        <v>4</v>
      </c>
      <c r="Z135" s="1" t="s">
        <v>2027</v>
      </c>
      <c r="AA135" s="1" t="s">
        <v>2027</v>
      </c>
      <c r="AB135" s="1" t="s">
        <v>2027</v>
      </c>
      <c r="AC135" s="1" t="s">
        <v>2027</v>
      </c>
      <c r="AD135" s="1" t="s">
        <v>2027</v>
      </c>
      <c r="AE135" s="1" t="s">
        <v>2027</v>
      </c>
      <c r="AF135" s="1" t="s">
        <v>2027</v>
      </c>
      <c r="AG135" s="1" t="s">
        <v>2027</v>
      </c>
      <c r="AH135" s="1" t="s">
        <v>2027</v>
      </c>
      <c r="AI135" s="1" t="s">
        <v>2027</v>
      </c>
      <c r="AJ135" s="1" t="s">
        <v>2027</v>
      </c>
      <c r="AK135" s="1" t="s">
        <v>2027</v>
      </c>
      <c r="AL135" s="1" t="s">
        <v>2027</v>
      </c>
      <c r="AM135" s="1" t="s">
        <v>2027</v>
      </c>
      <c r="AN135" s="1" t="s">
        <v>2027</v>
      </c>
      <c r="AO135" s="31" t="s">
        <v>2027</v>
      </c>
      <c r="AP135" s="1" t="s">
        <v>2063</v>
      </c>
      <c r="AQ135" s="1">
        <v>2</v>
      </c>
      <c r="AR135" s="32">
        <v>0.43</v>
      </c>
      <c r="AS135" s="45" t="s">
        <v>2029</v>
      </c>
      <c r="AT135" s="9">
        <f>($O$3*(L135-$O$1)/$O$2+$P$3*(M135-$P$1)/$P$2+$Q$3*(N135-$P$1)/$Q$2)/SUM($O$3:$Q$3)</f>
        <v>-2.1159294805983135</v>
      </c>
      <c r="AU135" s="9">
        <f>($O$3*(O135-$O$1)/$O$2+$P$3*(P135-$P$1)/$P$2+$Q$3*(Q135-$Q$1)/$Q$2)/SUM($O$3:$Q$3)</f>
        <v>-6.9449250572343108E-2</v>
      </c>
      <c r="AV135">
        <f>COUNT(R135:AO135)/2</f>
        <v>3</v>
      </c>
      <c r="AW135">
        <f>COUNTIF(R135:AO135,"&gt;5")/2</f>
        <v>0.5</v>
      </c>
      <c r="AX135" s="6">
        <f>VLOOKUP(AP135,COND!$A$10:$B$31,2,FALSE)</f>
        <v>0.9</v>
      </c>
      <c r="AY135" s="9">
        <f>($AT$3*AT135+$AU$3*AU135+$AV$3*AV135+$AW$3*AW135)*AX135*IF(AQ135&lt;5,0.95,IF(AQ135&lt;7,0.975,1))+$J$3*VLOOKUP(J135,[1]Con!$A$2:$C$7,2,FALSE)+$K$3*VLOOKUP(K135,[1]Con!$A$2:$C$7,3,FALSE)+IF(BA135="SP",$BA$3,0)</f>
        <v>29.517468874030619</v>
      </c>
      <c r="AZ135" s="37">
        <f>STANDARDIZE(AY135,AVERAGE($AY$5:$AY$1116),STDEVP($AY$5:$AY$1116))</f>
        <v>-0.349599311654269</v>
      </c>
      <c r="BA135" t="str">
        <f>IF(OR(AND(AQ135&gt;7,AW135&gt;1),AND(AQ135&gt;4,AV135&gt;2)),"SP","RP")</f>
        <v>RP</v>
      </c>
      <c r="BC135" t="e">
        <f>VLOOKUP($A135,'Draft List'!$A$4:$V$530,22,FALSE)</f>
        <v>#N/A</v>
      </c>
      <c r="BE135" t="str">
        <f>IF(AVERAGE($O135:$Q135)&gt;=6,"Likely",IF(AVERAGE($O135:$Q135)&gt;=4,"Possible","Unlikely"))</f>
        <v>Possible</v>
      </c>
      <c r="BG135" t="e">
        <f>IF(VLOOKUP($B135,'Draft List'!$D$4:$AB$2598,BG$3,FALSE)&lt;&gt;0,VLOOKUP($B135,'Draft List'!$D$4:$AB$2598,BG$3,FALSE),"")</f>
        <v>#N/A</v>
      </c>
      <c r="BH135" t="e">
        <f>IF(VLOOKUP($B135,'Draft List'!$D$4:$AB$2598,BH$3,FALSE)&lt;&gt;0,VLOOKUP($B135,'Draft List'!$D$4:$AB$2598,BH$3,FALSE),"")</f>
        <v>#N/A</v>
      </c>
      <c r="BI135" t="e">
        <f>IF(VLOOKUP($B135,'Draft List'!$D$4:$AB$2598,BI$3,FALSE)&lt;&gt;0,VLOOKUP($B135,'Draft List'!$D$4:$AB$2598,BI$3,FALSE),"")</f>
        <v>#N/A</v>
      </c>
      <c r="BJ135" t="str">
        <f>IF(OR(C135="SP",C135="MR",C135="CL"),"P",VLOOKUP($A135,Bat!$A$4:$AP$1287,42,FALSE))</f>
        <v>P</v>
      </c>
    </row>
    <row r="136" spans="1:62">
      <c r="A136" t="str">
        <f>C136&amp;D136&amp;E136</f>
        <v>MRRoy Robinson18</v>
      </c>
      <c r="B136">
        <f>VLOOKUP($A136,draft_listing_pitchers_stats!$A$1:$B$1324,2,FALSE)</f>
        <v>13836</v>
      </c>
      <c r="C136" s="1" t="s">
        <v>2021</v>
      </c>
      <c r="D136" s="1" t="s">
        <v>1047</v>
      </c>
      <c r="E136" s="1">
        <v>18</v>
      </c>
      <c r="F136" s="1" t="s">
        <v>2038</v>
      </c>
      <c r="G136" s="1" t="s">
        <v>2038</v>
      </c>
      <c r="H136" s="1" t="s">
        <v>2033</v>
      </c>
      <c r="I136" s="31" t="s">
        <v>2033</v>
      </c>
      <c r="J136" s="1" t="s">
        <v>2030</v>
      </c>
      <c r="K136" s="31" t="s">
        <v>2030</v>
      </c>
      <c r="L136" s="1">
        <v>3</v>
      </c>
      <c r="M136" s="1">
        <v>3</v>
      </c>
      <c r="N136" s="31">
        <v>1</v>
      </c>
      <c r="O136" s="1">
        <v>4</v>
      </c>
      <c r="P136" s="1">
        <v>3</v>
      </c>
      <c r="Q136" s="31">
        <v>5</v>
      </c>
      <c r="R136" s="1">
        <v>3</v>
      </c>
      <c r="S136" s="1">
        <v>4</v>
      </c>
      <c r="T136" s="1">
        <v>1</v>
      </c>
      <c r="U136" s="1">
        <v>4</v>
      </c>
      <c r="V136" s="1">
        <v>2</v>
      </c>
      <c r="W136" s="1">
        <v>3</v>
      </c>
      <c r="X136" s="1" t="s">
        <v>2027</v>
      </c>
      <c r="Y136" s="1" t="s">
        <v>2027</v>
      </c>
      <c r="Z136" s="1" t="s">
        <v>2027</v>
      </c>
      <c r="AA136" s="1" t="s">
        <v>2027</v>
      </c>
      <c r="AB136" s="1">
        <v>3</v>
      </c>
      <c r="AC136" s="1">
        <v>4</v>
      </c>
      <c r="AD136" s="1" t="s">
        <v>2027</v>
      </c>
      <c r="AE136" s="1" t="s">
        <v>2027</v>
      </c>
      <c r="AF136" s="1">
        <v>3</v>
      </c>
      <c r="AG136" s="1">
        <v>4</v>
      </c>
      <c r="AH136" s="1" t="s">
        <v>2027</v>
      </c>
      <c r="AI136" s="1" t="s">
        <v>2027</v>
      </c>
      <c r="AJ136" s="1" t="s">
        <v>2027</v>
      </c>
      <c r="AK136" s="1" t="s">
        <v>2027</v>
      </c>
      <c r="AL136" s="1" t="s">
        <v>2027</v>
      </c>
      <c r="AM136" s="1" t="s">
        <v>2027</v>
      </c>
      <c r="AN136" s="1" t="s">
        <v>2027</v>
      </c>
      <c r="AO136" s="31" t="s">
        <v>2027</v>
      </c>
      <c r="AP136" s="1" t="s">
        <v>2034</v>
      </c>
      <c r="AQ136" s="1">
        <v>8</v>
      </c>
      <c r="AR136" s="32">
        <v>0.44</v>
      </c>
      <c r="AS136" s="45">
        <v>1900000</v>
      </c>
      <c r="AT136" s="9">
        <f>($O$3*(L136-$O$1)/$O$2+$P$3*(M136-$P$1)/$P$2+$Q$3*(N136-$P$1)/$Q$2)/SUM($O$3:$Q$3)</f>
        <v>-1.9212381560891401</v>
      </c>
      <c r="AU136" s="9">
        <f>($O$3*(O136-$O$1)/$O$2+$P$3*(P136-$P$1)/$P$2+$Q$3*(Q136-$Q$1)/$Q$2)/SUM($O$3:$Q$3)</f>
        <v>-0.31176981662645348</v>
      </c>
      <c r="AV136">
        <f>COUNT(R136:AO136)/2</f>
        <v>5</v>
      </c>
      <c r="AW136">
        <f>COUNTIF(R136:AO136,"&gt;5")/2</f>
        <v>0</v>
      </c>
      <c r="AX136" s="6">
        <f>VLOOKUP(AP136,COND!$A$10:$B$31,2,FALSE)</f>
        <v>1</v>
      </c>
      <c r="AY136" s="9">
        <f>($AT$3*AT136+$AU$3*AU136+$AV$3*AV136+$AW$3*AW136)*AX136*IF(AQ136&lt;5,0.95,IF(AQ136&lt;7,0.975,1))+$J$3*VLOOKUP(J136,[1]Con!$A$2:$C$7,2,FALSE)+$K$3*VLOOKUP(K136,[1]Con!$A$2:$C$7,3,FALSE)+IF(BA136="SP",$BA$3,0)</f>
        <v>29.380356036253104</v>
      </c>
      <c r="AZ136" s="37">
        <f>STANDARDIZE(AY136,AVERAGE($AY$5:$AY$1116),STDEVP($AY$5:$AY$1116))</f>
        <v>-0.36048422548620868</v>
      </c>
      <c r="BA136" t="str">
        <f>IF(OR(AND(AQ136&gt;7,AW136&gt;1),AND(AQ136&gt;4,AV136&gt;2)),"SP","RP")</f>
        <v>SP</v>
      </c>
      <c r="BC136">
        <f>VLOOKUP($A136,'Draft List'!$A$4:$V$530,22,FALSE)</f>
        <v>0</v>
      </c>
      <c r="BD136" t="s">
        <v>10</v>
      </c>
      <c r="BE136" t="str">
        <f>IF(AVERAGE($O136:$Q136)&gt;=6,"Likely",IF(AVERAGE($O136:$Q136)&gt;=4,"Possible","Unlikely"))</f>
        <v>Possible</v>
      </c>
      <c r="BG136" t="str">
        <f>IF(VLOOKUP($B136,'Draft List'!$D$4:$AB$2598,BG$3,FALSE)&lt;&gt;0,VLOOKUP($B136,'Draft List'!$D$4:$AB$2598,BG$3,FALSE),"")</f>
        <v/>
      </c>
      <c r="BH136" t="str">
        <f>IF(VLOOKUP($B136,'Draft List'!$D$4:$AB$2598,BH$3,FALSE)&lt;&gt;0,VLOOKUP($B136,'Draft List'!$D$4:$AB$2598,BH$3,FALSE),"")</f>
        <v/>
      </c>
      <c r="BI136" t="str">
        <f>IF(VLOOKUP($B136,'Draft List'!$D$4:$AB$2598,BI$3,FALSE)&lt;&gt;0,VLOOKUP($B136,'Draft List'!$D$4:$AB$2598,BI$3,FALSE),"")</f>
        <v/>
      </c>
      <c r="BJ136" t="str">
        <f>IF(OR(C136="SP",C136="MR",C136="CL"),"P",VLOOKUP($A136,Bat!$A$4:$AP$1287,42,FALSE))</f>
        <v>P</v>
      </c>
    </row>
    <row r="137" spans="1:62">
      <c r="A137" t="str">
        <f>C137&amp;D137&amp;E137</f>
        <v>MRRamiro González21</v>
      </c>
      <c r="B137">
        <f>VLOOKUP($A137,draft_listing_pitchers_stats!$A$1:$B$1324,2,FALSE)</f>
        <v>2105</v>
      </c>
      <c r="C137" s="1" t="s">
        <v>2021</v>
      </c>
      <c r="D137" s="1" t="s">
        <v>1115</v>
      </c>
      <c r="E137" s="1">
        <v>21</v>
      </c>
      <c r="F137" s="1" t="s">
        <v>2022</v>
      </c>
      <c r="G137" s="1" t="s">
        <v>2022</v>
      </c>
      <c r="H137" s="1" t="s">
        <v>2033</v>
      </c>
      <c r="I137" s="31" t="s">
        <v>2023</v>
      </c>
      <c r="J137" s="1" t="s">
        <v>2026</v>
      </c>
      <c r="K137" s="31" t="s">
        <v>2036</v>
      </c>
      <c r="L137" s="1">
        <v>4</v>
      </c>
      <c r="M137" s="1">
        <v>4</v>
      </c>
      <c r="N137" s="31">
        <v>2</v>
      </c>
      <c r="O137" s="1">
        <v>4</v>
      </c>
      <c r="P137" s="1">
        <v>4</v>
      </c>
      <c r="Q137" s="31">
        <v>5</v>
      </c>
      <c r="R137" s="1">
        <v>5</v>
      </c>
      <c r="S137" s="1">
        <v>5</v>
      </c>
      <c r="T137" s="1">
        <v>4</v>
      </c>
      <c r="U137" s="1">
        <v>4</v>
      </c>
      <c r="V137" s="1">
        <v>3</v>
      </c>
      <c r="W137" s="1">
        <v>4</v>
      </c>
      <c r="X137" s="1" t="s">
        <v>2027</v>
      </c>
      <c r="Y137" s="1" t="s">
        <v>2027</v>
      </c>
      <c r="Z137" s="1" t="s">
        <v>2027</v>
      </c>
      <c r="AA137" s="1" t="s">
        <v>2027</v>
      </c>
      <c r="AB137" s="1" t="s">
        <v>2027</v>
      </c>
      <c r="AC137" s="1" t="s">
        <v>2027</v>
      </c>
      <c r="AD137" s="1" t="s">
        <v>2027</v>
      </c>
      <c r="AE137" s="1" t="s">
        <v>2027</v>
      </c>
      <c r="AF137" s="1" t="s">
        <v>2027</v>
      </c>
      <c r="AG137" s="1" t="s">
        <v>2027</v>
      </c>
      <c r="AH137" s="1" t="s">
        <v>2027</v>
      </c>
      <c r="AI137" s="1" t="s">
        <v>2027</v>
      </c>
      <c r="AJ137" s="1" t="s">
        <v>2027</v>
      </c>
      <c r="AK137" s="1" t="s">
        <v>2027</v>
      </c>
      <c r="AL137" s="1" t="s">
        <v>2027</v>
      </c>
      <c r="AM137" s="1" t="s">
        <v>2027</v>
      </c>
      <c r="AN137" s="1" t="s">
        <v>2027</v>
      </c>
      <c r="AO137" s="31" t="s">
        <v>2027</v>
      </c>
      <c r="AP137" s="1" t="s">
        <v>2041</v>
      </c>
      <c r="AQ137" s="1">
        <v>4</v>
      </c>
      <c r="AR137" s="32">
        <v>0.55000000000000004</v>
      </c>
      <c r="AS137" s="45" t="s">
        <v>2029</v>
      </c>
      <c r="AT137" s="9">
        <f>($O$3*(L137-$O$1)/$O$2+$P$3*(M137-$P$1)/$P$2+$Q$3*(N137-$P$1)/$Q$2)/SUM($O$3:$Q$3)</f>
        <v>-1.288794549095801</v>
      </c>
      <c r="AU137" s="9">
        <f>($O$3*(O137-$O$1)/$O$2+$P$3*(P137-$P$1)/$P$2+$Q$3*(Q137-$Q$1)/$Q$2)/SUM($O$3:$Q$3)</f>
        <v>-0.11633810019639811</v>
      </c>
      <c r="AV137">
        <f>COUNT(R137:AO137)/2</f>
        <v>3</v>
      </c>
      <c r="AW137">
        <f>COUNTIF(R137:AO137,"&gt;5")/2</f>
        <v>0</v>
      </c>
      <c r="AX137" s="6">
        <f>VLOOKUP(AP137,COND!$A$10:$B$31,2,FALSE)</f>
        <v>1</v>
      </c>
      <c r="AY137" s="9">
        <f>($AT$3*AT137+$AU$3*AU137+$AV$3*AV137+$AW$3*AW137)*AX137*IF(AQ137&lt;5,0.95,IF(AQ137&lt;7,0.975,1))+$J$3*VLOOKUP(J137,[1]Con!$A$2:$C$7,2,FALSE)+$K$3*VLOOKUP(K137,[1]Con!$A$2:$C$7,3,FALSE)+IF(BA137="SP",$BA$3,0)</f>
        <v>29.269705131940235</v>
      </c>
      <c r="AZ137" s="37">
        <f>STANDARDIZE(AY137,AVERAGE($AY$5:$AY$1116),STDEVP($AY$5:$AY$1116))</f>
        <v>-0.36926841796879839</v>
      </c>
      <c r="BA137" t="str">
        <f>IF(OR(AND(AQ137&gt;7,AW137&gt;1),AND(AQ137&gt;4,AV137&gt;2)),"SP","RP")</f>
        <v>RP</v>
      </c>
      <c r="BC137">
        <f>VLOOKUP($A137,'Draft List'!$A$4:$V$530,22,FALSE)</f>
        <v>0</v>
      </c>
      <c r="BE137" t="str">
        <f>IF(AVERAGE($O137:$Q137)&gt;=6,"Likely",IF(AVERAGE($O137:$Q137)&gt;=4,"Possible","Unlikely"))</f>
        <v>Possible</v>
      </c>
      <c r="BG137" t="str">
        <f>IF(VLOOKUP($B137,'Draft List'!$D$4:$AB$2598,BG$3,FALSE)&lt;&gt;0,VLOOKUP($B137,'Draft List'!$D$4:$AB$2598,BG$3,FALSE),"")</f>
        <v/>
      </c>
      <c r="BH137" t="str">
        <f>IF(VLOOKUP($B137,'Draft List'!$D$4:$AB$2598,BH$3,FALSE)&lt;&gt;0,VLOOKUP($B137,'Draft List'!$D$4:$AB$2598,BH$3,FALSE),"")</f>
        <v/>
      </c>
      <c r="BI137" t="str">
        <f>IF(VLOOKUP($B137,'Draft List'!$D$4:$AB$2598,BI$3,FALSE)&lt;&gt;0,VLOOKUP($B137,'Draft List'!$D$4:$AB$2598,BI$3,FALSE),"")</f>
        <v/>
      </c>
      <c r="BJ137" t="str">
        <f>IF(OR(C137="SP",C137="MR",C137="CL"),"P",VLOOKUP($A137,Bat!$A$4:$AP$1287,42,FALSE))</f>
        <v>P</v>
      </c>
    </row>
    <row r="138" spans="1:62">
      <c r="A138" t="str">
        <f>C138&amp;D138&amp;E138</f>
        <v>MRSean Greene21</v>
      </c>
      <c r="B138">
        <f>VLOOKUP($A138,draft_listing_pitchers_stats!$A$1:$B$1324,2,FALSE)</f>
        <v>3456</v>
      </c>
      <c r="C138" s="1" t="s">
        <v>107</v>
      </c>
      <c r="D138" s="1" t="s">
        <v>1306</v>
      </c>
      <c r="E138" s="1">
        <v>21</v>
      </c>
      <c r="F138" s="1" t="s">
        <v>2022</v>
      </c>
      <c r="G138" s="1" t="s">
        <v>2022</v>
      </c>
      <c r="H138" s="1" t="s">
        <v>2033</v>
      </c>
      <c r="I138" s="31" t="s">
        <v>2033</v>
      </c>
      <c r="J138" s="1" t="s">
        <v>2026</v>
      </c>
      <c r="K138" s="31" t="s">
        <v>2025</v>
      </c>
      <c r="L138" s="1">
        <v>5</v>
      </c>
      <c r="M138" s="1">
        <v>8</v>
      </c>
      <c r="N138" s="31">
        <v>1</v>
      </c>
      <c r="O138" s="1">
        <v>6</v>
      </c>
      <c r="P138" s="1">
        <v>8</v>
      </c>
      <c r="Q138" s="31">
        <v>4</v>
      </c>
      <c r="R138" s="1">
        <v>5</v>
      </c>
      <c r="S138" s="1">
        <v>7</v>
      </c>
      <c r="T138" s="1" t="s">
        <v>2027</v>
      </c>
      <c r="U138" s="1" t="s">
        <v>2027</v>
      </c>
      <c r="V138" s="1" t="s">
        <v>2027</v>
      </c>
      <c r="W138" s="1" t="s">
        <v>2027</v>
      </c>
      <c r="X138" s="1">
        <v>5</v>
      </c>
      <c r="Y138" s="1">
        <v>7</v>
      </c>
      <c r="Z138" s="1" t="s">
        <v>2027</v>
      </c>
      <c r="AA138" s="1" t="s">
        <v>2027</v>
      </c>
      <c r="AB138" s="1" t="s">
        <v>2027</v>
      </c>
      <c r="AC138" s="1" t="s">
        <v>2027</v>
      </c>
      <c r="AD138" s="1" t="s">
        <v>2027</v>
      </c>
      <c r="AE138" s="1" t="s">
        <v>2027</v>
      </c>
      <c r="AF138" s="1" t="s">
        <v>2027</v>
      </c>
      <c r="AG138" s="1" t="s">
        <v>2027</v>
      </c>
      <c r="AH138" s="1" t="s">
        <v>2027</v>
      </c>
      <c r="AI138" s="1" t="s">
        <v>2027</v>
      </c>
      <c r="AJ138" s="1" t="s">
        <v>2027</v>
      </c>
      <c r="AK138" s="1" t="s">
        <v>2027</v>
      </c>
      <c r="AL138" s="1" t="s">
        <v>2027</v>
      </c>
      <c r="AM138" s="1" t="s">
        <v>2027</v>
      </c>
      <c r="AN138" s="1" t="s">
        <v>2027</v>
      </c>
      <c r="AO138" s="31" t="s">
        <v>2027</v>
      </c>
      <c r="AP138" s="1" t="s">
        <v>2034</v>
      </c>
      <c r="AQ138" s="1">
        <v>1</v>
      </c>
      <c r="AR138" s="32">
        <v>0.63</v>
      </c>
      <c r="AS138" s="35" t="s">
        <v>2029</v>
      </c>
      <c r="AT138" s="9"/>
      <c r="AU138" s="9"/>
      <c r="AY138" s="9">
        <f>($AT$3*AT138+$AU$3*AU138+$AV$3*AV138+$AW$3*AW138)*AX138*IF(AQ138&lt;5,0.95,IF(AQ138&lt;7,0.975,1))+$J$3*VLOOKUP(J138,[1]Con!$A$2:$C$7,2,FALSE)+$K$3*VLOOKUP(K138,[1]Con!$A$2:$C$7,3,FALSE)+IF(BA138="SP",$BA$3,0)</f>
        <v>29.25</v>
      </c>
      <c r="AZ138" s="37">
        <f>STANDARDIZE(AY138,AVERAGE($AY$5:$AY$1116),STDEVP($AY$5:$AY$1116))</f>
        <v>-0.37083274022113549</v>
      </c>
      <c r="BA138" t="str">
        <f>IF(OR(AND(AQ138&gt;7,AW138&gt;1),AND(AQ138&gt;4,AV138&gt;2)),"SP","RP")</f>
        <v>RP</v>
      </c>
      <c r="BC138">
        <f>VLOOKUP($A138,'Draft List'!$A$4:$V$530,22,FALSE)</f>
        <v>0</v>
      </c>
      <c r="BE138" t="str">
        <f>IF(AVERAGE($O138:$Q138)&gt;=6,"Likely",IF(AVERAGE($O138:$Q138)&gt;=4,"Possible","Unlikely"))</f>
        <v>Likely</v>
      </c>
      <c r="BG138" t="str">
        <f>IF(VLOOKUP($B138,'Draft List'!$D$4:$AB$2598,BG$3,FALSE)&lt;&gt;0,VLOOKUP($B138,'Draft List'!$D$4:$AB$2598,BG$3,FALSE),"")</f>
        <v/>
      </c>
      <c r="BH138" t="str">
        <f>IF(VLOOKUP($B138,'Draft List'!$D$4:$AB$2598,BH$3,FALSE)&lt;&gt;0,VLOOKUP($B138,'Draft List'!$D$4:$AB$2598,BH$3,FALSE),"")</f>
        <v/>
      </c>
      <c r="BI138" t="str">
        <f>IF(VLOOKUP($B138,'Draft List'!$D$4:$AB$2598,BI$3,FALSE)&lt;&gt;0,VLOOKUP($B138,'Draft List'!$D$4:$AB$2598,BI$3,FALSE),"")</f>
        <v/>
      </c>
      <c r="BJ138" t="str">
        <f>IF(OR(C138="SP",C138="MR",C138="CL"),"P",VLOOKUP($A138,Bat!$A$4:$AP$1287,42,FALSE))</f>
        <v>P</v>
      </c>
    </row>
    <row r="139" spans="1:62">
      <c r="A139" t="str">
        <f>C139&amp;D139&amp;E139</f>
        <v>MRJonathan Hampshire21</v>
      </c>
      <c r="B139">
        <f>VLOOKUP($A139,draft_listing_pitchers_stats!$A$1:$B$1324,2,FALSE)</f>
        <v>8868</v>
      </c>
      <c r="C139" s="1" t="s">
        <v>2021</v>
      </c>
      <c r="D139" s="1" t="s">
        <v>1074</v>
      </c>
      <c r="E139" s="1">
        <v>21</v>
      </c>
      <c r="F139" s="1" t="s">
        <v>2038</v>
      </c>
      <c r="G139" s="1" t="s">
        <v>2022</v>
      </c>
      <c r="H139" s="1" t="s">
        <v>2033</v>
      </c>
      <c r="I139" s="31" t="s">
        <v>2033</v>
      </c>
      <c r="J139" s="1" t="s">
        <v>2025</v>
      </c>
      <c r="K139" s="31" t="s">
        <v>2026</v>
      </c>
      <c r="L139" s="1">
        <v>4</v>
      </c>
      <c r="M139" s="1">
        <v>3</v>
      </c>
      <c r="N139" s="31">
        <v>1</v>
      </c>
      <c r="O139" s="1">
        <v>4</v>
      </c>
      <c r="P139" s="1">
        <v>4</v>
      </c>
      <c r="Q139" s="31">
        <v>3</v>
      </c>
      <c r="R139" s="1">
        <v>5</v>
      </c>
      <c r="S139" s="1">
        <v>5</v>
      </c>
      <c r="T139" s="1">
        <v>1</v>
      </c>
      <c r="U139" s="1">
        <v>1</v>
      </c>
      <c r="V139" s="1">
        <v>3</v>
      </c>
      <c r="W139" s="1">
        <v>4</v>
      </c>
      <c r="X139" s="1" t="s">
        <v>2027</v>
      </c>
      <c r="Y139" s="1" t="s">
        <v>2027</v>
      </c>
      <c r="Z139" s="1" t="s">
        <v>2027</v>
      </c>
      <c r="AA139" s="1" t="s">
        <v>2027</v>
      </c>
      <c r="AB139" s="1" t="s">
        <v>2027</v>
      </c>
      <c r="AC139" s="1" t="s">
        <v>2027</v>
      </c>
      <c r="AD139" s="1" t="s">
        <v>2027</v>
      </c>
      <c r="AE139" s="1" t="s">
        <v>2027</v>
      </c>
      <c r="AF139" s="1">
        <v>4</v>
      </c>
      <c r="AG139" s="1">
        <v>5</v>
      </c>
      <c r="AH139" s="1" t="s">
        <v>2027</v>
      </c>
      <c r="AI139" s="1" t="s">
        <v>2027</v>
      </c>
      <c r="AJ139" s="1" t="s">
        <v>2027</v>
      </c>
      <c r="AK139" s="1" t="s">
        <v>2027</v>
      </c>
      <c r="AL139" s="1" t="s">
        <v>2027</v>
      </c>
      <c r="AM139" s="1" t="s">
        <v>2027</v>
      </c>
      <c r="AN139" s="1" t="s">
        <v>2027</v>
      </c>
      <c r="AO139" s="31" t="s">
        <v>2027</v>
      </c>
      <c r="AP139" s="1" t="s">
        <v>2047</v>
      </c>
      <c r="AQ139" s="1">
        <v>3</v>
      </c>
      <c r="AR139" s="32">
        <v>0.39</v>
      </c>
      <c r="AS139" s="36" t="s">
        <v>2029</v>
      </c>
      <c r="AT139" s="9"/>
      <c r="AU139" s="9"/>
      <c r="AY139" s="9">
        <f>($AT$3*AT139+$AU$3*AU139+$AV$3*AV139+$AW$3*AW139)*AX139*IF(AQ139&lt;5,0.95,IF(AQ139&lt;7,0.975,1))+$J$3*VLOOKUP(J139,[1]Con!$A$2:$C$7,2,FALSE)+$K$3*VLOOKUP(K139,[1]Con!$A$2:$C$7,3,FALSE)+IF(BA139="SP",$BA$3,0)</f>
        <v>29.25</v>
      </c>
      <c r="AZ139" s="37">
        <f>STANDARDIZE(AY139,AVERAGE($AY$5:$AY$1116),STDEVP($AY$5:$AY$1116))</f>
        <v>-0.37083274022113549</v>
      </c>
      <c r="BA139" t="str">
        <f>IF(OR(AND(AQ139&gt;7,AW139&gt;1),AND(AQ139&gt;4,AV139&gt;2)),"SP","RP")</f>
        <v>RP</v>
      </c>
      <c r="BC139">
        <f>VLOOKUP($A139,'Draft List'!$A$4:$V$530,22,FALSE)</f>
        <v>0</v>
      </c>
      <c r="BE139" t="str">
        <f>IF(AVERAGE($O139:$Q139)&gt;=6,"Likely",IF(AVERAGE($O139:$Q139)&gt;=4,"Possible","Unlikely"))</f>
        <v>Unlikely</v>
      </c>
      <c r="BG139" t="str">
        <f>IF(VLOOKUP($B139,'Draft List'!$D$4:$AB$2598,BG$3,FALSE)&lt;&gt;0,VLOOKUP($B139,'Draft List'!$D$4:$AB$2598,BG$3,FALSE),"")</f>
        <v/>
      </c>
      <c r="BH139" t="str">
        <f>IF(VLOOKUP($B139,'Draft List'!$D$4:$AB$2598,BH$3,FALSE)&lt;&gt;0,VLOOKUP($B139,'Draft List'!$D$4:$AB$2598,BH$3,FALSE),"")</f>
        <v/>
      </c>
      <c r="BI139" t="str">
        <f>IF(VLOOKUP($B139,'Draft List'!$D$4:$AB$2598,BI$3,FALSE)&lt;&gt;0,VLOOKUP($B139,'Draft List'!$D$4:$AB$2598,BI$3,FALSE),"")</f>
        <v/>
      </c>
      <c r="BJ139" t="str">
        <f>IF(OR(C139="SP",C139="MR",C139="CL"),"P",VLOOKUP($A139,Bat!$A$4:$AP$1287,42,FALSE))</f>
        <v>P</v>
      </c>
    </row>
    <row r="140" spans="1:62">
      <c r="A140" t="str">
        <f>C140&amp;D140&amp;E140</f>
        <v>SPJim Cox18</v>
      </c>
      <c r="B140">
        <f>VLOOKUP($A140,draft_listing_pitchers_stats!$A$1:$B$1324,2,FALSE)</f>
        <v>13918</v>
      </c>
      <c r="C140" s="1" t="s">
        <v>2003</v>
      </c>
      <c r="D140" s="1" t="s">
        <v>1190</v>
      </c>
      <c r="E140" s="1">
        <v>18</v>
      </c>
      <c r="F140" s="1" t="s">
        <v>2038</v>
      </c>
      <c r="G140" s="1" t="s">
        <v>2038</v>
      </c>
      <c r="H140" s="1" t="s">
        <v>2033</v>
      </c>
      <c r="I140" s="31" t="s">
        <v>2033</v>
      </c>
      <c r="J140" s="1" t="s">
        <v>2026</v>
      </c>
      <c r="K140" s="31" t="s">
        <v>2026</v>
      </c>
      <c r="L140" s="1">
        <v>3</v>
      </c>
      <c r="M140" s="1">
        <v>4</v>
      </c>
      <c r="N140" s="31">
        <v>1</v>
      </c>
      <c r="O140" s="1">
        <v>5</v>
      </c>
      <c r="P140" s="1">
        <v>5</v>
      </c>
      <c r="Q140" s="31">
        <v>3</v>
      </c>
      <c r="R140" s="1">
        <v>4</v>
      </c>
      <c r="S140" s="1">
        <v>6</v>
      </c>
      <c r="T140" s="1">
        <v>1</v>
      </c>
      <c r="U140" s="1">
        <v>1</v>
      </c>
      <c r="V140" s="1">
        <v>2</v>
      </c>
      <c r="W140" s="1">
        <v>5</v>
      </c>
      <c r="X140" s="1" t="s">
        <v>2027</v>
      </c>
      <c r="Y140" s="1" t="s">
        <v>2027</v>
      </c>
      <c r="Z140" s="1" t="s">
        <v>2027</v>
      </c>
      <c r="AA140" s="1" t="s">
        <v>2027</v>
      </c>
      <c r="AB140" s="1" t="s">
        <v>2027</v>
      </c>
      <c r="AC140" s="1" t="s">
        <v>2027</v>
      </c>
      <c r="AD140" s="1" t="s">
        <v>2027</v>
      </c>
      <c r="AE140" s="1" t="s">
        <v>2027</v>
      </c>
      <c r="AF140" s="1">
        <v>4</v>
      </c>
      <c r="AG140" s="1">
        <v>6</v>
      </c>
      <c r="AH140" s="1" t="s">
        <v>2027</v>
      </c>
      <c r="AI140" s="1" t="s">
        <v>2027</v>
      </c>
      <c r="AJ140" s="1" t="s">
        <v>2027</v>
      </c>
      <c r="AK140" s="1" t="s">
        <v>2027</v>
      </c>
      <c r="AL140" s="1" t="s">
        <v>2027</v>
      </c>
      <c r="AM140" s="1" t="s">
        <v>2027</v>
      </c>
      <c r="AN140" s="1" t="s">
        <v>2027</v>
      </c>
      <c r="AO140" s="31" t="s">
        <v>2027</v>
      </c>
      <c r="AP140" s="1" t="s">
        <v>2042</v>
      </c>
      <c r="AQ140" s="1">
        <v>7</v>
      </c>
      <c r="AR140" s="32">
        <v>0.5</v>
      </c>
      <c r="AS140" s="45" t="s">
        <v>2029</v>
      </c>
      <c r="AT140" s="9">
        <f>($O$3*(L140-$O$1)/$O$2+$P$3*(M140-$P$1)/$P$2+$Q$3*(N140-$P$1)/$Q$2)/SUM($O$3:$Q$3)</f>
        <v>-1.7258064396590846</v>
      </c>
      <c r="AU140" s="9">
        <f>($O$3*(O140-$O$1)/$O$2+$P$3*(P140-$P$1)/$P$2+$Q$3*(Q140-$Q$1)/$Q$2)/SUM($O$3:$Q$3)</f>
        <v>-0.21085619136538991</v>
      </c>
      <c r="AV140">
        <f>COUNT(R140:AO140)/2</f>
        <v>4</v>
      </c>
      <c r="AW140">
        <f>COUNTIF(R140:AO140,"&gt;5")/2</f>
        <v>1</v>
      </c>
      <c r="AX140" s="6">
        <f>VLOOKUP(AP140,COND!$A$10:$B$31,2,FALSE)</f>
        <v>1</v>
      </c>
      <c r="AY140" s="9">
        <f>($AT$3*AT140+$AU$3*AU140+$AV$3*AV140+$AW$3*AW140)*AX140*IF(AQ140&lt;5,0.95,IF(AQ140&lt;7,0.975,1))+$J$3*VLOOKUP(J140,[1]Con!$A$2:$C$7,2,FALSE)+$K$3*VLOOKUP(K140,[1]Con!$A$2:$C$7,3,FALSE)+IF(BA140="SP",$BA$3,0)</f>
        <v>29.187714884760386</v>
      </c>
      <c r="AZ140" s="37">
        <f>STANDARDIZE(AY140,AVERAGE($AY$5:$AY$1116),STDEVP($AY$5:$AY$1116))</f>
        <v>-0.3757773400367686</v>
      </c>
      <c r="BA140" t="str">
        <f>IF(OR(AND(AQ140&gt;7,AW140&gt;1),AND(AQ140&gt;4,AV140&gt;2)),"SP","RP")</f>
        <v>SP</v>
      </c>
      <c r="BC140">
        <f>VLOOKUP($A140,'Draft List'!$A$4:$V$530,22,FALSE)</f>
        <v>0</v>
      </c>
      <c r="BE140" t="str">
        <f>IF(AVERAGE($O140:$Q140)&gt;=6,"Likely",IF(AVERAGE($O140:$Q140)&gt;=4,"Possible","Unlikely"))</f>
        <v>Possible</v>
      </c>
      <c r="BG140" t="str">
        <f>IF(VLOOKUP($B140,'Draft List'!$D$4:$AB$2598,BG$3,FALSE)&lt;&gt;0,VLOOKUP($B140,'Draft List'!$D$4:$AB$2598,BG$3,FALSE),"")</f>
        <v/>
      </c>
      <c r="BH140" t="str">
        <f>IF(VLOOKUP($B140,'Draft List'!$D$4:$AB$2598,BH$3,FALSE)&lt;&gt;0,VLOOKUP($B140,'Draft List'!$D$4:$AB$2598,BH$3,FALSE),"")</f>
        <v/>
      </c>
      <c r="BI140" t="str">
        <f>IF(VLOOKUP($B140,'Draft List'!$D$4:$AB$2598,BI$3,FALSE)&lt;&gt;0,VLOOKUP($B140,'Draft List'!$D$4:$AB$2598,BI$3,FALSE),"")</f>
        <v/>
      </c>
      <c r="BJ140" t="str">
        <f>IF(OR(C140="SP",C140="MR",C140="CL"),"P",VLOOKUP($A140,Bat!$A$4:$AP$1287,42,FALSE))</f>
        <v>P</v>
      </c>
    </row>
    <row r="141" spans="1:62">
      <c r="A141" t="str">
        <f>C141&amp;D141&amp;E141</f>
        <v>MRGeorge Beck21</v>
      </c>
      <c r="B141">
        <f>VLOOKUP($A141,draft_listing_pitchers_stats!$A$1:$B$1324,2,FALSE)</f>
        <v>8756</v>
      </c>
      <c r="C141" s="1" t="s">
        <v>2021</v>
      </c>
      <c r="D141" s="1" t="s">
        <v>1174</v>
      </c>
      <c r="E141" s="1">
        <v>21</v>
      </c>
      <c r="F141" s="1" t="s">
        <v>2038</v>
      </c>
      <c r="G141" s="1" t="s">
        <v>2038</v>
      </c>
      <c r="H141" s="1" t="s">
        <v>2033</v>
      </c>
      <c r="I141" s="31" t="s">
        <v>2033</v>
      </c>
      <c r="J141" s="1" t="s">
        <v>2040</v>
      </c>
      <c r="K141" s="31" t="s">
        <v>2030</v>
      </c>
      <c r="L141" s="1">
        <v>3</v>
      </c>
      <c r="M141" s="1">
        <v>4</v>
      </c>
      <c r="N141" s="31">
        <v>3</v>
      </c>
      <c r="O141" s="1">
        <v>4</v>
      </c>
      <c r="P141" s="1">
        <v>4</v>
      </c>
      <c r="Q141" s="31">
        <v>5</v>
      </c>
      <c r="R141" s="1">
        <v>5</v>
      </c>
      <c r="S141" s="1">
        <v>5</v>
      </c>
      <c r="T141" s="1">
        <v>2</v>
      </c>
      <c r="U141" s="1">
        <v>3</v>
      </c>
      <c r="V141" s="1">
        <v>2</v>
      </c>
      <c r="W141" s="1">
        <v>2</v>
      </c>
      <c r="X141" s="1">
        <v>4</v>
      </c>
      <c r="Y141" s="1">
        <v>5</v>
      </c>
      <c r="Z141" s="1" t="s">
        <v>2027</v>
      </c>
      <c r="AA141" s="1" t="s">
        <v>2027</v>
      </c>
      <c r="AB141" s="1" t="s">
        <v>2027</v>
      </c>
      <c r="AC141" s="1" t="s">
        <v>2027</v>
      </c>
      <c r="AD141" s="1" t="s">
        <v>2027</v>
      </c>
      <c r="AE141" s="1" t="s">
        <v>2027</v>
      </c>
      <c r="AF141" s="1" t="s">
        <v>2027</v>
      </c>
      <c r="AG141" s="1" t="s">
        <v>2027</v>
      </c>
      <c r="AH141" s="1" t="s">
        <v>2027</v>
      </c>
      <c r="AI141" s="1" t="s">
        <v>2027</v>
      </c>
      <c r="AJ141" s="1" t="s">
        <v>2027</v>
      </c>
      <c r="AK141" s="1" t="s">
        <v>2027</v>
      </c>
      <c r="AL141" s="1" t="s">
        <v>2027</v>
      </c>
      <c r="AM141" s="1" t="s">
        <v>2027</v>
      </c>
      <c r="AN141" s="1" t="s">
        <v>2027</v>
      </c>
      <c r="AO141" s="31" t="s">
        <v>2027</v>
      </c>
      <c r="AP141" s="1" t="s">
        <v>2044</v>
      </c>
      <c r="AQ141" s="1">
        <v>7</v>
      </c>
      <c r="AR141" s="32">
        <v>0.46</v>
      </c>
      <c r="AS141" s="45" t="s">
        <v>2029</v>
      </c>
      <c r="AT141" s="9">
        <f>($O$3*(L141-$O$1)/$O$2+$P$3*(M141-$P$1)/$P$2+$Q$3*(N141-$P$1)/$Q$2)/SUM($O$3:$Q$3)</f>
        <v>-1.2411653075508642</v>
      </c>
      <c r="AU141" s="9">
        <f>($O$3*(O141-$O$1)/$O$2+$P$3*(P141-$P$1)/$P$2+$Q$3*(Q141-$Q$1)/$Q$2)/SUM($O$3:$Q$3)</f>
        <v>-0.11633810019639811</v>
      </c>
      <c r="AV141">
        <f>COUNT(R141:AO141)/2</f>
        <v>4</v>
      </c>
      <c r="AW141">
        <f>COUNTIF(R141:AO141,"&gt;5")/2</f>
        <v>0</v>
      </c>
      <c r="AX141" s="6">
        <f>VLOOKUP(AP141,COND!$A$10:$B$31,2,FALSE)</f>
        <v>1</v>
      </c>
      <c r="AY141" s="9">
        <f>($AT$3*AT141+$AU$3*AU141+$AV$3*AV141+$AW$3*AW141)*AX141*IF(AQ141&lt;5,0.95,IF(AQ141&lt;7,0.975,1))+$J$3*VLOOKUP(J141,[1]Con!$A$2:$C$7,2,FALSE)+$K$3*VLOOKUP(K141,[1]Con!$A$2:$C$7,3,FALSE)+IF(BA141="SP",$BA$3,0)</f>
        <v>29.175004934561866</v>
      </c>
      <c r="AZ141" s="37">
        <f>STANDARDIZE(AY141,AVERAGE($AY$5:$AY$1116),STDEVP($AY$5:$AY$1116))</f>
        <v>-0.37678633901134767</v>
      </c>
      <c r="BA141" t="str">
        <f>IF(OR(AND(AQ141&gt;7,AW141&gt;1),AND(AQ141&gt;4,AV141&gt;2)),"SP","RP")</f>
        <v>SP</v>
      </c>
      <c r="BC141">
        <f>VLOOKUP($A141,'Draft List'!$A$4:$V$530,22,FALSE)</f>
        <v>0</v>
      </c>
      <c r="BE141" t="str">
        <f>IF(AVERAGE($O141:$Q141)&gt;=6,"Likely",IF(AVERAGE($O141:$Q141)&gt;=4,"Possible","Unlikely"))</f>
        <v>Possible</v>
      </c>
      <c r="BG141" t="str">
        <f>IF(VLOOKUP($B141,'Draft List'!$D$4:$AB$2598,BG$3,FALSE)&lt;&gt;0,VLOOKUP($B141,'Draft List'!$D$4:$AB$2598,BG$3,FALSE),"")</f>
        <v/>
      </c>
      <c r="BH141" t="str">
        <f>IF(VLOOKUP($B141,'Draft List'!$D$4:$AB$2598,BH$3,FALSE)&lt;&gt;0,VLOOKUP($B141,'Draft List'!$D$4:$AB$2598,BH$3,FALSE),"")</f>
        <v/>
      </c>
      <c r="BI141" t="str">
        <f>IF(VLOOKUP($B141,'Draft List'!$D$4:$AB$2598,BI$3,FALSE)&lt;&gt;0,VLOOKUP($B141,'Draft List'!$D$4:$AB$2598,BI$3,FALSE),"")</f>
        <v/>
      </c>
      <c r="BJ141" t="str">
        <f>IF(OR(C141="SP",C141="MR",C141="CL"),"P",VLOOKUP($A141,Bat!$A$4:$AP$1287,42,FALSE))</f>
        <v>P</v>
      </c>
    </row>
    <row r="142" spans="1:62">
      <c r="A142" t="str">
        <f>C142&amp;D142&amp;E142</f>
        <v>MRTravis Hooper18</v>
      </c>
      <c r="B142" t="e">
        <f>VLOOKUP($A142,draft_listing_pitchers_stats!$A$1:$B$1324,2,FALSE)</f>
        <v>#N/A</v>
      </c>
      <c r="C142" s="1" t="s">
        <v>2021</v>
      </c>
      <c r="D142" s="1" t="s">
        <v>1007</v>
      </c>
      <c r="E142" s="1">
        <v>18</v>
      </c>
      <c r="F142" s="1" t="s">
        <v>2038</v>
      </c>
      <c r="G142" s="1" t="s">
        <v>2038</v>
      </c>
      <c r="H142" s="1" t="s">
        <v>2033</v>
      </c>
      <c r="I142" s="31" t="s">
        <v>2033</v>
      </c>
      <c r="J142" s="1" t="s">
        <v>2040</v>
      </c>
      <c r="K142" s="31" t="s">
        <v>2030</v>
      </c>
      <c r="L142" s="1">
        <v>2</v>
      </c>
      <c r="M142" s="1">
        <v>4</v>
      </c>
      <c r="N142" s="31">
        <v>1</v>
      </c>
      <c r="O142" s="1">
        <v>4</v>
      </c>
      <c r="P142" s="1">
        <v>4</v>
      </c>
      <c r="Q142" s="31">
        <v>5</v>
      </c>
      <c r="R142" s="1">
        <v>3</v>
      </c>
      <c r="S142" s="1">
        <v>4</v>
      </c>
      <c r="T142" s="1">
        <v>1</v>
      </c>
      <c r="U142" s="1">
        <v>3</v>
      </c>
      <c r="V142" s="1">
        <v>2</v>
      </c>
      <c r="W142" s="1">
        <v>3</v>
      </c>
      <c r="X142" s="1">
        <v>2</v>
      </c>
      <c r="Y142" s="1">
        <v>4</v>
      </c>
      <c r="Z142" s="1" t="s">
        <v>2027</v>
      </c>
      <c r="AA142" s="1" t="s">
        <v>2027</v>
      </c>
      <c r="AB142" s="1" t="s">
        <v>2027</v>
      </c>
      <c r="AC142" s="1" t="s">
        <v>2027</v>
      </c>
      <c r="AD142" s="1" t="s">
        <v>2027</v>
      </c>
      <c r="AE142" s="1" t="s">
        <v>2027</v>
      </c>
      <c r="AF142" s="1" t="s">
        <v>2027</v>
      </c>
      <c r="AG142" s="1" t="s">
        <v>2027</v>
      </c>
      <c r="AH142" s="1" t="s">
        <v>2027</v>
      </c>
      <c r="AI142" s="1" t="s">
        <v>2027</v>
      </c>
      <c r="AJ142" s="1" t="s">
        <v>2027</v>
      </c>
      <c r="AK142" s="1" t="s">
        <v>2027</v>
      </c>
      <c r="AL142" s="1" t="s">
        <v>2027</v>
      </c>
      <c r="AM142" s="1" t="s">
        <v>2027</v>
      </c>
      <c r="AN142" s="1" t="s">
        <v>2027</v>
      </c>
      <c r="AO142" s="31" t="s">
        <v>2027</v>
      </c>
      <c r="AP142" s="1" t="s">
        <v>2054</v>
      </c>
      <c r="AQ142" s="1">
        <v>8</v>
      </c>
      <c r="AR142" s="32">
        <v>0.49</v>
      </c>
      <c r="AS142" s="45" t="s">
        <v>2029</v>
      </c>
      <c r="AT142" s="9">
        <f>($O$3*(L142-$O$1)/$O$2+$P$3*(M142-$P$1)/$P$2+$Q$3*(N142-$P$1)/$Q$2)/SUM($O$3:$Q$3)</f>
        <v>-1.9204977641682581</v>
      </c>
      <c r="AU142" s="9">
        <f>($O$3*(O142-$O$1)/$O$2+$P$3*(P142-$P$1)/$P$2+$Q$3*(Q142-$Q$1)/$Q$2)/SUM($O$3:$Q$3)</f>
        <v>-0.11633810019639811</v>
      </c>
      <c r="AV142">
        <f>COUNT(R142:AO142)/2</f>
        <v>4</v>
      </c>
      <c r="AW142">
        <f>COUNTIF(R142:AO142,"&gt;5")/2</f>
        <v>0</v>
      </c>
      <c r="AX142" s="6">
        <f>VLOOKUP(AP142,COND!$A$10:$B$31,2,FALSE)</f>
        <v>1</v>
      </c>
      <c r="AY142" s="9">
        <f>($AT$3*AT142+$AU$3*AU142+$AV$3*AV142+$AW$3*AW142)*AX142*IF(AQ142&lt;5,0.95,IF(AQ142&lt;7,0.975,1))+$J$3*VLOOKUP(J142,[1]Con!$A$2:$C$7,2,FALSE)+$K$3*VLOOKUP(K142,[1]Con!$A$2:$C$7,3,FALSE)+IF(BA142="SP",$BA$3,0)</f>
        <v>29.039138443238386</v>
      </c>
      <c r="AZ142" s="37">
        <f>STANDARDIZE(AY142,AVERAGE($AY$5:$AY$1116),STDEVP($AY$5:$AY$1116))</f>
        <v>-0.3875723097101948</v>
      </c>
      <c r="BA142" t="str">
        <f>IF(OR(AND(AQ142&gt;7,AW142&gt;1),AND(AQ142&gt;4,AV142&gt;2)),"SP","RP")</f>
        <v>SP</v>
      </c>
      <c r="BC142" t="e">
        <f>VLOOKUP($A142,'Draft List'!$A$4:$V$530,22,FALSE)</f>
        <v>#N/A</v>
      </c>
      <c r="BE142" t="str">
        <f>IF(AVERAGE($O142:$Q142)&gt;=6,"Likely",IF(AVERAGE($O142:$Q142)&gt;=4,"Possible","Unlikely"))</f>
        <v>Possible</v>
      </c>
      <c r="BG142" t="e">
        <f>IF(VLOOKUP($B142,'Draft List'!$D$4:$AB$2598,BG$3,FALSE)&lt;&gt;0,VLOOKUP($B142,'Draft List'!$D$4:$AB$2598,BG$3,FALSE),"")</f>
        <v>#N/A</v>
      </c>
      <c r="BH142" t="e">
        <f>IF(VLOOKUP($B142,'Draft List'!$D$4:$AB$2598,BH$3,FALSE)&lt;&gt;0,VLOOKUP($B142,'Draft List'!$D$4:$AB$2598,BH$3,FALSE),"")</f>
        <v>#N/A</v>
      </c>
      <c r="BI142" t="e">
        <f>IF(VLOOKUP($B142,'Draft List'!$D$4:$AB$2598,BI$3,FALSE)&lt;&gt;0,VLOOKUP($B142,'Draft List'!$D$4:$AB$2598,BI$3,FALSE),"")</f>
        <v>#N/A</v>
      </c>
      <c r="BJ142" t="str">
        <f>IF(OR(C142="SP",C142="MR",C142="CL"),"P",VLOOKUP($A142,Bat!$A$4:$AP$1287,42,FALSE))</f>
        <v>P</v>
      </c>
    </row>
    <row r="143" spans="1:62">
      <c r="A143" t="str">
        <f>C143&amp;D143&amp;E143</f>
        <v>MRDuane Kidd21</v>
      </c>
      <c r="B143">
        <f>VLOOKUP($A143,draft_listing_pitchers_stats!$A$1:$B$1324,2,FALSE)</f>
        <v>2454</v>
      </c>
      <c r="C143" s="1" t="s">
        <v>2021</v>
      </c>
      <c r="D143" s="1" t="s">
        <v>1125</v>
      </c>
      <c r="E143" s="1">
        <v>21</v>
      </c>
      <c r="F143" s="1" t="s">
        <v>2022</v>
      </c>
      <c r="G143" s="1" t="s">
        <v>2022</v>
      </c>
      <c r="H143" s="1" t="s">
        <v>2033</v>
      </c>
      <c r="I143" s="31" t="s">
        <v>2023</v>
      </c>
      <c r="J143" s="1" t="s">
        <v>2025</v>
      </c>
      <c r="K143" s="31" t="s">
        <v>2040</v>
      </c>
      <c r="L143" s="1">
        <v>4</v>
      </c>
      <c r="M143" s="1">
        <v>4</v>
      </c>
      <c r="N143" s="31">
        <v>1</v>
      </c>
      <c r="O143" s="1">
        <v>5</v>
      </c>
      <c r="P143" s="1">
        <v>5</v>
      </c>
      <c r="Q143" s="31">
        <v>4</v>
      </c>
      <c r="R143" s="1">
        <v>5</v>
      </c>
      <c r="S143" s="1">
        <v>6</v>
      </c>
      <c r="T143" s="1">
        <v>4</v>
      </c>
      <c r="U143" s="1">
        <v>5</v>
      </c>
      <c r="V143" s="1" t="s">
        <v>2027</v>
      </c>
      <c r="W143" s="1" t="s">
        <v>2027</v>
      </c>
      <c r="X143" s="1" t="s">
        <v>2027</v>
      </c>
      <c r="Y143" s="1" t="s">
        <v>2027</v>
      </c>
      <c r="Z143" s="1" t="s">
        <v>2027</v>
      </c>
      <c r="AA143" s="1" t="s">
        <v>2027</v>
      </c>
      <c r="AB143" s="1" t="s">
        <v>2027</v>
      </c>
      <c r="AC143" s="1" t="s">
        <v>2027</v>
      </c>
      <c r="AD143" s="1" t="s">
        <v>2027</v>
      </c>
      <c r="AE143" s="1" t="s">
        <v>2027</v>
      </c>
      <c r="AF143" s="1" t="s">
        <v>2027</v>
      </c>
      <c r="AG143" s="1" t="s">
        <v>2027</v>
      </c>
      <c r="AH143" s="1" t="s">
        <v>2027</v>
      </c>
      <c r="AI143" s="1" t="s">
        <v>2027</v>
      </c>
      <c r="AJ143" s="1" t="s">
        <v>2027</v>
      </c>
      <c r="AK143" s="1" t="s">
        <v>2027</v>
      </c>
      <c r="AL143" s="1" t="s">
        <v>2027</v>
      </c>
      <c r="AM143" s="1" t="s">
        <v>2027</v>
      </c>
      <c r="AN143" s="1" t="s">
        <v>2027</v>
      </c>
      <c r="AO143" s="31" t="s">
        <v>2027</v>
      </c>
      <c r="AP143" s="1" t="s">
        <v>2039</v>
      </c>
      <c r="AQ143" s="1">
        <v>7</v>
      </c>
      <c r="AR143" s="32">
        <v>0.54</v>
      </c>
      <c r="AS143" s="45" t="s">
        <v>2029</v>
      </c>
      <c r="AT143" s="9">
        <f>($O$3*(L143-$O$1)/$O$2+$P$3*(M143-$P$1)/$P$2+$Q$3*(N143-$P$1)/$Q$2)/SUM($O$3:$Q$3)</f>
        <v>-1.5311151151499114</v>
      </c>
      <c r="AU143" s="9">
        <f>($O$3*(O143-$O$1)/$O$2+$P$3*(P143-$P$1)/$P$2+$Q$3*(Q143-$Q$1)/$Q$2)/SUM($O$3:$Q$3)</f>
        <v>3.146437468872048E-2</v>
      </c>
      <c r="AV143">
        <f>COUNT(R143:AO143)/2</f>
        <v>2</v>
      </c>
      <c r="AW143">
        <f>COUNTIF(R143:AO143,"&gt;5")/2</f>
        <v>0.5</v>
      </c>
      <c r="AX143" s="6">
        <f>VLOOKUP(AP143,COND!$A$10:$B$31,2,FALSE)</f>
        <v>1.0249999999999999</v>
      </c>
      <c r="AY143" s="9">
        <f>($AT$3*AT143+$AU$3*AU143+$AV$3*AV143+$AW$3*AW143)*AX143*IF(AQ143&lt;5,0.95,IF(AQ143&lt;7,0.975,1))+$J$3*VLOOKUP(J143,[1]Con!$A$2:$C$7,2,FALSE)+$K$3*VLOOKUP(K143,[1]Con!$A$2:$C$7,3,FALSE)+IF(BA143="SP",$BA$3,0)</f>
        <v>28.996766082513037</v>
      </c>
      <c r="AZ143" s="37">
        <f>STANDARDIZE(AY143,AVERAGE($AY$5:$AY$1116),STDEVP($AY$5:$AY$1116))</f>
        <v>-0.39093610483563501</v>
      </c>
      <c r="BA143" t="str">
        <f>IF(OR(AND(AQ143&gt;7,AW143&gt;1),AND(AQ143&gt;4,AV143&gt;2)),"SP","RP")</f>
        <v>RP</v>
      </c>
      <c r="BC143">
        <f>VLOOKUP($A143,'Draft List'!$A$4:$V$530,22,FALSE)</f>
        <v>0</v>
      </c>
      <c r="BE143" t="str">
        <f>IF(AVERAGE($O143:$Q143)&gt;=6,"Likely",IF(AVERAGE($O143:$Q143)&gt;=4,"Possible","Unlikely"))</f>
        <v>Possible</v>
      </c>
      <c r="BG143" t="str">
        <f>IF(VLOOKUP($B143,'Draft List'!$D$4:$AB$2598,BG$3,FALSE)&lt;&gt;0,VLOOKUP($B143,'Draft List'!$D$4:$AB$2598,BG$3,FALSE),"")</f>
        <v/>
      </c>
      <c r="BH143" t="str">
        <f>IF(VLOOKUP($B143,'Draft List'!$D$4:$AB$2598,BH$3,FALSE)&lt;&gt;0,VLOOKUP($B143,'Draft List'!$D$4:$AB$2598,BH$3,FALSE),"")</f>
        <v/>
      </c>
      <c r="BI143" t="str">
        <f>IF(VLOOKUP($B143,'Draft List'!$D$4:$AB$2598,BI$3,FALSE)&lt;&gt;0,VLOOKUP($B143,'Draft List'!$D$4:$AB$2598,BI$3,FALSE),"")</f>
        <v/>
      </c>
      <c r="BJ143" t="str">
        <f>IF(OR(C143="SP",C143="MR",C143="CL"),"P",VLOOKUP($A143,Bat!$A$4:$AP$1287,42,FALSE))</f>
        <v>P</v>
      </c>
    </row>
    <row r="144" spans="1:62">
      <c r="A144" t="str">
        <f>C144&amp;D144&amp;E144</f>
        <v>MRGreg Hathaway21</v>
      </c>
      <c r="B144">
        <f>VLOOKUP($A144,draft_listing_pitchers_stats!$A$1:$B$1324,2,FALSE)</f>
        <v>2289</v>
      </c>
      <c r="C144" s="1" t="s">
        <v>2021</v>
      </c>
      <c r="D144" s="1" t="s">
        <v>1000</v>
      </c>
      <c r="E144" s="1">
        <v>21</v>
      </c>
      <c r="F144" s="1" t="s">
        <v>2022</v>
      </c>
      <c r="G144" s="1" t="s">
        <v>2022</v>
      </c>
      <c r="H144" s="1" t="s">
        <v>2033</v>
      </c>
      <c r="I144" s="31" t="s">
        <v>2033</v>
      </c>
      <c r="J144" s="1" t="s">
        <v>2030</v>
      </c>
      <c r="K144" s="31" t="s">
        <v>2025</v>
      </c>
      <c r="L144" s="1">
        <v>4</v>
      </c>
      <c r="M144" s="1">
        <v>4</v>
      </c>
      <c r="N144" s="31">
        <v>2</v>
      </c>
      <c r="O144" s="1">
        <v>5</v>
      </c>
      <c r="P144" s="1">
        <v>4</v>
      </c>
      <c r="Q144" s="31">
        <v>4</v>
      </c>
      <c r="R144" s="1">
        <v>4</v>
      </c>
      <c r="S144" s="1">
        <v>6</v>
      </c>
      <c r="T144" s="1" t="s">
        <v>2027</v>
      </c>
      <c r="U144" s="1" t="s">
        <v>2027</v>
      </c>
      <c r="V144" s="1" t="s">
        <v>2027</v>
      </c>
      <c r="W144" s="1" t="s">
        <v>2027</v>
      </c>
      <c r="X144" s="1" t="s">
        <v>2027</v>
      </c>
      <c r="Y144" s="1" t="s">
        <v>2027</v>
      </c>
      <c r="Z144" s="1" t="s">
        <v>2027</v>
      </c>
      <c r="AA144" s="1" t="s">
        <v>2027</v>
      </c>
      <c r="AB144" s="1">
        <v>4</v>
      </c>
      <c r="AC144" s="1">
        <v>5</v>
      </c>
      <c r="AD144" s="1" t="s">
        <v>2027</v>
      </c>
      <c r="AE144" s="1" t="s">
        <v>2027</v>
      </c>
      <c r="AF144" s="1" t="s">
        <v>2027</v>
      </c>
      <c r="AG144" s="1" t="s">
        <v>2027</v>
      </c>
      <c r="AH144" s="1" t="s">
        <v>2027</v>
      </c>
      <c r="AI144" s="1" t="s">
        <v>2027</v>
      </c>
      <c r="AJ144" s="1" t="s">
        <v>2027</v>
      </c>
      <c r="AK144" s="1" t="s">
        <v>2027</v>
      </c>
      <c r="AL144" s="1" t="s">
        <v>2027</v>
      </c>
      <c r="AM144" s="1" t="s">
        <v>2027</v>
      </c>
      <c r="AN144" s="1" t="s">
        <v>2027</v>
      </c>
      <c r="AO144" s="31" t="s">
        <v>2027</v>
      </c>
      <c r="AP144" s="1" t="s">
        <v>2042</v>
      </c>
      <c r="AQ144" s="1">
        <v>4</v>
      </c>
      <c r="AR144" s="32">
        <v>0.48</v>
      </c>
      <c r="AS144" s="45" t="s">
        <v>2029</v>
      </c>
      <c r="AT144" s="9">
        <f>($O$3*(L144-$O$1)/$O$2+$P$3*(M144-$P$1)/$P$2+$Q$3*(N144-$P$1)/$Q$2)/SUM($O$3:$Q$3)</f>
        <v>-1.288794549095801</v>
      </c>
      <c r="AU144" s="9">
        <f>($O$3*(O144-$O$1)/$O$2+$P$3*(P144-$P$1)/$P$2+$Q$3*(Q144-$Q$1)/$Q$2)/SUM($O$3:$Q$3)</f>
        <v>-0.16396734174133493</v>
      </c>
      <c r="AV144">
        <f>COUNT(R144:AO144)/2</f>
        <v>2</v>
      </c>
      <c r="AW144">
        <f>COUNTIF(R144:AO144,"&gt;5")/2</f>
        <v>0.5</v>
      </c>
      <c r="AX144" s="6">
        <f>VLOOKUP(AP144,COND!$A$10:$B$31,2,FALSE)</f>
        <v>1</v>
      </c>
      <c r="AY144" s="9">
        <f>($AT$3*AT144+$AU$3*AU144+$AV$3*AV144+$AW$3*AW144)*AX144*IF(AQ144&lt;5,0.95,IF(AQ144&lt;7,0.975,1))+$J$3*VLOOKUP(J144,[1]Con!$A$2:$C$7,2,FALSE)+$K$3*VLOOKUP(K144,[1]Con!$A$2:$C$7,3,FALSE)+IF(BA144="SP",$BA$3,0)</f>
        <v>28.933499542586432</v>
      </c>
      <c r="AZ144" s="37">
        <f>STANDARDIZE(AY144,AVERAGE($AY$5:$AY$1116),STDEVP($AY$5:$AY$1116))</f>
        <v>-0.39595861656180542</v>
      </c>
      <c r="BA144" t="str">
        <f>IF(OR(AND(AQ144&gt;7,AW144&gt;1),AND(AQ144&gt;4,AV144&gt;2)),"SP","RP")</f>
        <v>RP</v>
      </c>
      <c r="BC144">
        <f>VLOOKUP($A144,'Draft List'!$A$4:$V$530,22,FALSE)</f>
        <v>0</v>
      </c>
      <c r="BE144" t="str">
        <f>IF(AVERAGE($O144:$Q144)&gt;=6,"Likely",IF(AVERAGE($O144:$Q144)&gt;=4,"Possible","Unlikely"))</f>
        <v>Possible</v>
      </c>
      <c r="BG144" t="str">
        <f>IF(VLOOKUP($B144,'Draft List'!$D$4:$AB$2598,BG$3,FALSE)&lt;&gt;0,VLOOKUP($B144,'Draft List'!$D$4:$AB$2598,BG$3,FALSE),"")</f>
        <v/>
      </c>
      <c r="BH144" t="str">
        <f>IF(VLOOKUP($B144,'Draft List'!$D$4:$AB$2598,BH$3,FALSE)&lt;&gt;0,VLOOKUP($B144,'Draft List'!$D$4:$AB$2598,BH$3,FALSE),"")</f>
        <v/>
      </c>
      <c r="BI144" t="str">
        <f>IF(VLOOKUP($B144,'Draft List'!$D$4:$AB$2598,BI$3,FALSE)&lt;&gt;0,VLOOKUP($B144,'Draft List'!$D$4:$AB$2598,BI$3,FALSE),"")</f>
        <v/>
      </c>
      <c r="BJ144" t="str">
        <f>IF(OR(C144="SP",C144="MR",C144="CL"),"P",VLOOKUP($A144,Bat!$A$4:$AP$1287,42,FALSE))</f>
        <v>P</v>
      </c>
    </row>
    <row r="145" spans="1:62">
      <c r="A145" t="str">
        <f>C145&amp;D145&amp;E145</f>
        <v>SPJosé Chávez21</v>
      </c>
      <c r="B145">
        <f>VLOOKUP($A145,draft_listing_pitchers_stats!$A$1:$B$1324,2,FALSE)</f>
        <v>9476</v>
      </c>
      <c r="C145" s="1" t="s">
        <v>2003</v>
      </c>
      <c r="D145" s="1" t="s">
        <v>1103</v>
      </c>
      <c r="E145" s="1">
        <v>21</v>
      </c>
      <c r="F145" s="1" t="s">
        <v>2049</v>
      </c>
      <c r="G145" s="1" t="s">
        <v>2022</v>
      </c>
      <c r="H145" s="1" t="s">
        <v>2033</v>
      </c>
      <c r="I145" s="31" t="s">
        <v>2033</v>
      </c>
      <c r="J145" s="1" t="s">
        <v>2040</v>
      </c>
      <c r="K145" s="31" t="s">
        <v>2025</v>
      </c>
      <c r="L145" s="1">
        <v>5</v>
      </c>
      <c r="M145" s="1">
        <v>4</v>
      </c>
      <c r="N145" s="31">
        <v>2</v>
      </c>
      <c r="O145" s="1">
        <v>5</v>
      </c>
      <c r="P145" s="1">
        <v>4</v>
      </c>
      <c r="Q145" s="31">
        <v>4</v>
      </c>
      <c r="R145" s="1">
        <v>6</v>
      </c>
      <c r="S145" s="1">
        <v>6</v>
      </c>
      <c r="T145" s="1">
        <v>5</v>
      </c>
      <c r="U145" s="1">
        <v>5</v>
      </c>
      <c r="V145" s="1" t="s">
        <v>2027</v>
      </c>
      <c r="W145" s="1" t="s">
        <v>2027</v>
      </c>
      <c r="X145" s="1" t="s">
        <v>2027</v>
      </c>
      <c r="Y145" s="1" t="s">
        <v>2027</v>
      </c>
      <c r="Z145" s="1" t="s">
        <v>2027</v>
      </c>
      <c r="AA145" s="1" t="s">
        <v>2027</v>
      </c>
      <c r="AB145" s="1" t="s">
        <v>2027</v>
      </c>
      <c r="AC145" s="1" t="s">
        <v>2027</v>
      </c>
      <c r="AD145" s="1">
        <v>5</v>
      </c>
      <c r="AE145" s="1">
        <v>6</v>
      </c>
      <c r="AF145" s="1" t="s">
        <v>2027</v>
      </c>
      <c r="AG145" s="1" t="s">
        <v>2027</v>
      </c>
      <c r="AH145" s="1" t="s">
        <v>2027</v>
      </c>
      <c r="AI145" s="1" t="s">
        <v>2027</v>
      </c>
      <c r="AJ145" s="1" t="s">
        <v>2027</v>
      </c>
      <c r="AK145" s="1" t="s">
        <v>2027</v>
      </c>
      <c r="AL145" s="1" t="s">
        <v>2027</v>
      </c>
      <c r="AM145" s="1" t="s">
        <v>2027</v>
      </c>
      <c r="AN145" s="1" t="s">
        <v>2027</v>
      </c>
      <c r="AO145" s="31" t="s">
        <v>2027</v>
      </c>
      <c r="AP145" s="1" t="s">
        <v>2048</v>
      </c>
      <c r="AQ145" s="1">
        <v>8</v>
      </c>
      <c r="AR145" s="32">
        <v>0.47</v>
      </c>
      <c r="AS145" s="45" t="s">
        <v>2029</v>
      </c>
      <c r="AT145" s="9">
        <f>($O$3*(L145-$O$1)/$O$2+$P$3*(M145-$P$1)/$P$2+$Q$3*(N145-$P$1)/$Q$2)/SUM($O$3:$Q$3)</f>
        <v>-1.0941032245866273</v>
      </c>
      <c r="AU145" s="9">
        <f>($O$3*(O145-$O$1)/$O$2+$P$3*(P145-$P$1)/$P$2+$Q$3*(Q145-$Q$1)/$Q$2)/SUM($O$3:$Q$3)</f>
        <v>-0.16396734174133493</v>
      </c>
      <c r="AV145">
        <f>COUNT(R145:AO145)/2</f>
        <v>3</v>
      </c>
      <c r="AW145">
        <f>COUNTIF(R145:AO145,"&gt;5")/2</f>
        <v>1.5</v>
      </c>
      <c r="AX145" s="6">
        <f>VLOOKUP(AP145,COND!$A$10:$B$31,2,FALSE)</f>
        <v>1.05</v>
      </c>
      <c r="AY145" s="9">
        <f>($AT$3*AT145+$AU$3*AU145+$AV$3*AV145+$AW$3*AW145)*AX145*IF(AQ145&lt;5,0.95,IF(AQ145&lt;7,0.975,1))+$J$3*VLOOKUP(J145,[1]Con!$A$2:$C$7,2,FALSE)+$K$3*VLOOKUP(K145,[1]Con!$A$2:$C$7,3,FALSE)+IF(BA145="SP",$BA$3,0)</f>
        <v>28.870674146268776</v>
      </c>
      <c r="AZ145" s="37">
        <f>STANDARDIZE(AY145,AVERAGE($AY$5:$AY$1116),STDEVP($AY$5:$AY$1116))</f>
        <v>-0.40094610742305348</v>
      </c>
      <c r="BA145" t="str">
        <f>IF(OR(AND(AQ145&gt;7,AW145&gt;1),AND(AQ145&gt;4,AV145&gt;2)),"SP","RP")</f>
        <v>SP</v>
      </c>
      <c r="BC145">
        <f>VLOOKUP($A145,'Draft List'!$A$4:$V$530,22,FALSE)</f>
        <v>0</v>
      </c>
      <c r="BE145" t="str">
        <f>IF(AVERAGE($O145:$Q145)&gt;=6,"Likely",IF(AVERAGE($O145:$Q145)&gt;=4,"Possible","Unlikely"))</f>
        <v>Possible</v>
      </c>
      <c r="BG145" t="str">
        <f>IF(VLOOKUP($B145,'Draft List'!$D$4:$AB$2598,BG$3,FALSE)&lt;&gt;0,VLOOKUP($B145,'Draft List'!$D$4:$AB$2598,BG$3,FALSE),"")</f>
        <v/>
      </c>
      <c r="BH145" t="str">
        <f>IF(VLOOKUP($B145,'Draft List'!$D$4:$AB$2598,BH$3,FALSE)&lt;&gt;0,VLOOKUP($B145,'Draft List'!$D$4:$AB$2598,BH$3,FALSE),"")</f>
        <v/>
      </c>
      <c r="BI145" t="str">
        <f>IF(VLOOKUP($B145,'Draft List'!$D$4:$AB$2598,BI$3,FALSE)&lt;&gt;0,VLOOKUP($B145,'Draft List'!$D$4:$AB$2598,BI$3,FALSE),"")</f>
        <v/>
      </c>
      <c r="BJ145" t="str">
        <f>IF(OR(C145="SP",C145="MR",C145="CL"),"P",VLOOKUP($A145,Bat!$A$4:$AP$1287,42,FALSE))</f>
        <v>P</v>
      </c>
    </row>
    <row r="146" spans="1:62">
      <c r="A146" t="str">
        <f>C146&amp;D146&amp;E146</f>
        <v>MRJosé López22</v>
      </c>
      <c r="B146">
        <f>VLOOKUP($A146,draft_listing_pitchers_stats!$A$1:$B$1324,2,FALSE)</f>
        <v>1833</v>
      </c>
      <c r="C146" s="1" t="s">
        <v>2021</v>
      </c>
      <c r="D146" s="1" t="s">
        <v>2070</v>
      </c>
      <c r="E146" s="1">
        <v>22</v>
      </c>
      <c r="F146" s="1" t="s">
        <v>2038</v>
      </c>
      <c r="G146" s="1" t="s">
        <v>2038</v>
      </c>
      <c r="H146" s="1" t="s">
        <v>2033</v>
      </c>
      <c r="I146" s="31" t="s">
        <v>2023</v>
      </c>
      <c r="J146" s="1" t="s">
        <v>2026</v>
      </c>
      <c r="K146" s="31" t="s">
        <v>2040</v>
      </c>
      <c r="L146" s="1">
        <v>4</v>
      </c>
      <c r="M146" s="1">
        <v>4</v>
      </c>
      <c r="N146" s="31">
        <v>2</v>
      </c>
      <c r="O146" s="1">
        <v>6</v>
      </c>
      <c r="P146" s="1">
        <v>4</v>
      </c>
      <c r="Q146" s="31">
        <v>4</v>
      </c>
      <c r="R146" s="1">
        <v>5</v>
      </c>
      <c r="S146" s="1">
        <v>7</v>
      </c>
      <c r="T146" s="1">
        <v>4</v>
      </c>
      <c r="U146" s="1">
        <v>8</v>
      </c>
      <c r="V146" s="1" t="s">
        <v>2027</v>
      </c>
      <c r="W146" s="1" t="s">
        <v>2027</v>
      </c>
      <c r="X146" s="1" t="s">
        <v>2027</v>
      </c>
      <c r="Y146" s="1" t="s">
        <v>2027</v>
      </c>
      <c r="Z146" s="1" t="s">
        <v>2027</v>
      </c>
      <c r="AA146" s="1" t="s">
        <v>2027</v>
      </c>
      <c r="AB146" s="1" t="s">
        <v>2027</v>
      </c>
      <c r="AC146" s="1" t="s">
        <v>2027</v>
      </c>
      <c r="AD146" s="1" t="s">
        <v>2027</v>
      </c>
      <c r="AE146" s="1" t="s">
        <v>2027</v>
      </c>
      <c r="AF146" s="1" t="s">
        <v>2027</v>
      </c>
      <c r="AG146" s="1" t="s">
        <v>2027</v>
      </c>
      <c r="AH146" s="1" t="s">
        <v>2027</v>
      </c>
      <c r="AI146" s="1" t="s">
        <v>2027</v>
      </c>
      <c r="AJ146" s="1" t="s">
        <v>2027</v>
      </c>
      <c r="AK146" s="1" t="s">
        <v>2027</v>
      </c>
      <c r="AL146" s="1" t="s">
        <v>2027</v>
      </c>
      <c r="AM146" s="1" t="s">
        <v>2027</v>
      </c>
      <c r="AN146" s="1" t="s">
        <v>2027</v>
      </c>
      <c r="AO146" s="31" t="s">
        <v>2027</v>
      </c>
      <c r="AP146" s="1" t="s">
        <v>2041</v>
      </c>
      <c r="AQ146" s="1">
        <v>10</v>
      </c>
      <c r="AR146" s="32">
        <v>0.44</v>
      </c>
      <c r="AS146" s="45" t="s">
        <v>2029</v>
      </c>
      <c r="AT146" s="9">
        <f>($O$3*(L146-$O$1)/$O$2+$P$3*(M146-$P$1)/$P$2+$Q$3*(N146-$P$1)/$Q$2)/SUM($O$3:$Q$3)</f>
        <v>-1.288794549095801</v>
      </c>
      <c r="AU146" s="9">
        <f>($O$3*(O146-$O$1)/$O$2+$P$3*(P146-$P$1)/$P$2+$Q$3*(Q146-$Q$1)/$Q$2)/SUM($O$3:$Q$3)</f>
        <v>3.0723982767838571E-2</v>
      </c>
      <c r="AV146">
        <f>COUNT(R146:AO146)/2</f>
        <v>2</v>
      </c>
      <c r="AW146">
        <f>COUNTIF(R146:AO146,"&gt;5")/2</f>
        <v>1</v>
      </c>
      <c r="AX146" s="6">
        <f>VLOOKUP(AP146,COND!$A$10:$B$31,2,FALSE)</f>
        <v>1</v>
      </c>
      <c r="AY146" s="9">
        <f>($AT$3*AT146+$AU$3*AU146+$AV$3*AV146+$AW$3*AW146)*AX146*IF(AQ146&lt;5,0.95,IF(AQ146&lt;7,0.975,1))+$J$3*VLOOKUP(J146,[1]Con!$A$2:$C$7,2,FALSE)+$K$3*VLOOKUP(K146,[1]Con!$A$2:$C$7,3,FALSE)+IF(BA146="SP",$BA$3,0)</f>
        <v>28.856720745537611</v>
      </c>
      <c r="AZ146" s="37">
        <f>STANDARDIZE(AY146,AVERAGE($AY$5:$AY$1116),STDEVP($AY$5:$AY$1116))</f>
        <v>-0.4020538196335447</v>
      </c>
      <c r="BA146" t="str">
        <f>IF(OR(AND(AQ146&gt;7,AW146&gt;1),AND(AQ146&gt;4,AV146&gt;2)),"SP","RP")</f>
        <v>RP</v>
      </c>
      <c r="BC146">
        <f>VLOOKUP($A146,'Draft List'!$A$4:$V$530,22,FALSE)</f>
        <v>0</v>
      </c>
      <c r="BE146" t="str">
        <f>IF(AVERAGE($O146:$Q146)&gt;=6,"Likely",IF(AVERAGE($O146:$Q146)&gt;=4,"Possible","Unlikely"))</f>
        <v>Possible</v>
      </c>
      <c r="BG146" t="str">
        <f>IF(VLOOKUP($B146,'Draft List'!$D$4:$AB$2598,BG$3,FALSE)&lt;&gt;0,VLOOKUP($B146,'Draft List'!$D$4:$AB$2598,BG$3,FALSE),"")</f>
        <v/>
      </c>
      <c r="BH146" t="str">
        <f>IF(VLOOKUP($B146,'Draft List'!$D$4:$AB$2598,BH$3,FALSE)&lt;&gt;0,VLOOKUP($B146,'Draft List'!$D$4:$AB$2598,BH$3,FALSE),"")</f>
        <v/>
      </c>
      <c r="BI146" t="str">
        <f>IF(VLOOKUP($B146,'Draft List'!$D$4:$AB$2598,BI$3,FALSE)&lt;&gt;0,VLOOKUP($B146,'Draft List'!$D$4:$AB$2598,BI$3,FALSE),"")</f>
        <v/>
      </c>
      <c r="BJ146" t="str">
        <f>IF(OR(C146="SP",C146="MR",C146="CL"),"P",VLOOKUP($A146,Bat!$A$4:$AP$1287,42,FALSE))</f>
        <v>P</v>
      </c>
    </row>
    <row r="147" spans="1:62">
      <c r="A147" t="str">
        <f>C147&amp;D147&amp;E147</f>
        <v>MREric Yates21</v>
      </c>
      <c r="B147">
        <f>VLOOKUP($A147,draft_listing_pitchers_stats!$A$1:$B$1324,2,FALSE)</f>
        <v>13909</v>
      </c>
      <c r="C147" s="1" t="s">
        <v>2021</v>
      </c>
      <c r="D147" s="1" t="s">
        <v>1165</v>
      </c>
      <c r="E147" s="1">
        <v>21</v>
      </c>
      <c r="F147" s="1" t="s">
        <v>2022</v>
      </c>
      <c r="G147" s="1" t="s">
        <v>2022</v>
      </c>
      <c r="H147" s="1" t="s">
        <v>2033</v>
      </c>
      <c r="I147" s="31" t="s">
        <v>2023</v>
      </c>
      <c r="J147" s="1" t="s">
        <v>2030</v>
      </c>
      <c r="K147" s="31" t="s">
        <v>2040</v>
      </c>
      <c r="L147" s="1">
        <v>4</v>
      </c>
      <c r="M147" s="1">
        <v>4</v>
      </c>
      <c r="N147" s="31">
        <v>2</v>
      </c>
      <c r="O147" s="1">
        <v>4</v>
      </c>
      <c r="P147" s="1">
        <v>4</v>
      </c>
      <c r="Q147" s="31">
        <v>5</v>
      </c>
      <c r="R147" s="1">
        <v>5</v>
      </c>
      <c r="S147" s="1">
        <v>5</v>
      </c>
      <c r="T147" s="1">
        <v>4</v>
      </c>
      <c r="U147" s="1">
        <v>4</v>
      </c>
      <c r="V147" s="1" t="s">
        <v>2027</v>
      </c>
      <c r="W147" s="1" t="s">
        <v>2027</v>
      </c>
      <c r="X147" s="1">
        <v>4</v>
      </c>
      <c r="Y147" s="1">
        <v>4</v>
      </c>
      <c r="Z147" s="1" t="s">
        <v>2027</v>
      </c>
      <c r="AA147" s="1" t="s">
        <v>2027</v>
      </c>
      <c r="AB147" s="1" t="s">
        <v>2027</v>
      </c>
      <c r="AC147" s="1" t="s">
        <v>2027</v>
      </c>
      <c r="AD147" s="1" t="s">
        <v>2027</v>
      </c>
      <c r="AE147" s="1" t="s">
        <v>2027</v>
      </c>
      <c r="AF147" s="1" t="s">
        <v>2027</v>
      </c>
      <c r="AG147" s="1" t="s">
        <v>2027</v>
      </c>
      <c r="AH147" s="1" t="s">
        <v>2027</v>
      </c>
      <c r="AI147" s="1" t="s">
        <v>2027</v>
      </c>
      <c r="AJ147" s="1" t="s">
        <v>2027</v>
      </c>
      <c r="AK147" s="1" t="s">
        <v>2027</v>
      </c>
      <c r="AL147" s="1" t="s">
        <v>2027</v>
      </c>
      <c r="AM147" s="1" t="s">
        <v>2027</v>
      </c>
      <c r="AN147" s="1" t="s">
        <v>2027</v>
      </c>
      <c r="AO147" s="31" t="s">
        <v>2027</v>
      </c>
      <c r="AP147" s="1" t="s">
        <v>2041</v>
      </c>
      <c r="AQ147" s="1">
        <v>6</v>
      </c>
      <c r="AR147" s="32">
        <v>0.46</v>
      </c>
      <c r="AS147" s="45" t="s">
        <v>2029</v>
      </c>
      <c r="AT147" s="9">
        <f>($O$3*(L147-$O$1)/$O$2+$P$3*(M147-$P$1)/$P$2+$Q$3*(N147-$P$1)/$Q$2)/SUM($O$3:$Q$3)</f>
        <v>-1.288794549095801</v>
      </c>
      <c r="AU147" s="9">
        <f>($O$3*(O147-$O$1)/$O$2+$P$3*(P147-$P$1)/$P$2+$Q$3*(Q147-$Q$1)/$Q$2)/SUM($O$3:$Q$3)</f>
        <v>-0.11633810019639811</v>
      </c>
      <c r="AV147">
        <f>COUNT(R147:AO147)/2</f>
        <v>3</v>
      </c>
      <c r="AW147">
        <f>COUNTIF(R147:AO147,"&gt;5")/2</f>
        <v>0</v>
      </c>
      <c r="AX147" s="6">
        <f>VLOOKUP(AP147,COND!$A$10:$B$31,2,FALSE)</f>
        <v>1</v>
      </c>
      <c r="AY147" s="9">
        <f>($AT$3*AT147+$AU$3*AU147+$AV$3*AV147+$AW$3*AW147)*AX147*IF(AQ147&lt;5,0.95,IF(AQ147&lt;7,0.975,1))+$J$3*VLOOKUP(J147,[1]Con!$A$2:$C$7,2,FALSE)+$K$3*VLOOKUP(K147,[1]Con!$A$2:$C$7,3,FALSE)+IF(BA147="SP",$BA$3,0)</f>
        <v>28.692592109096555</v>
      </c>
      <c r="AZ147" s="37">
        <f>STANDARDIZE(AY147,AVERAGE($AY$5:$AY$1116),STDEVP($AY$5:$AY$1116))</f>
        <v>-0.41508342425680789</v>
      </c>
      <c r="BA147" t="str">
        <f>IF(OR(AND(AQ147&gt;7,AW147&gt;1),AND(AQ147&gt;4,AV147&gt;2)),"SP","RP")</f>
        <v>SP</v>
      </c>
      <c r="BC147">
        <f>VLOOKUP($A147,'Draft List'!$A$4:$V$530,22,FALSE)</f>
        <v>0</v>
      </c>
      <c r="BE147" t="str">
        <f>IF(AVERAGE($O147:$Q147)&gt;=6,"Likely",IF(AVERAGE($O147:$Q147)&gt;=4,"Possible","Unlikely"))</f>
        <v>Possible</v>
      </c>
      <c r="BG147" t="str">
        <f>IF(VLOOKUP($B147,'Draft List'!$D$4:$AB$2598,BG$3,FALSE)&lt;&gt;0,VLOOKUP($B147,'Draft List'!$D$4:$AB$2598,BG$3,FALSE),"")</f>
        <v/>
      </c>
      <c r="BH147" t="str">
        <f>IF(VLOOKUP($B147,'Draft List'!$D$4:$AB$2598,BH$3,FALSE)&lt;&gt;0,VLOOKUP($B147,'Draft List'!$D$4:$AB$2598,BH$3,FALSE),"")</f>
        <v/>
      </c>
      <c r="BI147" t="str">
        <f>IF(VLOOKUP($B147,'Draft List'!$D$4:$AB$2598,BI$3,FALSE)&lt;&gt;0,VLOOKUP($B147,'Draft List'!$D$4:$AB$2598,BI$3,FALSE),"")</f>
        <v/>
      </c>
      <c r="BJ147" t="str">
        <f>IF(OR(C147="SP",C147="MR",C147="CL"),"P",VLOOKUP($A147,Bat!$A$4:$AP$1287,42,FALSE))</f>
        <v>P</v>
      </c>
    </row>
    <row r="148" spans="1:62">
      <c r="A148" t="str">
        <f>C148&amp;D148&amp;E148</f>
        <v>SPPedro López18</v>
      </c>
      <c r="B148">
        <f>VLOOKUP($A148,draft_listing_pitchers_stats!$A$1:$B$1324,2,FALSE)</f>
        <v>13756</v>
      </c>
      <c r="C148" s="1" t="s">
        <v>2003</v>
      </c>
      <c r="D148" s="1" t="s">
        <v>1023</v>
      </c>
      <c r="E148" s="1">
        <v>18</v>
      </c>
      <c r="F148" s="1" t="s">
        <v>2022</v>
      </c>
      <c r="G148" s="1" t="s">
        <v>2038</v>
      </c>
      <c r="H148" s="1" t="s">
        <v>2033</v>
      </c>
      <c r="I148" s="31" t="s">
        <v>2033</v>
      </c>
      <c r="J148" s="1" t="s">
        <v>2030</v>
      </c>
      <c r="K148" s="31" t="s">
        <v>2025</v>
      </c>
      <c r="L148" s="1">
        <v>1</v>
      </c>
      <c r="M148" s="1">
        <v>4</v>
      </c>
      <c r="N148" s="31">
        <v>1</v>
      </c>
      <c r="O148" s="1">
        <v>4</v>
      </c>
      <c r="P148" s="1">
        <v>4</v>
      </c>
      <c r="Q148" s="31">
        <v>4</v>
      </c>
      <c r="R148" s="1">
        <v>2</v>
      </c>
      <c r="S148" s="1">
        <v>5</v>
      </c>
      <c r="T148" s="1">
        <v>1</v>
      </c>
      <c r="U148" s="1">
        <v>7</v>
      </c>
      <c r="V148" s="1" t="s">
        <v>2027</v>
      </c>
      <c r="W148" s="1" t="s">
        <v>2027</v>
      </c>
      <c r="X148" s="1">
        <v>2</v>
      </c>
      <c r="Y148" s="1">
        <v>6</v>
      </c>
      <c r="Z148" s="1" t="s">
        <v>2027</v>
      </c>
      <c r="AA148" s="1" t="s">
        <v>2027</v>
      </c>
      <c r="AB148" s="1" t="s">
        <v>2027</v>
      </c>
      <c r="AC148" s="1" t="s">
        <v>2027</v>
      </c>
      <c r="AD148" s="1" t="s">
        <v>2027</v>
      </c>
      <c r="AE148" s="1" t="s">
        <v>2027</v>
      </c>
      <c r="AF148" s="1" t="s">
        <v>2027</v>
      </c>
      <c r="AG148" s="1" t="s">
        <v>2027</v>
      </c>
      <c r="AH148" s="1" t="s">
        <v>2027</v>
      </c>
      <c r="AI148" s="1" t="s">
        <v>2027</v>
      </c>
      <c r="AJ148" s="1" t="s">
        <v>2027</v>
      </c>
      <c r="AK148" s="1" t="s">
        <v>2027</v>
      </c>
      <c r="AL148" s="1" t="s">
        <v>2027</v>
      </c>
      <c r="AM148" s="1" t="s">
        <v>2027</v>
      </c>
      <c r="AN148" s="1" t="s">
        <v>2027</v>
      </c>
      <c r="AO148" s="31" t="s">
        <v>2027</v>
      </c>
      <c r="AP148" s="1" t="s">
        <v>2063</v>
      </c>
      <c r="AQ148" s="1">
        <v>7</v>
      </c>
      <c r="AR148" s="32">
        <v>0.49</v>
      </c>
      <c r="AS148" s="45" t="s">
        <v>2029</v>
      </c>
      <c r="AT148" s="9">
        <f>($O$3*(L148-$O$1)/$O$2+$P$3*(M148-$P$1)/$P$2+$Q$3*(N148-$P$1)/$Q$2)/SUM($O$3:$Q$3)</f>
        <v>-2.1151890886774316</v>
      </c>
      <c r="AU148" s="9">
        <f>($O$3*(O148-$O$1)/$O$2+$P$3*(P148-$P$1)/$P$2+$Q$3*(Q148-$Q$1)/$Q$2)/SUM($O$3:$Q$3)</f>
        <v>-0.35865866625050846</v>
      </c>
      <c r="AV148">
        <f>COUNT(R148:AO148)/2</f>
        <v>3</v>
      </c>
      <c r="AW148">
        <f>COUNTIF(R148:AO148,"&gt;5")/2</f>
        <v>1</v>
      </c>
      <c r="AX148" s="6">
        <f>VLOOKUP(AP148,COND!$A$10:$B$31,2,FALSE)</f>
        <v>0.9</v>
      </c>
      <c r="AY148" s="9">
        <f>($AT$3*AT148+$AU$3*AU148+$AV$3*AV148+$AW$3*AW148)*AX148*IF(AQ148&lt;5,0.95,IF(AQ148&lt;7,0.975,1))+$J$3*VLOOKUP(J148,[1]Con!$A$2:$C$7,2,FALSE)+$K$3*VLOOKUP(K148,[1]Con!$A$2:$C$7,3,FALSE)+IF(BA148="SP",$BA$3,0)</f>
        <v>28.388409971528908</v>
      </c>
      <c r="AZ148" s="37">
        <f>STANDARDIZE(AY148,AVERAGE($AY$5:$AY$1116),STDEVP($AY$5:$AY$1116))</f>
        <v>-0.43923139180169685</v>
      </c>
      <c r="BA148" t="str">
        <f>IF(OR(AND(AQ148&gt;7,AW148&gt;1),AND(AQ148&gt;4,AV148&gt;2)),"SP","RP")</f>
        <v>SP</v>
      </c>
      <c r="BC148">
        <f>VLOOKUP($A148,'Draft List'!$A$4:$V$530,22,FALSE)</f>
        <v>0</v>
      </c>
      <c r="BE148" t="str">
        <f>IF(AVERAGE($O148:$Q148)&gt;=6,"Likely",IF(AVERAGE($O148:$Q148)&gt;=4,"Possible","Unlikely"))</f>
        <v>Possible</v>
      </c>
      <c r="BG148" t="str">
        <f>IF(VLOOKUP($B148,'Draft List'!$D$4:$AB$2598,BG$3,FALSE)&lt;&gt;0,VLOOKUP($B148,'Draft List'!$D$4:$AB$2598,BG$3,FALSE),"")</f>
        <v/>
      </c>
      <c r="BH148" t="str">
        <f>IF(VLOOKUP($B148,'Draft List'!$D$4:$AB$2598,BH$3,FALSE)&lt;&gt;0,VLOOKUP($B148,'Draft List'!$D$4:$AB$2598,BH$3,FALSE),"")</f>
        <v/>
      </c>
      <c r="BI148" t="str">
        <f>IF(VLOOKUP($B148,'Draft List'!$D$4:$AB$2598,BI$3,FALSE)&lt;&gt;0,VLOOKUP($B148,'Draft List'!$D$4:$AB$2598,BI$3,FALSE),"")</f>
        <v/>
      </c>
      <c r="BJ148" t="str">
        <f>IF(OR(C148="SP",C148="MR",C148="CL"),"P",VLOOKUP($A148,Bat!$A$4:$AP$1287,42,FALSE))</f>
        <v>P</v>
      </c>
    </row>
    <row r="149" spans="1:62">
      <c r="A149" t="str">
        <f>C149&amp;D149&amp;E149</f>
        <v>SPKevin Dycus18</v>
      </c>
      <c r="B149" t="e">
        <f>VLOOKUP($A149,draft_listing_pitchers_stats!$A$1:$B$1324,2,FALSE)</f>
        <v>#N/A</v>
      </c>
      <c r="C149" s="1" t="s">
        <v>2003</v>
      </c>
      <c r="D149" s="1" t="s">
        <v>991</v>
      </c>
      <c r="E149" s="1">
        <v>18</v>
      </c>
      <c r="F149" s="1" t="s">
        <v>2022</v>
      </c>
      <c r="G149" s="1" t="s">
        <v>2022</v>
      </c>
      <c r="H149" s="1" t="s">
        <v>2033</v>
      </c>
      <c r="I149" s="31" t="s">
        <v>2033</v>
      </c>
      <c r="J149" s="1" t="s">
        <v>2030</v>
      </c>
      <c r="K149" s="31" t="s">
        <v>2030</v>
      </c>
      <c r="L149" s="1">
        <v>2</v>
      </c>
      <c r="M149" s="1">
        <v>3</v>
      </c>
      <c r="N149" s="31">
        <v>1</v>
      </c>
      <c r="O149" s="1">
        <v>4</v>
      </c>
      <c r="P149" s="1">
        <v>3</v>
      </c>
      <c r="Q149" s="31">
        <v>5</v>
      </c>
      <c r="R149" s="1">
        <v>3</v>
      </c>
      <c r="S149" s="1">
        <v>4</v>
      </c>
      <c r="T149" s="1">
        <v>1</v>
      </c>
      <c r="U149" s="1">
        <v>5</v>
      </c>
      <c r="V149" s="1" t="s">
        <v>2027</v>
      </c>
      <c r="W149" s="1" t="s">
        <v>2027</v>
      </c>
      <c r="X149" s="1" t="s">
        <v>2027</v>
      </c>
      <c r="Y149" s="1" t="s">
        <v>2027</v>
      </c>
      <c r="Z149" s="1" t="s">
        <v>2027</v>
      </c>
      <c r="AA149" s="1" t="s">
        <v>2027</v>
      </c>
      <c r="AB149" s="1" t="s">
        <v>2027</v>
      </c>
      <c r="AC149" s="1" t="s">
        <v>2027</v>
      </c>
      <c r="AD149" s="1">
        <v>3</v>
      </c>
      <c r="AE149" s="1">
        <v>4</v>
      </c>
      <c r="AF149" s="1" t="s">
        <v>2027</v>
      </c>
      <c r="AG149" s="1" t="s">
        <v>2027</v>
      </c>
      <c r="AH149" s="1" t="s">
        <v>2027</v>
      </c>
      <c r="AI149" s="1" t="s">
        <v>2027</v>
      </c>
      <c r="AJ149" s="1" t="s">
        <v>2027</v>
      </c>
      <c r="AK149" s="1" t="s">
        <v>2027</v>
      </c>
      <c r="AL149" s="1" t="s">
        <v>2027</v>
      </c>
      <c r="AM149" s="1" t="s">
        <v>2027</v>
      </c>
      <c r="AN149" s="1" t="s">
        <v>2027</v>
      </c>
      <c r="AO149" s="31" t="s">
        <v>2027</v>
      </c>
      <c r="AP149" s="1" t="s">
        <v>2054</v>
      </c>
      <c r="AQ149" s="1">
        <v>7</v>
      </c>
      <c r="AR149" s="32">
        <v>0.4</v>
      </c>
      <c r="AS149" s="45" t="s">
        <v>2029</v>
      </c>
      <c r="AT149" s="9">
        <f>($O$3*(L149-$O$1)/$O$2+$P$3*(M149-$P$1)/$P$2+$Q$3*(N149-$P$1)/$Q$2)/SUM($O$3:$Q$3)</f>
        <v>-2.1159294805983135</v>
      </c>
      <c r="AU149" s="9">
        <f>($O$3*(O149-$O$1)/$O$2+$P$3*(P149-$P$1)/$P$2+$Q$3*(Q149-$Q$1)/$Q$2)/SUM($O$3:$Q$3)</f>
        <v>-0.31176981662645348</v>
      </c>
      <c r="AV149">
        <f>COUNT(R149:AO149)/2</f>
        <v>3</v>
      </c>
      <c r="AW149">
        <f>COUNTIF(R149:AO149,"&gt;5")/2</f>
        <v>0</v>
      </c>
      <c r="AX149" s="6">
        <f>VLOOKUP(AP149,COND!$A$10:$B$31,2,FALSE)</f>
        <v>1</v>
      </c>
      <c r="AY149" s="9">
        <f>($AT$3*AT149+$AU$3*AU149+$AV$3*AV149+$AW$3*AW149)*AX149*IF(AQ149&lt;5,0.95,IF(AQ149&lt;7,0.975,1))+$J$3*VLOOKUP(J149,[1]Con!$A$2:$C$7,2,FALSE)+$K$3*VLOOKUP(K149,[1]Con!$A$2:$C$7,3,FALSE)+IF(BA149="SP",$BA$3,0)</f>
        <v>28.341417771351267</v>
      </c>
      <c r="AZ149" s="37">
        <f>STANDARDIZE(AY149,AVERAGE($AY$5:$AY$1116),STDEVP($AY$5:$AY$1116))</f>
        <v>-0.44296193999833522</v>
      </c>
      <c r="BA149" t="str">
        <f>IF(OR(AND(AQ149&gt;7,AW149&gt;1),AND(AQ149&gt;4,AV149&gt;2)),"SP","RP")</f>
        <v>SP</v>
      </c>
      <c r="BC149" t="e">
        <f>VLOOKUP($A149,'Draft List'!$A$4:$V$530,22,FALSE)</f>
        <v>#N/A</v>
      </c>
      <c r="BE149" t="str">
        <f>IF(AVERAGE($O149:$Q149)&gt;=6,"Likely",IF(AVERAGE($O149:$Q149)&gt;=4,"Possible","Unlikely"))</f>
        <v>Possible</v>
      </c>
      <c r="BG149" t="e">
        <f>IF(VLOOKUP($B149,'Draft List'!$D$4:$AB$2598,BG$3,FALSE)&lt;&gt;0,VLOOKUP($B149,'Draft List'!$D$4:$AB$2598,BG$3,FALSE),"")</f>
        <v>#N/A</v>
      </c>
      <c r="BH149" t="e">
        <f>IF(VLOOKUP($B149,'Draft List'!$D$4:$AB$2598,BH$3,FALSE)&lt;&gt;0,VLOOKUP($B149,'Draft List'!$D$4:$AB$2598,BH$3,FALSE),"")</f>
        <v>#N/A</v>
      </c>
      <c r="BI149" t="e">
        <f>IF(VLOOKUP($B149,'Draft List'!$D$4:$AB$2598,BI$3,FALSE)&lt;&gt;0,VLOOKUP($B149,'Draft List'!$D$4:$AB$2598,BI$3,FALSE),"")</f>
        <v>#N/A</v>
      </c>
      <c r="BJ149" t="str">
        <f>IF(OR(C149="SP",C149="MR",C149="CL"),"P",VLOOKUP($A149,Bat!$A$4:$AP$1287,42,FALSE))</f>
        <v>P</v>
      </c>
    </row>
    <row r="150" spans="1:62">
      <c r="A150" t="str">
        <f>C150&amp;D150&amp;E150</f>
        <v>SPJoseph Jones21</v>
      </c>
      <c r="B150" t="e">
        <f>VLOOKUP($A150,draft_listing_pitchers_stats!$A$1:$B$1324,2,FALSE)</f>
        <v>#N/A</v>
      </c>
      <c r="C150" s="1" t="s">
        <v>2003</v>
      </c>
      <c r="D150" s="1" t="s">
        <v>1012</v>
      </c>
      <c r="E150" s="1">
        <v>21</v>
      </c>
      <c r="F150" s="1" t="s">
        <v>2038</v>
      </c>
      <c r="G150" s="1" t="s">
        <v>2038</v>
      </c>
      <c r="H150" s="1" t="s">
        <v>2033</v>
      </c>
      <c r="I150" s="31" t="s">
        <v>2033</v>
      </c>
      <c r="J150" s="1" t="s">
        <v>2030</v>
      </c>
      <c r="K150" s="31" t="s">
        <v>2026</v>
      </c>
      <c r="L150" s="1">
        <v>4</v>
      </c>
      <c r="M150" s="1">
        <v>3</v>
      </c>
      <c r="N150" s="31">
        <v>1</v>
      </c>
      <c r="O150" s="1">
        <v>5</v>
      </c>
      <c r="P150" s="1">
        <v>3</v>
      </c>
      <c r="Q150" s="31">
        <v>4</v>
      </c>
      <c r="R150" s="1">
        <v>6</v>
      </c>
      <c r="S150" s="1">
        <v>7</v>
      </c>
      <c r="T150" s="1">
        <v>2</v>
      </c>
      <c r="U150" s="1">
        <v>4</v>
      </c>
      <c r="V150" s="1" t="s">
        <v>2027</v>
      </c>
      <c r="W150" s="1" t="s">
        <v>2027</v>
      </c>
      <c r="X150" s="1">
        <v>4</v>
      </c>
      <c r="Y150" s="1">
        <v>5</v>
      </c>
      <c r="Z150" s="1" t="s">
        <v>2027</v>
      </c>
      <c r="AA150" s="1" t="s">
        <v>2027</v>
      </c>
      <c r="AB150" s="1" t="s">
        <v>2027</v>
      </c>
      <c r="AC150" s="1" t="s">
        <v>2027</v>
      </c>
      <c r="AD150" s="1" t="s">
        <v>2027</v>
      </c>
      <c r="AE150" s="1" t="s">
        <v>2027</v>
      </c>
      <c r="AF150" s="1">
        <v>5</v>
      </c>
      <c r="AG150" s="1">
        <v>6</v>
      </c>
      <c r="AH150" s="1" t="s">
        <v>2027</v>
      </c>
      <c r="AI150" s="1" t="s">
        <v>2027</v>
      </c>
      <c r="AJ150" s="1" t="s">
        <v>2027</v>
      </c>
      <c r="AK150" s="1" t="s">
        <v>2027</v>
      </c>
      <c r="AL150" s="1" t="s">
        <v>2027</v>
      </c>
      <c r="AM150" s="1" t="s">
        <v>2027</v>
      </c>
      <c r="AN150" s="1" t="s">
        <v>2027</v>
      </c>
      <c r="AO150" s="31" t="s">
        <v>2027</v>
      </c>
      <c r="AP150" s="1" t="s">
        <v>2048</v>
      </c>
      <c r="AQ150" s="1">
        <v>6</v>
      </c>
      <c r="AR150" s="32">
        <v>0.44</v>
      </c>
      <c r="AS150" s="45" t="s">
        <v>2029</v>
      </c>
      <c r="AT150" s="9">
        <f>($O$3*(L150-$O$1)/$O$2+$P$3*(M150-$P$1)/$P$2+$Q$3*(N150-$P$1)/$Q$2)/SUM($O$3:$Q$3)</f>
        <v>-1.7265468315799666</v>
      </c>
      <c r="AU150" s="9">
        <f>($O$3*(O150-$O$1)/$O$2+$P$3*(P150-$P$1)/$P$2+$Q$3*(Q150-$Q$1)/$Q$2)/SUM($O$3:$Q$3)</f>
        <v>-0.35939905817139028</v>
      </c>
      <c r="AV150">
        <f>COUNT(R150:AO150)/2</f>
        <v>4</v>
      </c>
      <c r="AW150">
        <f>COUNTIF(R150:AO150,"&gt;5")/2</f>
        <v>1.5</v>
      </c>
      <c r="AX150" s="6">
        <f>VLOOKUP(AP150,COND!$A$10:$B$31,2,FALSE)</f>
        <v>1.05</v>
      </c>
      <c r="AY150" s="9">
        <f>($AT$3*AT150+$AU$3*AU150+$AV$3*AV150+$AW$3*AW150)*AX150*IF(AQ150&lt;5,0.95,IF(AQ150&lt;7,0.975,1))+$J$3*VLOOKUP(J150,[1]Con!$A$2:$C$7,2,FALSE)+$K$3*VLOOKUP(K150,[1]Con!$A$2:$C$7,3,FALSE)+IF(BA150="SP",$BA$3,0)</f>
        <v>28.254825070174785</v>
      </c>
      <c r="AZ150" s="37">
        <f>STANDARDIZE(AY150,AVERAGE($AY$5:$AY$1116),STDEVP($AY$5:$AY$1116))</f>
        <v>-0.44983623496632597</v>
      </c>
      <c r="BA150" t="str">
        <f>IF(OR(AND(AQ150&gt;7,AW150&gt;1),AND(AQ150&gt;4,AV150&gt;2)),"SP","RP")</f>
        <v>SP</v>
      </c>
      <c r="BC150" t="e">
        <f>VLOOKUP($A150,'Draft List'!$A$4:$V$530,22,FALSE)</f>
        <v>#N/A</v>
      </c>
      <c r="BE150" t="str">
        <f>IF(AVERAGE($O150:$Q150)&gt;=6,"Likely",IF(AVERAGE($O150:$Q150)&gt;=4,"Possible","Unlikely"))</f>
        <v>Possible</v>
      </c>
      <c r="BG150" t="e">
        <f>IF(VLOOKUP($B150,'Draft List'!$D$4:$AB$2598,BG$3,FALSE)&lt;&gt;0,VLOOKUP($B150,'Draft List'!$D$4:$AB$2598,BG$3,FALSE),"")</f>
        <v>#N/A</v>
      </c>
      <c r="BH150" t="e">
        <f>IF(VLOOKUP($B150,'Draft List'!$D$4:$AB$2598,BH$3,FALSE)&lt;&gt;0,VLOOKUP($B150,'Draft List'!$D$4:$AB$2598,BH$3,FALSE),"")</f>
        <v>#N/A</v>
      </c>
      <c r="BI150" t="e">
        <f>IF(VLOOKUP($B150,'Draft List'!$D$4:$AB$2598,BI$3,FALSE)&lt;&gt;0,VLOOKUP($B150,'Draft List'!$D$4:$AB$2598,BI$3,FALSE),"")</f>
        <v>#N/A</v>
      </c>
      <c r="BJ150" t="str">
        <f>IF(OR(C150="SP",C150="MR",C150="CL"),"P",VLOOKUP($A150,Bat!$A$4:$AP$1287,42,FALSE))</f>
        <v>P</v>
      </c>
    </row>
    <row r="151" spans="1:62">
      <c r="A151" t="str">
        <f>C151&amp;D151&amp;E151</f>
        <v>SPBrent Jones21</v>
      </c>
      <c r="B151">
        <f>VLOOKUP($A151,draft_listing_pitchers_stats!$A$1:$B$1324,2,FALSE)</f>
        <v>4137</v>
      </c>
      <c r="C151" s="1" t="s">
        <v>2003</v>
      </c>
      <c r="D151" s="1" t="s">
        <v>1011</v>
      </c>
      <c r="E151" s="1">
        <v>21</v>
      </c>
      <c r="F151" s="1" t="s">
        <v>2022</v>
      </c>
      <c r="G151" s="1" t="s">
        <v>2022</v>
      </c>
      <c r="H151" s="1" t="s">
        <v>2033</v>
      </c>
      <c r="I151" s="31" t="s">
        <v>2033</v>
      </c>
      <c r="J151" s="1" t="s">
        <v>2040</v>
      </c>
      <c r="K151" s="31" t="s">
        <v>2036</v>
      </c>
      <c r="L151" s="1">
        <v>3</v>
      </c>
      <c r="M151" s="1">
        <v>4</v>
      </c>
      <c r="N151" s="31">
        <v>2</v>
      </c>
      <c r="O151" s="1">
        <v>4</v>
      </c>
      <c r="P151" s="1">
        <v>4</v>
      </c>
      <c r="Q151" s="31">
        <v>5</v>
      </c>
      <c r="R151" s="1">
        <v>6</v>
      </c>
      <c r="S151" s="1">
        <v>6</v>
      </c>
      <c r="T151" s="1">
        <v>3</v>
      </c>
      <c r="U151" s="1">
        <v>4</v>
      </c>
      <c r="V151" s="1" t="s">
        <v>2027</v>
      </c>
      <c r="W151" s="1" t="s">
        <v>2027</v>
      </c>
      <c r="X151" s="1">
        <v>4</v>
      </c>
      <c r="Y151" s="1">
        <v>5</v>
      </c>
      <c r="Z151" s="1" t="s">
        <v>2027</v>
      </c>
      <c r="AA151" s="1" t="s">
        <v>2027</v>
      </c>
      <c r="AB151" s="1" t="s">
        <v>2027</v>
      </c>
      <c r="AC151" s="1" t="s">
        <v>2027</v>
      </c>
      <c r="AD151" s="1" t="s">
        <v>2027</v>
      </c>
      <c r="AE151" s="1" t="s">
        <v>2027</v>
      </c>
      <c r="AF151" s="1" t="s">
        <v>2027</v>
      </c>
      <c r="AG151" s="1" t="s">
        <v>2027</v>
      </c>
      <c r="AH151" s="1" t="s">
        <v>2027</v>
      </c>
      <c r="AI151" s="1" t="s">
        <v>2027</v>
      </c>
      <c r="AJ151" s="1" t="s">
        <v>2027</v>
      </c>
      <c r="AK151" s="1" t="s">
        <v>2027</v>
      </c>
      <c r="AL151" s="1" t="s">
        <v>2027</v>
      </c>
      <c r="AM151" s="1" t="s">
        <v>2027</v>
      </c>
      <c r="AN151" s="1" t="s">
        <v>2027</v>
      </c>
      <c r="AO151" s="31" t="s">
        <v>2027</v>
      </c>
      <c r="AP151" s="1" t="s">
        <v>2039</v>
      </c>
      <c r="AQ151" s="1">
        <v>4</v>
      </c>
      <c r="AR151" s="32">
        <v>0.46</v>
      </c>
      <c r="AS151" s="45" t="s">
        <v>2029</v>
      </c>
      <c r="AT151" s="9">
        <f>($O$3*(L151-$O$1)/$O$2+$P$3*(M151-$P$1)/$P$2+$Q$3*(N151-$P$1)/$Q$2)/SUM($O$3:$Q$3)</f>
        <v>-1.4834858736049745</v>
      </c>
      <c r="AU151" s="9">
        <f>($O$3*(O151-$O$1)/$O$2+$P$3*(P151-$P$1)/$P$2+$Q$3*(Q151-$Q$1)/$Q$2)/SUM($O$3:$Q$3)</f>
        <v>-0.11633810019639811</v>
      </c>
      <c r="AV151">
        <f>COUNT(R151:AO151)/2</f>
        <v>3</v>
      </c>
      <c r="AW151">
        <f>COUNTIF(R151:AO151,"&gt;5")/2</f>
        <v>1</v>
      </c>
      <c r="AX151" s="6">
        <f>VLOOKUP(AP151,COND!$A$10:$B$31,2,FALSE)</f>
        <v>1.0249999999999999</v>
      </c>
      <c r="AY151" s="9">
        <f>($AT$3*AT151+$AU$3*AU151+$AV$3*AV151+$AW$3*AW151)*AX151*IF(AQ151&lt;5,0.95,IF(AQ151&lt;7,0.975,1))+$J$3*VLOOKUP(J151,[1]Con!$A$2:$C$7,2,FALSE)+$K$3*VLOOKUP(K151,[1]Con!$A$2:$C$7,3,FALSE)+IF(BA151="SP",$BA$3,0)</f>
        <v>28.173219124790577</v>
      </c>
      <c r="AZ151" s="37">
        <f>STANDARDIZE(AY151,AVERAGE($AY$5:$AY$1116),STDEVP($AY$5:$AY$1116))</f>
        <v>-0.45631464864428095</v>
      </c>
      <c r="BA151" t="str">
        <f>IF(OR(AND(AQ151&gt;7,AW151&gt;1),AND(AQ151&gt;4,AV151&gt;2)),"SP","RP")</f>
        <v>RP</v>
      </c>
      <c r="BC151">
        <f>VLOOKUP($A151,'Draft List'!$A$4:$V$530,22,FALSE)</f>
        <v>0</v>
      </c>
      <c r="BE151" t="str">
        <f>IF(AVERAGE($O151:$Q151)&gt;=6,"Likely",IF(AVERAGE($O151:$Q151)&gt;=4,"Possible","Unlikely"))</f>
        <v>Possible</v>
      </c>
      <c r="BG151" t="str">
        <f>IF(VLOOKUP($B151,'Draft List'!$D$4:$AB$2598,BG$3,FALSE)&lt;&gt;0,VLOOKUP($B151,'Draft List'!$D$4:$AB$2598,BG$3,FALSE),"")</f>
        <v/>
      </c>
      <c r="BH151" t="str">
        <f>IF(VLOOKUP($B151,'Draft List'!$D$4:$AB$2598,BH$3,FALSE)&lt;&gt;0,VLOOKUP($B151,'Draft List'!$D$4:$AB$2598,BH$3,FALSE),"")</f>
        <v/>
      </c>
      <c r="BI151" t="str">
        <f>IF(VLOOKUP($B151,'Draft List'!$D$4:$AB$2598,BI$3,FALSE)&lt;&gt;0,VLOOKUP($B151,'Draft List'!$D$4:$AB$2598,BI$3,FALSE),"")</f>
        <v/>
      </c>
      <c r="BJ151" t="str">
        <f>IF(OR(C151="SP",C151="MR",C151="CL"),"P",VLOOKUP($A151,Bat!$A$4:$AP$1287,42,FALSE))</f>
        <v>P</v>
      </c>
    </row>
    <row r="152" spans="1:62">
      <c r="A152" t="str">
        <f>C152&amp;D152&amp;E152</f>
        <v>SPSteve Kitchen21</v>
      </c>
      <c r="B152">
        <f>VLOOKUP($A152,draft_listing_pitchers_stats!$A$1:$B$1324,2,FALSE)</f>
        <v>7372</v>
      </c>
      <c r="C152" s="1" t="s">
        <v>2003</v>
      </c>
      <c r="D152" s="1" t="s">
        <v>1126</v>
      </c>
      <c r="E152" s="1">
        <v>21</v>
      </c>
      <c r="F152" s="1" t="s">
        <v>2022</v>
      </c>
      <c r="G152" s="1" t="s">
        <v>2022</v>
      </c>
      <c r="H152" s="1" t="s">
        <v>2033</v>
      </c>
      <c r="I152" s="31" t="s">
        <v>2023</v>
      </c>
      <c r="J152" s="1" t="s">
        <v>2030</v>
      </c>
      <c r="K152" s="31" t="s">
        <v>2030</v>
      </c>
      <c r="L152" s="1">
        <v>4</v>
      </c>
      <c r="M152" s="1">
        <v>4</v>
      </c>
      <c r="N152" s="31">
        <v>1</v>
      </c>
      <c r="O152" s="1">
        <v>4</v>
      </c>
      <c r="P152" s="1">
        <v>4</v>
      </c>
      <c r="Q152" s="31">
        <v>4</v>
      </c>
      <c r="R152" s="1" t="s">
        <v>2027</v>
      </c>
      <c r="S152" s="1" t="s">
        <v>2027</v>
      </c>
      <c r="T152" s="1">
        <v>4</v>
      </c>
      <c r="U152" s="1">
        <v>4</v>
      </c>
      <c r="V152" s="1" t="s">
        <v>2027</v>
      </c>
      <c r="W152" s="1" t="s">
        <v>2027</v>
      </c>
      <c r="X152" s="1">
        <v>2</v>
      </c>
      <c r="Y152" s="1">
        <v>2</v>
      </c>
      <c r="Z152" s="1" t="s">
        <v>2027</v>
      </c>
      <c r="AA152" s="1" t="s">
        <v>2027</v>
      </c>
      <c r="AB152" s="1" t="s">
        <v>2027</v>
      </c>
      <c r="AC152" s="1" t="s">
        <v>2027</v>
      </c>
      <c r="AD152" s="1" t="s">
        <v>2027</v>
      </c>
      <c r="AE152" s="1" t="s">
        <v>2027</v>
      </c>
      <c r="AF152" s="1" t="s">
        <v>2027</v>
      </c>
      <c r="AG152" s="1" t="s">
        <v>2027</v>
      </c>
      <c r="AH152" s="1" t="s">
        <v>2027</v>
      </c>
      <c r="AI152" s="1" t="s">
        <v>2027</v>
      </c>
      <c r="AJ152" s="1" t="s">
        <v>2027</v>
      </c>
      <c r="AK152" s="1" t="s">
        <v>2027</v>
      </c>
      <c r="AL152" s="1" t="s">
        <v>2027</v>
      </c>
      <c r="AM152" s="1" t="s">
        <v>2027</v>
      </c>
      <c r="AN152" s="1">
        <v>5</v>
      </c>
      <c r="AO152" s="31">
        <v>7</v>
      </c>
      <c r="AP152" s="1" t="s">
        <v>2054</v>
      </c>
      <c r="AQ152" s="1">
        <v>8</v>
      </c>
      <c r="AR152" s="32">
        <v>0.53</v>
      </c>
      <c r="AS152" s="45" t="s">
        <v>2029</v>
      </c>
      <c r="AT152" s="9">
        <f>($O$3*(L152-$O$1)/$O$2+$P$3*(M152-$P$1)/$P$2+$Q$3*(N152-$P$1)/$Q$2)/SUM($O$3:$Q$3)</f>
        <v>-1.5311151151499114</v>
      </c>
      <c r="AU152" s="9">
        <f>($O$3*(O152-$O$1)/$O$2+$P$3*(P152-$P$1)/$P$2+$Q$3*(Q152-$Q$1)/$Q$2)/SUM($O$3:$Q$3)</f>
        <v>-0.35865866625050846</v>
      </c>
      <c r="AV152">
        <f>COUNT(R152:AO152)/2</f>
        <v>3</v>
      </c>
      <c r="AW152">
        <f>COUNTIF(R152:AO152,"&gt;5")/2</f>
        <v>0.5</v>
      </c>
      <c r="AX152" s="6">
        <f>VLOOKUP(AP152,COND!$A$10:$B$31,2,FALSE)</f>
        <v>1</v>
      </c>
      <c r="AY152" s="9">
        <f>($AT$3*AT152+$AU$3*AU152+$AV$3*AV152+$AW$3*AW152)*AX152*IF(AQ152&lt;5,0.95,IF(AQ152&lt;7,0.975,1))+$J$3*VLOOKUP(J152,[1]Con!$A$2:$C$7,2,FALSE)+$K$3*VLOOKUP(K152,[1]Con!$A$2:$C$7,3,FALSE)+IF(BA152="SP",$BA$3,0)</f>
        <v>28.145603651959849</v>
      </c>
      <c r="AZ152" s="37">
        <f>STANDARDIZE(AY152,AVERAGE($AY$5:$AY$1116),STDEVP($AY$5:$AY$1116))</f>
        <v>-0.45850694549308885</v>
      </c>
      <c r="BA152" t="str">
        <f>IF(OR(AND(AQ152&gt;7,AW152&gt;1),AND(AQ152&gt;4,AV152&gt;2)),"SP","RP")</f>
        <v>SP</v>
      </c>
      <c r="BC152">
        <f>VLOOKUP($A152,'Draft List'!$A$4:$V$530,22,FALSE)</f>
        <v>0</v>
      </c>
      <c r="BE152" t="str">
        <f>IF(AVERAGE($O152:$Q152)&gt;=6,"Likely",IF(AVERAGE($O152:$Q152)&gt;=4,"Possible","Unlikely"))</f>
        <v>Possible</v>
      </c>
      <c r="BG152" t="str">
        <f>IF(VLOOKUP($B152,'Draft List'!$D$4:$AB$2598,BG$3,FALSE)&lt;&gt;0,VLOOKUP($B152,'Draft List'!$D$4:$AB$2598,BG$3,FALSE),"")</f>
        <v/>
      </c>
      <c r="BH152" t="str">
        <f>IF(VLOOKUP($B152,'Draft List'!$D$4:$AB$2598,BH$3,FALSE)&lt;&gt;0,VLOOKUP($B152,'Draft List'!$D$4:$AB$2598,BH$3,FALSE),"")</f>
        <v/>
      </c>
      <c r="BI152" t="str">
        <f>IF(VLOOKUP($B152,'Draft List'!$D$4:$AB$2598,BI$3,FALSE)&lt;&gt;0,VLOOKUP($B152,'Draft List'!$D$4:$AB$2598,BI$3,FALSE),"")</f>
        <v/>
      </c>
      <c r="BJ152" t="str">
        <f>IF(OR(C152="SP",C152="MR",C152="CL"),"P",VLOOKUP($A152,Bat!$A$4:$AP$1287,42,FALSE))</f>
        <v>P</v>
      </c>
    </row>
    <row r="153" spans="1:62">
      <c r="A153" t="str">
        <f>C153&amp;D153&amp;E153</f>
        <v>MRSixto Canó18</v>
      </c>
      <c r="B153">
        <f>VLOOKUP($A153,draft_listing_pitchers_stats!$A$1:$B$1324,2,FALSE)</f>
        <v>13748</v>
      </c>
      <c r="C153" s="1" t="s">
        <v>2021</v>
      </c>
      <c r="D153" s="1" t="s">
        <v>1182</v>
      </c>
      <c r="E153" s="1">
        <v>18</v>
      </c>
      <c r="F153" s="1" t="s">
        <v>2038</v>
      </c>
      <c r="G153" s="1" t="s">
        <v>2038</v>
      </c>
      <c r="H153" s="1" t="s">
        <v>2033</v>
      </c>
      <c r="I153" s="31" t="s">
        <v>2033</v>
      </c>
      <c r="J153" s="1" t="s">
        <v>2030</v>
      </c>
      <c r="K153" s="31" t="s">
        <v>2025</v>
      </c>
      <c r="L153" s="1">
        <v>2</v>
      </c>
      <c r="M153" s="1">
        <v>3</v>
      </c>
      <c r="N153" s="31">
        <v>1</v>
      </c>
      <c r="O153" s="1">
        <v>4</v>
      </c>
      <c r="P153" s="1">
        <v>3</v>
      </c>
      <c r="Q153" s="31">
        <v>5</v>
      </c>
      <c r="R153" s="1">
        <v>2</v>
      </c>
      <c r="S153" s="1">
        <v>3</v>
      </c>
      <c r="T153" s="1">
        <v>1</v>
      </c>
      <c r="U153" s="1">
        <v>4</v>
      </c>
      <c r="V153" s="1" t="s">
        <v>2027</v>
      </c>
      <c r="W153" s="1" t="s">
        <v>2027</v>
      </c>
      <c r="X153" s="1">
        <v>2</v>
      </c>
      <c r="Y153" s="1">
        <v>5</v>
      </c>
      <c r="Z153" s="1" t="s">
        <v>2027</v>
      </c>
      <c r="AA153" s="1" t="s">
        <v>2027</v>
      </c>
      <c r="AB153" s="1" t="s">
        <v>2027</v>
      </c>
      <c r="AC153" s="1" t="s">
        <v>2027</v>
      </c>
      <c r="AD153" s="1" t="s">
        <v>2027</v>
      </c>
      <c r="AE153" s="1" t="s">
        <v>2027</v>
      </c>
      <c r="AF153" s="1" t="s">
        <v>2027</v>
      </c>
      <c r="AG153" s="1" t="s">
        <v>2027</v>
      </c>
      <c r="AH153" s="1" t="s">
        <v>2027</v>
      </c>
      <c r="AI153" s="1" t="s">
        <v>2027</v>
      </c>
      <c r="AJ153" s="1" t="s">
        <v>2027</v>
      </c>
      <c r="AK153" s="1" t="s">
        <v>2027</v>
      </c>
      <c r="AL153" s="1" t="s">
        <v>2027</v>
      </c>
      <c r="AM153" s="1" t="s">
        <v>2027</v>
      </c>
      <c r="AN153" s="1" t="s">
        <v>2027</v>
      </c>
      <c r="AO153" s="31" t="s">
        <v>2027</v>
      </c>
      <c r="AP153" s="1" t="s">
        <v>2059</v>
      </c>
      <c r="AQ153" s="1">
        <v>9</v>
      </c>
      <c r="AR153" s="32">
        <v>0.44</v>
      </c>
      <c r="AS153" s="45" t="s">
        <v>2029</v>
      </c>
      <c r="AT153" s="9">
        <f>($O$3*(L153-$O$1)/$O$2+$P$3*(M153-$P$1)/$P$2+$Q$3*(N153-$P$1)/$Q$2)/SUM($O$3:$Q$3)</f>
        <v>-2.1159294805983135</v>
      </c>
      <c r="AU153" s="9">
        <f>($O$3*(O153-$O$1)/$O$2+$P$3*(P153-$P$1)/$P$2+$Q$3*(Q153-$Q$1)/$Q$2)/SUM($O$3:$Q$3)</f>
        <v>-0.31176981662645348</v>
      </c>
      <c r="AV153">
        <f>COUNT(R153:AO153)/2</f>
        <v>3</v>
      </c>
      <c r="AW153">
        <f>COUNTIF(R153:AO153,"&gt;5")/2</f>
        <v>0</v>
      </c>
      <c r="AX153" s="6">
        <f>VLOOKUP(AP153,COND!$A$10:$B$31,2,FALSE)</f>
        <v>0.9</v>
      </c>
      <c r="AY153" s="9">
        <f>($AT$3*AT153+$AU$3*AU153+$AV$3*AV153+$AW$3*AW153)*AX153*IF(AQ153&lt;5,0.95,IF(AQ153&lt;7,0.975,1))+$J$3*VLOOKUP(J153,[1]Con!$A$2:$C$7,2,FALSE)+$K$3*VLOOKUP(K153,[1]Con!$A$2:$C$7,3,FALSE)+IF(BA153="SP",$BA$3,0)</f>
        <v>28.107275994216138</v>
      </c>
      <c r="AZ153" s="37">
        <f>STANDARDIZE(AY153,AVERAGE($AY$5:$AY$1116),STDEVP($AY$5:$AY$1116))</f>
        <v>-0.46154964564197876</v>
      </c>
      <c r="BA153" t="str">
        <f>IF(OR(AND(AQ153&gt;7,AW153&gt;1),AND(AQ153&gt;4,AV153&gt;2)),"SP","RP")</f>
        <v>SP</v>
      </c>
      <c r="BC153">
        <f>VLOOKUP($A153,'Draft List'!$A$4:$V$530,22,FALSE)</f>
        <v>0</v>
      </c>
      <c r="BE153" t="str">
        <f>IF(AVERAGE($O153:$Q153)&gt;=6,"Likely",IF(AVERAGE($O153:$Q153)&gt;=4,"Possible","Unlikely"))</f>
        <v>Possible</v>
      </c>
      <c r="BG153" t="str">
        <f>IF(VLOOKUP($B153,'Draft List'!$D$4:$AB$2598,BG$3,FALSE)&lt;&gt;0,VLOOKUP($B153,'Draft List'!$D$4:$AB$2598,BG$3,FALSE),"")</f>
        <v/>
      </c>
      <c r="BH153" t="str">
        <f>IF(VLOOKUP($B153,'Draft List'!$D$4:$AB$2598,BH$3,FALSE)&lt;&gt;0,VLOOKUP($B153,'Draft List'!$D$4:$AB$2598,BH$3,FALSE),"")</f>
        <v/>
      </c>
      <c r="BI153" t="str">
        <f>IF(VLOOKUP($B153,'Draft List'!$D$4:$AB$2598,BI$3,FALSE)&lt;&gt;0,VLOOKUP($B153,'Draft List'!$D$4:$AB$2598,BI$3,FALSE),"")</f>
        <v/>
      </c>
      <c r="BJ153" t="str">
        <f>IF(OR(C153="SP",C153="MR",C153="CL"),"P",VLOOKUP($A153,Bat!$A$4:$AP$1287,42,FALSE))</f>
        <v>P</v>
      </c>
    </row>
    <row r="154" spans="1:62">
      <c r="A154" t="str">
        <f>C154&amp;D154&amp;E154</f>
        <v>MRAnderson Sheehan21</v>
      </c>
      <c r="B154">
        <f>VLOOKUP($A154,draft_listing_pitchers_stats!$A$1:$B$1324,2,FALSE)</f>
        <v>3934</v>
      </c>
      <c r="C154" s="1" t="s">
        <v>2021</v>
      </c>
      <c r="D154" s="1" t="s">
        <v>1053</v>
      </c>
      <c r="E154" s="1">
        <v>21</v>
      </c>
      <c r="F154" s="1" t="s">
        <v>2022</v>
      </c>
      <c r="G154" s="1" t="s">
        <v>2022</v>
      </c>
      <c r="H154" s="1" t="s">
        <v>2033</v>
      </c>
      <c r="I154" s="31" t="s">
        <v>2033</v>
      </c>
      <c r="J154" s="1" t="s">
        <v>2030</v>
      </c>
      <c r="K154" s="31" t="s">
        <v>2030</v>
      </c>
      <c r="L154" s="1">
        <v>4</v>
      </c>
      <c r="M154" s="1">
        <v>4</v>
      </c>
      <c r="N154" s="31">
        <v>1</v>
      </c>
      <c r="O154" s="1">
        <v>4</v>
      </c>
      <c r="P154" s="1">
        <v>4</v>
      </c>
      <c r="Q154" s="31">
        <v>4</v>
      </c>
      <c r="R154" s="1">
        <v>5</v>
      </c>
      <c r="S154" s="1">
        <v>5</v>
      </c>
      <c r="T154" s="1">
        <v>1</v>
      </c>
      <c r="U154" s="1">
        <v>2</v>
      </c>
      <c r="V154" s="1" t="s">
        <v>2027</v>
      </c>
      <c r="W154" s="1" t="s">
        <v>2027</v>
      </c>
      <c r="X154" s="1">
        <v>4</v>
      </c>
      <c r="Y154" s="1">
        <v>4</v>
      </c>
      <c r="Z154" s="1" t="s">
        <v>2027</v>
      </c>
      <c r="AA154" s="1" t="s">
        <v>2027</v>
      </c>
      <c r="AB154" s="1" t="s">
        <v>2027</v>
      </c>
      <c r="AC154" s="1" t="s">
        <v>2027</v>
      </c>
      <c r="AD154" s="1" t="s">
        <v>2027</v>
      </c>
      <c r="AE154" s="1" t="s">
        <v>2027</v>
      </c>
      <c r="AF154" s="1">
        <v>4</v>
      </c>
      <c r="AG154" s="1">
        <v>4</v>
      </c>
      <c r="AH154" s="1" t="s">
        <v>2027</v>
      </c>
      <c r="AI154" s="1" t="s">
        <v>2027</v>
      </c>
      <c r="AJ154" s="1" t="s">
        <v>2027</v>
      </c>
      <c r="AK154" s="1" t="s">
        <v>2027</v>
      </c>
      <c r="AL154" s="1" t="s">
        <v>2027</v>
      </c>
      <c r="AM154" s="1" t="s">
        <v>2027</v>
      </c>
      <c r="AN154" s="1" t="s">
        <v>2027</v>
      </c>
      <c r="AO154" s="31" t="s">
        <v>2027</v>
      </c>
      <c r="AP154" s="1" t="s">
        <v>2039</v>
      </c>
      <c r="AQ154" s="1">
        <v>5</v>
      </c>
      <c r="AR154" s="32">
        <v>0.48</v>
      </c>
      <c r="AS154" s="45" t="s">
        <v>2029</v>
      </c>
      <c r="AT154" s="9">
        <f>($O$3*(L154-$O$1)/$O$2+$P$3*(M154-$P$1)/$P$2+$Q$3*(N154-$P$1)/$Q$2)/SUM($O$3:$Q$3)</f>
        <v>-1.5311151151499114</v>
      </c>
      <c r="AU154" s="9">
        <f>($O$3*(O154-$O$1)/$O$2+$P$3*(P154-$P$1)/$P$2+$Q$3*(Q154-$Q$1)/$Q$2)/SUM($O$3:$Q$3)</f>
        <v>-0.35865866625050846</v>
      </c>
      <c r="AV154">
        <f>COUNT(R154:AO154)/2</f>
        <v>4</v>
      </c>
      <c r="AW154">
        <f>COUNTIF(R154:AO154,"&gt;5")/2</f>
        <v>0</v>
      </c>
      <c r="AX154" s="6">
        <f>VLOOKUP(AP154,COND!$A$10:$B$31,2,FALSE)</f>
        <v>1.0249999999999999</v>
      </c>
      <c r="AY154" s="9">
        <f>($AT$3*AT154+$AU$3*AU154+$AV$3*AV154+$AW$3*AW154)*AX154*IF(AQ154&lt;5,0.95,IF(AQ154&lt;7,0.975,1))+$J$3*VLOOKUP(J154,[1]Con!$A$2:$C$7,2,FALSE)+$K$3*VLOOKUP(K154,[1]Con!$A$2:$C$7,3,FALSE)+IF(BA154="SP",$BA$3,0)</f>
        <v>28.024028274677374</v>
      </c>
      <c r="AZ154" s="37">
        <f>STANDARDIZE(AY154,AVERAGE($AY$5:$AY$1116),STDEVP($AY$5:$AY$1116))</f>
        <v>-0.46815839409013854</v>
      </c>
      <c r="BA154" t="str">
        <f>IF(OR(AND(AQ154&gt;7,AW154&gt;1),AND(AQ154&gt;4,AV154&gt;2)),"SP","RP")</f>
        <v>SP</v>
      </c>
      <c r="BC154">
        <f>VLOOKUP($A154,'Draft List'!$A$4:$V$530,22,FALSE)</f>
        <v>0</v>
      </c>
      <c r="BE154" t="str">
        <f>IF(AVERAGE($O154:$Q154)&gt;=6,"Likely",IF(AVERAGE($O154:$Q154)&gt;=4,"Possible","Unlikely"))</f>
        <v>Possible</v>
      </c>
      <c r="BG154" t="str">
        <f>IF(VLOOKUP($B154,'Draft List'!$D$4:$AB$2598,BG$3,FALSE)&lt;&gt;0,VLOOKUP($B154,'Draft List'!$D$4:$AB$2598,BG$3,FALSE),"")</f>
        <v/>
      </c>
      <c r="BH154" t="str">
        <f>IF(VLOOKUP($B154,'Draft List'!$D$4:$AB$2598,BH$3,FALSE)&lt;&gt;0,VLOOKUP($B154,'Draft List'!$D$4:$AB$2598,BH$3,FALSE),"")</f>
        <v/>
      </c>
      <c r="BI154" t="str">
        <f>IF(VLOOKUP($B154,'Draft List'!$D$4:$AB$2598,BI$3,FALSE)&lt;&gt;0,VLOOKUP($B154,'Draft List'!$D$4:$AB$2598,BI$3,FALSE),"")</f>
        <v/>
      </c>
      <c r="BJ154" t="str">
        <f>IF(OR(C154="SP",C154="MR",C154="CL"),"P",VLOOKUP($A154,Bat!$A$4:$AP$1287,42,FALSE))</f>
        <v>P</v>
      </c>
    </row>
    <row r="155" spans="1:62">
      <c r="A155" t="str">
        <f>C155&amp;D155&amp;E155</f>
        <v>MRMarcos García21</v>
      </c>
      <c r="B155">
        <f>VLOOKUP($A155,draft_listing_pitchers_stats!$A$1:$B$1324,2,FALSE)</f>
        <v>2283</v>
      </c>
      <c r="C155" s="1" t="s">
        <v>2021</v>
      </c>
      <c r="D155" s="1" t="s">
        <v>996</v>
      </c>
      <c r="E155" s="1">
        <v>21</v>
      </c>
      <c r="F155" s="1" t="s">
        <v>2022</v>
      </c>
      <c r="G155" s="1" t="s">
        <v>2038</v>
      </c>
      <c r="H155" s="1" t="s">
        <v>2033</v>
      </c>
      <c r="I155" s="31" t="s">
        <v>2033</v>
      </c>
      <c r="J155" s="1" t="s">
        <v>2040</v>
      </c>
      <c r="K155" s="31" t="s">
        <v>2026</v>
      </c>
      <c r="L155" s="1">
        <v>5</v>
      </c>
      <c r="M155" s="1">
        <v>4</v>
      </c>
      <c r="N155" s="31">
        <v>1</v>
      </c>
      <c r="O155" s="1">
        <v>5</v>
      </c>
      <c r="P155" s="1">
        <v>4</v>
      </c>
      <c r="Q155" s="31">
        <v>4</v>
      </c>
      <c r="R155" s="1">
        <v>6</v>
      </c>
      <c r="S155" s="1">
        <v>6</v>
      </c>
      <c r="T155" s="1">
        <v>4</v>
      </c>
      <c r="U155" s="1">
        <v>4</v>
      </c>
      <c r="V155" s="1">
        <v>2</v>
      </c>
      <c r="W155" s="1">
        <v>3</v>
      </c>
      <c r="X155" s="1">
        <v>4</v>
      </c>
      <c r="Y155" s="1">
        <v>5</v>
      </c>
      <c r="Z155" s="1" t="s">
        <v>2027</v>
      </c>
      <c r="AA155" s="1" t="s">
        <v>2027</v>
      </c>
      <c r="AB155" s="1" t="s">
        <v>2027</v>
      </c>
      <c r="AC155" s="1" t="s">
        <v>2027</v>
      </c>
      <c r="AD155" s="1" t="s">
        <v>2027</v>
      </c>
      <c r="AE155" s="1" t="s">
        <v>2027</v>
      </c>
      <c r="AF155" s="1" t="s">
        <v>2027</v>
      </c>
      <c r="AG155" s="1" t="s">
        <v>2027</v>
      </c>
      <c r="AH155" s="1" t="s">
        <v>2027</v>
      </c>
      <c r="AI155" s="1" t="s">
        <v>2027</v>
      </c>
      <c r="AJ155" s="1" t="s">
        <v>2027</v>
      </c>
      <c r="AK155" s="1" t="s">
        <v>2027</v>
      </c>
      <c r="AL155" s="1" t="s">
        <v>2027</v>
      </c>
      <c r="AM155" s="1" t="s">
        <v>2027</v>
      </c>
      <c r="AN155" s="1" t="s">
        <v>2027</v>
      </c>
      <c r="AO155" s="31" t="s">
        <v>2027</v>
      </c>
      <c r="AP155" s="1" t="s">
        <v>2031</v>
      </c>
      <c r="AQ155" s="1">
        <v>6</v>
      </c>
      <c r="AR155" s="32">
        <v>0.42</v>
      </c>
      <c r="AS155" s="45" t="s">
        <v>2029</v>
      </c>
      <c r="AT155" s="9">
        <f>($O$3*(L155-$O$1)/$O$2+$P$3*(M155-$P$1)/$P$2+$Q$3*(N155-$P$1)/$Q$2)/SUM($O$3:$Q$3)</f>
        <v>-1.3364237906407377</v>
      </c>
      <c r="AU155" s="9">
        <f>($O$3*(O155-$O$1)/$O$2+$P$3*(P155-$P$1)/$P$2+$Q$3*(Q155-$Q$1)/$Q$2)/SUM($O$3:$Q$3)</f>
        <v>-0.16396734174133493</v>
      </c>
      <c r="AV155">
        <f>COUNT(R155:AO155)/2</f>
        <v>4</v>
      </c>
      <c r="AW155">
        <f>COUNTIF(R155:AO155,"&gt;5")/2</f>
        <v>1</v>
      </c>
      <c r="AX155" s="6">
        <f>VLOOKUP(AP155,COND!$A$10:$B$31,2,FALSE)</f>
        <v>1.05</v>
      </c>
      <c r="AY155" s="9">
        <f>($AT$3*AT155+$AU$3*AU155+$AV$3*AV155+$AW$3*AW155)*AX155*IF(AQ155&lt;5,0.95,IF(AQ155&lt;7,0.975,1))+$J$3*VLOOKUP(J155,[1]Con!$A$2:$C$7,2,FALSE)+$K$3*VLOOKUP(K155,[1]Con!$A$2:$C$7,3,FALSE)+IF(BA155="SP",$BA$3,0)</f>
        <v>27.946323406712477</v>
      </c>
      <c r="AZ155" s="37">
        <f>STANDARDIZE(AY155,AVERAGE($AY$5:$AY$1116),STDEVP($AY$5:$AY$1116))</f>
        <v>-0.47432711472804556</v>
      </c>
      <c r="BA155" t="str">
        <f>IF(OR(AND(AQ155&gt;7,AW155&gt;1),AND(AQ155&gt;4,AV155&gt;2)),"SP","RP")</f>
        <v>SP</v>
      </c>
      <c r="BC155">
        <f>VLOOKUP($A155,'Draft List'!$A$4:$V$530,22,FALSE)</f>
        <v>0</v>
      </c>
      <c r="BE155" t="str">
        <f>IF(AVERAGE($O155:$Q155)&gt;=6,"Likely",IF(AVERAGE($O155:$Q155)&gt;=4,"Possible","Unlikely"))</f>
        <v>Possible</v>
      </c>
      <c r="BG155" t="str">
        <f>IF(VLOOKUP($B155,'Draft List'!$D$4:$AB$2598,BG$3,FALSE)&lt;&gt;0,VLOOKUP($B155,'Draft List'!$D$4:$AB$2598,BG$3,FALSE),"")</f>
        <v/>
      </c>
      <c r="BH155" t="str">
        <f>IF(VLOOKUP($B155,'Draft List'!$D$4:$AB$2598,BH$3,FALSE)&lt;&gt;0,VLOOKUP($B155,'Draft List'!$D$4:$AB$2598,BH$3,FALSE),"")</f>
        <v/>
      </c>
      <c r="BI155" t="str">
        <f>IF(VLOOKUP($B155,'Draft List'!$D$4:$AB$2598,BI$3,FALSE)&lt;&gt;0,VLOOKUP($B155,'Draft List'!$D$4:$AB$2598,BI$3,FALSE),"")</f>
        <v/>
      </c>
      <c r="BJ155" t="str">
        <f>IF(OR(C155="SP",C155="MR",C155="CL"),"P",VLOOKUP($A155,Bat!$A$4:$AP$1287,42,FALSE))</f>
        <v>P</v>
      </c>
    </row>
    <row r="156" spans="1:62">
      <c r="A156" t="str">
        <f>C156&amp;D156&amp;E156</f>
        <v>MRCarlos Castro21</v>
      </c>
      <c r="B156">
        <f>VLOOKUP($A156,draft_listing_pitchers_stats!$A$1:$B$1324,2,FALSE)</f>
        <v>7617</v>
      </c>
      <c r="C156" s="1" t="s">
        <v>2021</v>
      </c>
      <c r="D156" s="1" t="s">
        <v>1102</v>
      </c>
      <c r="E156" s="1">
        <v>21</v>
      </c>
      <c r="F156" s="1" t="s">
        <v>2022</v>
      </c>
      <c r="G156" s="1" t="s">
        <v>2022</v>
      </c>
      <c r="H156" s="1" t="s">
        <v>2033</v>
      </c>
      <c r="I156" s="31" t="s">
        <v>2023</v>
      </c>
      <c r="J156" s="1" t="s">
        <v>2040</v>
      </c>
      <c r="K156" s="31" t="s">
        <v>2025</v>
      </c>
      <c r="L156" s="1">
        <v>4</v>
      </c>
      <c r="M156" s="1">
        <v>4</v>
      </c>
      <c r="N156" s="31">
        <v>2</v>
      </c>
      <c r="O156" s="1">
        <v>4</v>
      </c>
      <c r="P156" s="1">
        <v>4</v>
      </c>
      <c r="Q156" s="31">
        <v>5</v>
      </c>
      <c r="R156" s="1">
        <v>5</v>
      </c>
      <c r="S156" s="1">
        <v>5</v>
      </c>
      <c r="T156" s="1">
        <v>4</v>
      </c>
      <c r="U156" s="1">
        <v>4</v>
      </c>
      <c r="V156" s="1" t="s">
        <v>2027</v>
      </c>
      <c r="W156" s="1" t="s">
        <v>2027</v>
      </c>
      <c r="X156" s="1">
        <v>4</v>
      </c>
      <c r="Y156" s="1">
        <v>5</v>
      </c>
      <c r="Z156" s="1" t="s">
        <v>2027</v>
      </c>
      <c r="AA156" s="1" t="s">
        <v>2027</v>
      </c>
      <c r="AB156" s="1" t="s">
        <v>2027</v>
      </c>
      <c r="AC156" s="1" t="s">
        <v>2027</v>
      </c>
      <c r="AD156" s="1" t="s">
        <v>2027</v>
      </c>
      <c r="AE156" s="1" t="s">
        <v>2027</v>
      </c>
      <c r="AF156" s="1" t="s">
        <v>2027</v>
      </c>
      <c r="AG156" s="1" t="s">
        <v>2027</v>
      </c>
      <c r="AH156" s="1" t="s">
        <v>2027</v>
      </c>
      <c r="AI156" s="1" t="s">
        <v>2027</v>
      </c>
      <c r="AJ156" s="1" t="s">
        <v>2027</v>
      </c>
      <c r="AK156" s="1" t="s">
        <v>2027</v>
      </c>
      <c r="AL156" s="1" t="s">
        <v>2027</v>
      </c>
      <c r="AM156" s="1" t="s">
        <v>2027</v>
      </c>
      <c r="AN156" s="1" t="s">
        <v>2027</v>
      </c>
      <c r="AO156" s="31" t="s">
        <v>2027</v>
      </c>
      <c r="AP156" s="1" t="s">
        <v>2041</v>
      </c>
      <c r="AQ156" s="1">
        <v>6</v>
      </c>
      <c r="AR156" s="32">
        <v>0.55000000000000004</v>
      </c>
      <c r="AS156" s="45" t="s">
        <v>2029</v>
      </c>
      <c r="AT156" s="9">
        <f>($O$3*(L156-$O$1)/$O$2+$P$3*(M156-$P$1)/$P$2+$Q$3*(N156-$P$1)/$Q$2)/SUM($O$3:$Q$3)</f>
        <v>-1.288794549095801</v>
      </c>
      <c r="AU156" s="9">
        <f>($O$3*(O156-$O$1)/$O$2+$P$3*(P156-$P$1)/$P$2+$Q$3*(Q156-$Q$1)/$Q$2)/SUM($O$3:$Q$3)</f>
        <v>-0.11633810019639811</v>
      </c>
      <c r="AV156">
        <f>COUNT(R156:AO156)/2</f>
        <v>3</v>
      </c>
      <c r="AW156">
        <f>COUNTIF(R156:AO156,"&gt;5")/2</f>
        <v>0</v>
      </c>
      <c r="AX156" s="6">
        <f>VLOOKUP(AP156,COND!$A$10:$B$31,2,FALSE)</f>
        <v>1</v>
      </c>
      <c r="AY156" s="9">
        <f>($AT$3*AT156+$AU$3*AU156+$AV$3*AV156+$AW$3*AW156)*AX156*IF(AQ156&lt;5,0.95,IF(AQ156&lt;7,0.975,1))+$J$3*VLOOKUP(J156,[1]Con!$A$2:$C$7,2,FALSE)+$K$3*VLOOKUP(K156,[1]Con!$A$2:$C$7,3,FALSE)+IF(BA156="SP",$BA$3,0)</f>
        <v>27.942592109096555</v>
      </c>
      <c r="AZ156" s="37">
        <f>STANDARDIZE(AY156,AVERAGE($AY$5:$AY$1116),STDEVP($AY$5:$AY$1116))</f>
        <v>-0.47462332953687714</v>
      </c>
      <c r="BA156" t="str">
        <f>IF(OR(AND(AQ156&gt;7,AW156&gt;1),AND(AQ156&gt;4,AV156&gt;2)),"SP","RP")</f>
        <v>SP</v>
      </c>
      <c r="BC156">
        <f>VLOOKUP($A156,'Draft List'!$A$4:$V$530,22,FALSE)</f>
        <v>0</v>
      </c>
      <c r="BE156" t="str">
        <f>IF(AVERAGE($O156:$Q156)&gt;=6,"Likely",IF(AVERAGE($O156:$Q156)&gt;=4,"Possible","Unlikely"))</f>
        <v>Possible</v>
      </c>
      <c r="BG156" t="str">
        <f>IF(VLOOKUP($B156,'Draft List'!$D$4:$AB$2598,BG$3,FALSE)&lt;&gt;0,VLOOKUP($B156,'Draft List'!$D$4:$AB$2598,BG$3,FALSE),"")</f>
        <v/>
      </c>
      <c r="BH156" t="str">
        <f>IF(VLOOKUP($B156,'Draft List'!$D$4:$AB$2598,BH$3,FALSE)&lt;&gt;0,VLOOKUP($B156,'Draft List'!$D$4:$AB$2598,BH$3,FALSE),"")</f>
        <v/>
      </c>
      <c r="BI156" t="str">
        <f>IF(VLOOKUP($B156,'Draft List'!$D$4:$AB$2598,BI$3,FALSE)&lt;&gt;0,VLOOKUP($B156,'Draft List'!$D$4:$AB$2598,BI$3,FALSE),"")</f>
        <v/>
      </c>
      <c r="BJ156" t="str">
        <f>IF(OR(C156="SP",C156="MR",C156="CL"),"P",VLOOKUP($A156,Bat!$A$4:$AP$1287,42,FALSE))</f>
        <v>P</v>
      </c>
    </row>
    <row r="157" spans="1:62">
      <c r="A157" t="str">
        <f>C157&amp;D157&amp;E157</f>
        <v>MREric Christopher18</v>
      </c>
      <c r="B157">
        <f>VLOOKUP($A157,draft_listing_pitchers_stats!$A$1:$B$1324,2,FALSE)</f>
        <v>13849</v>
      </c>
      <c r="C157" s="1" t="s">
        <v>2021</v>
      </c>
      <c r="D157" s="1" t="s">
        <v>1187</v>
      </c>
      <c r="E157" s="1">
        <v>18</v>
      </c>
      <c r="F157" s="1" t="s">
        <v>2022</v>
      </c>
      <c r="G157" s="1" t="s">
        <v>2022</v>
      </c>
      <c r="H157" s="1" t="s">
        <v>2033</v>
      </c>
      <c r="I157" s="31" t="s">
        <v>2033</v>
      </c>
      <c r="J157" s="1" t="s">
        <v>2025</v>
      </c>
      <c r="K157" s="31" t="s">
        <v>2026</v>
      </c>
      <c r="L157" s="1">
        <v>2</v>
      </c>
      <c r="M157" s="1">
        <v>4</v>
      </c>
      <c r="N157" s="31">
        <v>1</v>
      </c>
      <c r="O157" s="1">
        <v>5</v>
      </c>
      <c r="P157" s="1">
        <v>4</v>
      </c>
      <c r="Q157" s="31">
        <v>4</v>
      </c>
      <c r="R157" s="1">
        <v>2</v>
      </c>
      <c r="S157" s="1">
        <v>3</v>
      </c>
      <c r="T157" s="1">
        <v>2</v>
      </c>
      <c r="U157" s="1">
        <v>5</v>
      </c>
      <c r="V157" s="1">
        <v>1</v>
      </c>
      <c r="W157" s="1">
        <v>5</v>
      </c>
      <c r="X157" s="1">
        <v>2</v>
      </c>
      <c r="Y157" s="1">
        <v>5</v>
      </c>
      <c r="Z157" s="1" t="s">
        <v>2027</v>
      </c>
      <c r="AA157" s="1" t="s">
        <v>2027</v>
      </c>
      <c r="AB157" s="1" t="s">
        <v>2027</v>
      </c>
      <c r="AC157" s="1" t="s">
        <v>2027</v>
      </c>
      <c r="AD157" s="1" t="s">
        <v>2027</v>
      </c>
      <c r="AE157" s="1" t="s">
        <v>2027</v>
      </c>
      <c r="AF157" s="1" t="s">
        <v>2027</v>
      </c>
      <c r="AG157" s="1" t="s">
        <v>2027</v>
      </c>
      <c r="AH157" s="1" t="s">
        <v>2027</v>
      </c>
      <c r="AI157" s="1" t="s">
        <v>2027</v>
      </c>
      <c r="AJ157" s="1" t="s">
        <v>2027</v>
      </c>
      <c r="AK157" s="1" t="s">
        <v>2027</v>
      </c>
      <c r="AL157" s="1" t="s">
        <v>2027</v>
      </c>
      <c r="AM157" s="1" t="s">
        <v>2027</v>
      </c>
      <c r="AN157" s="1" t="s">
        <v>2027</v>
      </c>
      <c r="AO157" s="31" t="s">
        <v>2027</v>
      </c>
      <c r="AP157" s="1" t="s">
        <v>2063</v>
      </c>
      <c r="AQ157" s="1">
        <v>3</v>
      </c>
      <c r="AR157" s="32">
        <v>0.51</v>
      </c>
      <c r="AS157" s="45" t="s">
        <v>2029</v>
      </c>
      <c r="AT157" s="9">
        <f>($O$3*(L157-$O$1)/$O$2+$P$3*(M157-$P$1)/$P$2+$Q$3*(N157-$P$1)/$Q$2)/SUM($O$3:$Q$3)</f>
        <v>-1.9204977641682581</v>
      </c>
      <c r="AU157" s="9">
        <f>($O$3*(O157-$O$1)/$O$2+$P$3*(P157-$P$1)/$P$2+$Q$3*(Q157-$Q$1)/$Q$2)/SUM($O$3:$Q$3)</f>
        <v>-0.16396734174133493</v>
      </c>
      <c r="AV157">
        <f>COUNT(R157:AO157)/2</f>
        <v>4</v>
      </c>
      <c r="AW157">
        <f>COUNTIF(R157:AO157,"&gt;5")/2</f>
        <v>0</v>
      </c>
      <c r="AX157" s="6">
        <f>VLOOKUP(AP157,COND!$A$10:$B$31,2,FALSE)</f>
        <v>0.9</v>
      </c>
      <c r="AY157" s="9">
        <f>($AT$3*AT157+$AU$3*AU157+$AV$3*AV157+$AW$3*AW157)*AX157*IF(AQ157&lt;5,0.95,IF(AQ157&lt;7,0.975,1))+$J$3*VLOOKUP(J157,[1]Con!$A$2:$C$7,2,FALSE)+$K$3*VLOOKUP(K157,[1]Con!$A$2:$C$7,3,FALSE)+IF(BA157="SP",$BA$3,0)</f>
        <v>27.827753338550401</v>
      </c>
      <c r="AZ157" s="37">
        <f>STANDARDIZE(AY157,AVERAGE($AY$5:$AY$1116),STDEVP($AY$5:$AY$1116))</f>
        <v>-0.48373998223127396</v>
      </c>
      <c r="BA157" t="str">
        <f>IF(OR(AND(AQ157&gt;7,AW157&gt;1),AND(AQ157&gt;4,AV157&gt;2)),"SP","RP")</f>
        <v>RP</v>
      </c>
      <c r="BC157">
        <f>VLOOKUP($A157,'Draft List'!$A$4:$V$530,22,FALSE)</f>
        <v>0</v>
      </c>
      <c r="BE157" t="str">
        <f>IF(AVERAGE($O157:$Q157)&gt;=6,"Likely",IF(AVERAGE($O157:$Q157)&gt;=4,"Possible","Unlikely"))</f>
        <v>Possible</v>
      </c>
      <c r="BG157" t="str">
        <f>IF(VLOOKUP($B157,'Draft List'!$D$4:$AB$2598,BG$3,FALSE)&lt;&gt;0,VLOOKUP($B157,'Draft List'!$D$4:$AB$2598,BG$3,FALSE),"")</f>
        <v/>
      </c>
      <c r="BH157" t="str">
        <f>IF(VLOOKUP($B157,'Draft List'!$D$4:$AB$2598,BH$3,FALSE)&lt;&gt;0,VLOOKUP($B157,'Draft List'!$D$4:$AB$2598,BH$3,FALSE),"")</f>
        <v/>
      </c>
      <c r="BI157" t="str">
        <f>IF(VLOOKUP($B157,'Draft List'!$D$4:$AB$2598,BI$3,FALSE)&lt;&gt;0,VLOOKUP($B157,'Draft List'!$D$4:$AB$2598,BI$3,FALSE),"")</f>
        <v/>
      </c>
      <c r="BJ157" t="str">
        <f>IF(OR(C157="SP",C157="MR",C157="CL"),"P",VLOOKUP($A157,Bat!$A$4:$AP$1287,42,FALSE))</f>
        <v>P</v>
      </c>
    </row>
    <row r="158" spans="1:62">
      <c r="A158" t="str">
        <f>C158&amp;D158&amp;E158</f>
        <v>MRGeorge Berry21</v>
      </c>
      <c r="B158">
        <f>VLOOKUP($A158,draft_listing_pitchers_stats!$A$1:$B$1324,2,FALSE)</f>
        <v>13907</v>
      </c>
      <c r="C158" s="1" t="s">
        <v>2021</v>
      </c>
      <c r="D158" s="1" t="s">
        <v>1176</v>
      </c>
      <c r="E158" s="1">
        <v>21</v>
      </c>
      <c r="F158" s="1" t="s">
        <v>2038</v>
      </c>
      <c r="G158" s="1" t="s">
        <v>2038</v>
      </c>
      <c r="H158" s="1" t="s">
        <v>2033</v>
      </c>
      <c r="I158" s="31" t="s">
        <v>2033</v>
      </c>
      <c r="J158" s="1" t="s">
        <v>2025</v>
      </c>
      <c r="K158" s="31" t="s">
        <v>2036</v>
      </c>
      <c r="L158" s="1">
        <v>3</v>
      </c>
      <c r="M158" s="1">
        <v>4</v>
      </c>
      <c r="N158" s="31">
        <v>2</v>
      </c>
      <c r="O158" s="1">
        <v>4</v>
      </c>
      <c r="P158" s="1">
        <v>4</v>
      </c>
      <c r="Q158" s="31">
        <v>4</v>
      </c>
      <c r="R158" s="1">
        <v>3</v>
      </c>
      <c r="S158" s="1">
        <v>3</v>
      </c>
      <c r="T158" s="1" t="s">
        <v>2027</v>
      </c>
      <c r="U158" s="1" t="s">
        <v>2027</v>
      </c>
      <c r="V158" s="1">
        <v>2</v>
      </c>
      <c r="W158" s="1">
        <v>3</v>
      </c>
      <c r="X158" s="1" t="s">
        <v>2027</v>
      </c>
      <c r="Y158" s="1" t="s">
        <v>2027</v>
      </c>
      <c r="Z158" s="1" t="s">
        <v>2027</v>
      </c>
      <c r="AA158" s="1" t="s">
        <v>2027</v>
      </c>
      <c r="AB158" s="1">
        <v>4</v>
      </c>
      <c r="AC158" s="1">
        <v>4</v>
      </c>
      <c r="AD158" s="1" t="s">
        <v>2027</v>
      </c>
      <c r="AE158" s="1" t="s">
        <v>2027</v>
      </c>
      <c r="AF158" s="1">
        <v>4</v>
      </c>
      <c r="AG158" s="1">
        <v>4</v>
      </c>
      <c r="AH158" s="1" t="s">
        <v>2027</v>
      </c>
      <c r="AI158" s="1" t="s">
        <v>2027</v>
      </c>
      <c r="AJ158" s="1" t="s">
        <v>2027</v>
      </c>
      <c r="AK158" s="1" t="s">
        <v>2027</v>
      </c>
      <c r="AL158" s="1" t="s">
        <v>2027</v>
      </c>
      <c r="AM158" s="1" t="s">
        <v>2027</v>
      </c>
      <c r="AN158" s="1" t="s">
        <v>2027</v>
      </c>
      <c r="AO158" s="31" t="s">
        <v>2027</v>
      </c>
      <c r="AP158" s="1" t="s">
        <v>2054</v>
      </c>
      <c r="AQ158" s="1">
        <v>6</v>
      </c>
      <c r="AR158" s="32">
        <v>0.46</v>
      </c>
      <c r="AS158" s="45" t="s">
        <v>2029</v>
      </c>
      <c r="AT158" s="9">
        <f>($O$3*(L158-$O$1)/$O$2+$P$3*(M158-$P$1)/$P$2+$Q$3*(N158-$P$1)/$Q$2)/SUM($O$3:$Q$3)</f>
        <v>-1.4834858736049745</v>
      </c>
      <c r="AU158" s="9">
        <f>($O$3*(O158-$O$1)/$O$2+$P$3*(P158-$P$1)/$P$2+$Q$3*(Q158-$Q$1)/$Q$2)/SUM($O$3:$Q$3)</f>
        <v>-0.35865866625050846</v>
      </c>
      <c r="AV158">
        <f>COUNT(R158:AO158)/2</f>
        <v>4</v>
      </c>
      <c r="AW158">
        <f>COUNTIF(R158:AO158,"&gt;5")/2</f>
        <v>0</v>
      </c>
      <c r="AX158" s="6">
        <f>VLOOKUP(AP158,COND!$A$10:$B$31,2,FALSE)</f>
        <v>1</v>
      </c>
      <c r="AY158" s="9">
        <f>($AT$3*AT158+$AU$3*AU158+$AV$3*AV158+$AW$3*AW158)*AX158*IF(AQ158&lt;5,0.95,IF(AQ158&lt;7,0.975,1))+$J$3*VLOOKUP(J158,[1]Con!$A$2:$C$7,2,FALSE)+$K$3*VLOOKUP(K158,[1]Con!$A$2:$C$7,3,FALSE)+IF(BA158="SP",$BA$3,0)</f>
        <v>27.716876262762117</v>
      </c>
      <c r="AZ158" s="37">
        <f>STANDARDIZE(AY158,AVERAGE($AY$5:$AY$1116),STDEVP($AY$5:$AY$1116))</f>
        <v>-0.49254212968482797</v>
      </c>
      <c r="BA158" t="str">
        <f>IF(OR(AND(AQ158&gt;7,AW158&gt;1),AND(AQ158&gt;4,AV158&gt;2)),"SP","RP")</f>
        <v>SP</v>
      </c>
      <c r="BC158">
        <f>VLOOKUP($A158,'Draft List'!$A$4:$V$530,22,FALSE)</f>
        <v>0</v>
      </c>
      <c r="BE158" t="str">
        <f>IF(AVERAGE($O158:$Q158)&gt;=6,"Likely",IF(AVERAGE($O158:$Q158)&gt;=4,"Possible","Unlikely"))</f>
        <v>Possible</v>
      </c>
      <c r="BG158" t="str">
        <f>IF(VLOOKUP($B158,'Draft List'!$D$4:$AB$2598,BG$3,FALSE)&lt;&gt;0,VLOOKUP($B158,'Draft List'!$D$4:$AB$2598,BG$3,FALSE),"")</f>
        <v/>
      </c>
      <c r="BH158" t="str">
        <f>IF(VLOOKUP($B158,'Draft List'!$D$4:$AB$2598,BH$3,FALSE)&lt;&gt;0,VLOOKUP($B158,'Draft List'!$D$4:$AB$2598,BH$3,FALSE),"")</f>
        <v/>
      </c>
      <c r="BI158" t="str">
        <f>IF(VLOOKUP($B158,'Draft List'!$D$4:$AB$2598,BI$3,FALSE)&lt;&gt;0,VLOOKUP($B158,'Draft List'!$D$4:$AB$2598,BI$3,FALSE),"")</f>
        <v/>
      </c>
      <c r="BJ158" t="str">
        <f>IF(OR(C158="SP",C158="MR",C158="CL"),"P",VLOOKUP($A158,Bat!$A$4:$AP$1287,42,FALSE))</f>
        <v>P</v>
      </c>
    </row>
    <row r="159" spans="1:62">
      <c r="A159" t="str">
        <f>C159&amp;D159&amp;E159</f>
        <v>MRMichael Johnson21</v>
      </c>
      <c r="B159">
        <f>VLOOKUP($A159,draft_listing_pitchers_stats!$A$1:$B$1324,2,FALSE)</f>
        <v>3008</v>
      </c>
      <c r="C159" s="1" t="s">
        <v>2021</v>
      </c>
      <c r="D159" s="1" t="s">
        <v>1010</v>
      </c>
      <c r="E159" s="1">
        <v>21</v>
      </c>
      <c r="F159" s="1" t="s">
        <v>2022</v>
      </c>
      <c r="G159" s="1" t="s">
        <v>2022</v>
      </c>
      <c r="H159" s="1" t="s">
        <v>2033</v>
      </c>
      <c r="I159" s="31" t="s">
        <v>2033</v>
      </c>
      <c r="J159" s="1" t="s">
        <v>2025</v>
      </c>
      <c r="K159" s="31" t="s">
        <v>2036</v>
      </c>
      <c r="L159" s="1">
        <v>4</v>
      </c>
      <c r="M159" s="1">
        <v>4</v>
      </c>
      <c r="N159" s="31">
        <v>2</v>
      </c>
      <c r="O159" s="1">
        <v>4</v>
      </c>
      <c r="P159" s="1">
        <v>4</v>
      </c>
      <c r="Q159" s="31">
        <v>4</v>
      </c>
      <c r="R159" s="1">
        <v>4</v>
      </c>
      <c r="S159" s="1">
        <v>4</v>
      </c>
      <c r="T159" s="1">
        <v>4</v>
      </c>
      <c r="U159" s="1">
        <v>4</v>
      </c>
      <c r="V159" s="1" t="s">
        <v>2027</v>
      </c>
      <c r="W159" s="1" t="s">
        <v>2027</v>
      </c>
      <c r="X159" s="1">
        <v>4</v>
      </c>
      <c r="Y159" s="1">
        <v>4</v>
      </c>
      <c r="Z159" s="1" t="s">
        <v>2027</v>
      </c>
      <c r="AA159" s="1" t="s">
        <v>2027</v>
      </c>
      <c r="AB159" s="1" t="s">
        <v>2027</v>
      </c>
      <c r="AC159" s="1" t="s">
        <v>2027</v>
      </c>
      <c r="AD159" s="1" t="s">
        <v>2027</v>
      </c>
      <c r="AE159" s="1" t="s">
        <v>2027</v>
      </c>
      <c r="AF159" s="1" t="s">
        <v>2027</v>
      </c>
      <c r="AG159" s="1" t="s">
        <v>2027</v>
      </c>
      <c r="AH159" s="1" t="s">
        <v>2027</v>
      </c>
      <c r="AI159" s="1" t="s">
        <v>2027</v>
      </c>
      <c r="AJ159" s="1" t="s">
        <v>2027</v>
      </c>
      <c r="AK159" s="1" t="s">
        <v>2027</v>
      </c>
      <c r="AL159" s="1">
        <v>3</v>
      </c>
      <c r="AM159" s="1">
        <v>4</v>
      </c>
      <c r="AN159" s="1" t="s">
        <v>2027</v>
      </c>
      <c r="AO159" s="31" t="s">
        <v>2027</v>
      </c>
      <c r="AP159" s="1" t="s">
        <v>2042</v>
      </c>
      <c r="AQ159" s="1">
        <v>10</v>
      </c>
      <c r="AR159" s="32">
        <v>0.47</v>
      </c>
      <c r="AS159" s="45" t="s">
        <v>2029</v>
      </c>
      <c r="AT159" s="9">
        <f>($O$3*(L159-$O$1)/$O$2+$P$3*(M159-$P$1)/$P$2+$Q$3*(N159-$P$1)/$Q$2)/SUM($O$3:$Q$3)</f>
        <v>-1.288794549095801</v>
      </c>
      <c r="AU159" s="9">
        <f>($O$3*(O159-$O$1)/$O$2+$P$3*(P159-$P$1)/$P$2+$Q$3*(Q159-$Q$1)/$Q$2)/SUM($O$3:$Q$3)</f>
        <v>-0.35865866625050846</v>
      </c>
      <c r="AV159">
        <f>COUNT(R159:AO159)/2</f>
        <v>4</v>
      </c>
      <c r="AW159">
        <f>COUNTIF(R159:AO159,"&gt;5")/2</f>
        <v>0</v>
      </c>
      <c r="AX159" s="6">
        <f>VLOOKUP(AP159,COND!$A$10:$B$31,2,FALSE)</f>
        <v>1</v>
      </c>
      <c r="AY159" s="9">
        <f>($AT$3*AT159+$AU$3*AU159+$AV$3*AV159+$AW$3*AW159)*AX159*IF(AQ159&lt;5,0.95,IF(AQ159&lt;7,0.975,1))+$J$3*VLOOKUP(J159,[1]Con!$A$2:$C$7,2,FALSE)+$K$3*VLOOKUP(K159,[1]Con!$A$2:$C$7,3,FALSE)+IF(BA159="SP",$BA$3,0)</f>
        <v>27.619067765170669</v>
      </c>
      <c r="AZ159" s="37">
        <f>STANDARDIZE(AY159,AVERAGE($AY$5:$AY$1116),STDEVP($AY$5:$AY$1116))</f>
        <v>-0.50030680792773552</v>
      </c>
      <c r="BA159" t="str">
        <f>IF(OR(AND(AQ159&gt;7,AW159&gt;1),AND(AQ159&gt;4,AV159&gt;2)),"SP","RP")</f>
        <v>SP</v>
      </c>
      <c r="BC159">
        <f>VLOOKUP($A159,'Draft List'!$A$4:$V$530,22,FALSE)</f>
        <v>0</v>
      </c>
      <c r="BE159" t="str">
        <f>IF(AVERAGE($O159:$Q159)&gt;=6,"Likely",IF(AVERAGE($O159:$Q159)&gt;=4,"Possible","Unlikely"))</f>
        <v>Possible</v>
      </c>
      <c r="BG159" t="str">
        <f>IF(VLOOKUP($B159,'Draft List'!$D$4:$AB$2598,BG$3,FALSE)&lt;&gt;0,VLOOKUP($B159,'Draft List'!$D$4:$AB$2598,BG$3,FALSE),"")</f>
        <v/>
      </c>
      <c r="BH159" t="str">
        <f>IF(VLOOKUP($B159,'Draft List'!$D$4:$AB$2598,BH$3,FALSE)&lt;&gt;0,VLOOKUP($B159,'Draft List'!$D$4:$AB$2598,BH$3,FALSE),"")</f>
        <v/>
      </c>
      <c r="BI159" t="str">
        <f>IF(VLOOKUP($B159,'Draft List'!$D$4:$AB$2598,BI$3,FALSE)&lt;&gt;0,VLOOKUP($B159,'Draft List'!$D$4:$AB$2598,BI$3,FALSE),"")</f>
        <v/>
      </c>
      <c r="BJ159" t="str">
        <f>IF(OR(C159="SP",C159="MR",C159="CL"),"P",VLOOKUP($A159,Bat!$A$4:$AP$1287,42,FALSE))</f>
        <v>P</v>
      </c>
    </row>
    <row r="160" spans="1:62">
      <c r="A160" t="str">
        <f>C160&amp;D160&amp;E160</f>
        <v>MRRonald Williams21</v>
      </c>
      <c r="B160">
        <f>VLOOKUP($A160,draft_listing_pitchers_stats!$A$1:$B$1324,2,FALSE)</f>
        <v>8960</v>
      </c>
      <c r="C160" s="1" t="s">
        <v>2021</v>
      </c>
      <c r="D160" s="1" t="s">
        <v>1065</v>
      </c>
      <c r="E160" s="1">
        <v>21</v>
      </c>
      <c r="F160" s="1" t="s">
        <v>2022</v>
      </c>
      <c r="G160" s="1" t="s">
        <v>2022</v>
      </c>
      <c r="H160" s="1" t="s">
        <v>2033</v>
      </c>
      <c r="I160" s="31" t="s">
        <v>2033</v>
      </c>
      <c r="J160" s="1" t="s">
        <v>2030</v>
      </c>
      <c r="K160" s="31" t="s">
        <v>2030</v>
      </c>
      <c r="L160" s="1">
        <v>5</v>
      </c>
      <c r="M160" s="1">
        <v>3</v>
      </c>
      <c r="N160" s="31">
        <v>1</v>
      </c>
      <c r="O160" s="1">
        <v>5</v>
      </c>
      <c r="P160" s="1">
        <v>3</v>
      </c>
      <c r="Q160" s="31">
        <v>4</v>
      </c>
      <c r="R160" s="1">
        <v>5</v>
      </c>
      <c r="S160" s="1">
        <v>6</v>
      </c>
      <c r="T160" s="1">
        <v>6</v>
      </c>
      <c r="U160" s="1">
        <v>6</v>
      </c>
      <c r="V160" s="1" t="s">
        <v>2027</v>
      </c>
      <c r="W160" s="1" t="s">
        <v>2027</v>
      </c>
      <c r="X160" s="1">
        <v>3</v>
      </c>
      <c r="Y160" s="1">
        <v>3</v>
      </c>
      <c r="Z160" s="1" t="s">
        <v>2027</v>
      </c>
      <c r="AA160" s="1" t="s">
        <v>2027</v>
      </c>
      <c r="AB160" s="1" t="s">
        <v>2027</v>
      </c>
      <c r="AC160" s="1" t="s">
        <v>2027</v>
      </c>
      <c r="AD160" s="1" t="s">
        <v>2027</v>
      </c>
      <c r="AE160" s="1" t="s">
        <v>2027</v>
      </c>
      <c r="AF160" s="1" t="s">
        <v>2027</v>
      </c>
      <c r="AG160" s="1" t="s">
        <v>2027</v>
      </c>
      <c r="AH160" s="1" t="s">
        <v>2027</v>
      </c>
      <c r="AI160" s="1" t="s">
        <v>2027</v>
      </c>
      <c r="AJ160" s="1" t="s">
        <v>2027</v>
      </c>
      <c r="AK160" s="1" t="s">
        <v>2027</v>
      </c>
      <c r="AL160" s="1" t="s">
        <v>2027</v>
      </c>
      <c r="AM160" s="1" t="s">
        <v>2027</v>
      </c>
      <c r="AN160" s="1" t="s">
        <v>2027</v>
      </c>
      <c r="AO160" s="31" t="s">
        <v>2027</v>
      </c>
      <c r="AP160" s="1" t="s">
        <v>2044</v>
      </c>
      <c r="AQ160" s="1">
        <v>2</v>
      </c>
      <c r="AR160" s="32">
        <v>0.41</v>
      </c>
      <c r="AS160" s="45" t="s">
        <v>2029</v>
      </c>
      <c r="AT160" s="9">
        <f>($O$3*(L160-$O$1)/$O$2+$P$3*(M160-$P$1)/$P$2+$Q$3*(N160-$P$1)/$Q$2)/SUM($O$3:$Q$3)</f>
        <v>-1.5318555070707929</v>
      </c>
      <c r="AU160" s="9">
        <f>($O$3*(O160-$O$1)/$O$2+$P$3*(P160-$P$1)/$P$2+$Q$3*(Q160-$Q$1)/$Q$2)/SUM($O$3:$Q$3)</f>
        <v>-0.35939905817139028</v>
      </c>
      <c r="AV160">
        <f>COUNT(R160:AO160)/2</f>
        <v>3</v>
      </c>
      <c r="AW160">
        <f>COUNTIF(R160:AO160,"&gt;5")/2</f>
        <v>1.5</v>
      </c>
      <c r="AX160" s="6">
        <f>VLOOKUP(AP160,COND!$A$10:$B$31,2,FALSE)</f>
        <v>1</v>
      </c>
      <c r="AY160" s="9">
        <f>($AT$3*AT160+$AU$3*AU160+$AV$3*AV160+$AW$3*AW160)*AX160*IF(AQ160&lt;5,0.95,IF(AQ160&lt;7,0.975,1))+$J$3*VLOOKUP(J160,[1]Con!$A$2:$C$7,2,FALSE)+$K$3*VLOOKUP(K160,[1]Con!$A$2:$C$7,3,FALSE)+IF(BA160="SP",$BA$3,0)</f>
        <v>27.586615348400134</v>
      </c>
      <c r="AZ160" s="37">
        <f>STANDARDIZE(AY160,AVERAGE($AY$5:$AY$1116),STDEVP($AY$5:$AY$1116))</f>
        <v>-0.50288309302190493</v>
      </c>
      <c r="BA160" t="str">
        <f>IF(OR(AND(AQ160&gt;7,AW160&gt;1),AND(AQ160&gt;4,AV160&gt;2)),"SP","RP")</f>
        <v>RP</v>
      </c>
      <c r="BC160">
        <f>VLOOKUP($A160,'Draft List'!$A$4:$V$530,22,FALSE)</f>
        <v>0</v>
      </c>
      <c r="BE160" t="str">
        <f>IF(AVERAGE($O160:$Q160)&gt;=6,"Likely",IF(AVERAGE($O160:$Q160)&gt;=4,"Possible","Unlikely"))</f>
        <v>Possible</v>
      </c>
      <c r="BG160" t="str">
        <f>IF(VLOOKUP($B160,'Draft List'!$D$4:$AB$2598,BG$3,FALSE)&lt;&gt;0,VLOOKUP($B160,'Draft List'!$D$4:$AB$2598,BG$3,FALSE),"")</f>
        <v/>
      </c>
      <c r="BH160" t="str">
        <f>IF(VLOOKUP($B160,'Draft List'!$D$4:$AB$2598,BH$3,FALSE)&lt;&gt;0,VLOOKUP($B160,'Draft List'!$D$4:$AB$2598,BH$3,FALSE),"")</f>
        <v/>
      </c>
      <c r="BI160" t="str">
        <f>IF(VLOOKUP($B160,'Draft List'!$D$4:$AB$2598,BI$3,FALSE)&lt;&gt;0,VLOOKUP($B160,'Draft List'!$D$4:$AB$2598,BI$3,FALSE),"")</f>
        <v/>
      </c>
      <c r="BJ160" t="str">
        <f>IF(OR(C160="SP",C160="MR",C160="CL"),"P",VLOOKUP($A160,Bat!$A$4:$AP$1287,42,FALSE))</f>
        <v>P</v>
      </c>
    </row>
    <row r="161" spans="1:62">
      <c r="A161" t="str">
        <f>C161&amp;D161&amp;E161</f>
        <v>SPKarl Jordan21</v>
      </c>
      <c r="B161">
        <f>VLOOKUP($A161,draft_listing_pitchers_stats!$A$1:$B$1324,2,FALSE)</f>
        <v>2396</v>
      </c>
      <c r="C161" s="1" t="s">
        <v>2003</v>
      </c>
      <c r="D161" s="1" t="s">
        <v>1013</v>
      </c>
      <c r="E161" s="1">
        <v>21</v>
      </c>
      <c r="F161" s="1" t="s">
        <v>2022</v>
      </c>
      <c r="G161" s="1" t="s">
        <v>2022</v>
      </c>
      <c r="H161" s="1" t="s">
        <v>2033</v>
      </c>
      <c r="I161" s="31" t="s">
        <v>2033</v>
      </c>
      <c r="J161" s="1" t="s">
        <v>2025</v>
      </c>
      <c r="K161" s="31" t="s">
        <v>2036</v>
      </c>
      <c r="L161" s="1">
        <v>3</v>
      </c>
      <c r="M161" s="1">
        <v>4</v>
      </c>
      <c r="N161" s="31">
        <v>2</v>
      </c>
      <c r="O161" s="1">
        <v>4</v>
      </c>
      <c r="P161" s="1">
        <v>4</v>
      </c>
      <c r="Q161" s="31">
        <v>4</v>
      </c>
      <c r="R161" s="1">
        <v>4</v>
      </c>
      <c r="S161" s="1">
        <v>4</v>
      </c>
      <c r="T161" s="1">
        <v>2</v>
      </c>
      <c r="U161" s="1">
        <v>3</v>
      </c>
      <c r="V161" s="1">
        <v>3</v>
      </c>
      <c r="W161" s="1">
        <v>4</v>
      </c>
      <c r="X161" s="1">
        <v>4</v>
      </c>
      <c r="Y161" s="1">
        <v>4</v>
      </c>
      <c r="Z161" s="1" t="s">
        <v>2027</v>
      </c>
      <c r="AA161" s="1" t="s">
        <v>2027</v>
      </c>
      <c r="AB161" s="1" t="s">
        <v>2027</v>
      </c>
      <c r="AC161" s="1" t="s">
        <v>2027</v>
      </c>
      <c r="AD161" s="1" t="s">
        <v>2027</v>
      </c>
      <c r="AE161" s="1" t="s">
        <v>2027</v>
      </c>
      <c r="AF161" s="1" t="s">
        <v>2027</v>
      </c>
      <c r="AG161" s="1" t="s">
        <v>2027</v>
      </c>
      <c r="AH161" s="1" t="s">
        <v>2027</v>
      </c>
      <c r="AI161" s="1" t="s">
        <v>2027</v>
      </c>
      <c r="AJ161" s="1" t="s">
        <v>2027</v>
      </c>
      <c r="AK161" s="1" t="s">
        <v>2027</v>
      </c>
      <c r="AL161" s="1" t="s">
        <v>2027</v>
      </c>
      <c r="AM161" s="1" t="s">
        <v>2027</v>
      </c>
      <c r="AN161" s="1" t="s">
        <v>2027</v>
      </c>
      <c r="AO161" s="31" t="s">
        <v>2027</v>
      </c>
      <c r="AP161" s="1" t="s">
        <v>2034</v>
      </c>
      <c r="AQ161" s="1">
        <v>8</v>
      </c>
      <c r="AR161" s="32">
        <v>0.47</v>
      </c>
      <c r="AS161" s="45" t="s">
        <v>2029</v>
      </c>
      <c r="AT161" s="9">
        <f>($O$3*(L161-$O$1)/$O$2+$P$3*(M161-$P$1)/$P$2+$Q$3*(N161-$P$1)/$Q$2)/SUM($O$3:$Q$3)</f>
        <v>-1.4834858736049745</v>
      </c>
      <c r="AU161" s="9">
        <f>($O$3*(O161-$O$1)/$O$2+$P$3*(P161-$P$1)/$P$2+$Q$3*(Q161-$Q$1)/$Q$2)/SUM($O$3:$Q$3)</f>
        <v>-0.35865866625050846</v>
      </c>
      <c r="AV161">
        <f>COUNT(R161:AO161)/2</f>
        <v>4</v>
      </c>
      <c r="AW161">
        <f>COUNTIF(R161:AO161,"&gt;5")/2</f>
        <v>0</v>
      </c>
      <c r="AX161" s="6">
        <f>VLOOKUP(AP161,COND!$A$10:$B$31,2,FALSE)</f>
        <v>1</v>
      </c>
      <c r="AY161" s="9">
        <f>($AT$3*AT161+$AU$3*AU161+$AV$3*AV161+$AW$3*AW161)*AX161*IF(AQ161&lt;5,0.95,IF(AQ161&lt;7,0.975,1))+$J$3*VLOOKUP(J161,[1]Con!$A$2:$C$7,2,FALSE)+$K$3*VLOOKUP(K161,[1]Con!$A$2:$C$7,3,FALSE)+IF(BA161="SP",$BA$3,0)</f>
        <v>27.580129500268836</v>
      </c>
      <c r="AZ161" s="37">
        <f>STANDARDIZE(AY161,AVERAGE($AY$5:$AY$1116),STDEVP($AY$5:$AY$1116))</f>
        <v>-0.50339798206643616</v>
      </c>
      <c r="BA161" t="str">
        <f>IF(OR(AND(AQ161&gt;7,AW161&gt;1),AND(AQ161&gt;4,AV161&gt;2)),"SP","RP")</f>
        <v>SP</v>
      </c>
      <c r="BC161">
        <f>VLOOKUP($A161,'Draft List'!$A$4:$V$530,22,FALSE)</f>
        <v>0</v>
      </c>
      <c r="BE161" t="str">
        <f>IF(AVERAGE($O161:$Q161)&gt;=6,"Likely",IF(AVERAGE($O161:$Q161)&gt;=4,"Possible","Unlikely"))</f>
        <v>Possible</v>
      </c>
      <c r="BG161" t="str">
        <f>IF(VLOOKUP($B161,'Draft List'!$D$4:$AB$2598,BG$3,FALSE)&lt;&gt;0,VLOOKUP($B161,'Draft List'!$D$4:$AB$2598,BG$3,FALSE),"")</f>
        <v/>
      </c>
      <c r="BH161" t="str">
        <f>IF(VLOOKUP($B161,'Draft List'!$D$4:$AB$2598,BH$3,FALSE)&lt;&gt;0,VLOOKUP($B161,'Draft List'!$D$4:$AB$2598,BH$3,FALSE),"")</f>
        <v/>
      </c>
      <c r="BI161" t="str">
        <f>IF(VLOOKUP($B161,'Draft List'!$D$4:$AB$2598,BI$3,FALSE)&lt;&gt;0,VLOOKUP($B161,'Draft List'!$D$4:$AB$2598,BI$3,FALSE),"")</f>
        <v/>
      </c>
      <c r="BJ161" t="str">
        <f>IF(OR(C161="SP",C161="MR",C161="CL"),"P",VLOOKUP($A161,Bat!$A$4:$AP$1287,42,FALSE))</f>
        <v>P</v>
      </c>
    </row>
    <row r="162" spans="1:62">
      <c r="A162" t="str">
        <f>C162&amp;D162&amp;E162</f>
        <v>SPClaudio Salazar18</v>
      </c>
      <c r="B162">
        <f>VLOOKUP($A162,draft_listing_pitchers_stats!$A$1:$B$1324,2,FALSE)</f>
        <v>13824</v>
      </c>
      <c r="C162" s="1" t="s">
        <v>2003</v>
      </c>
      <c r="D162" s="1" t="s">
        <v>1051</v>
      </c>
      <c r="E162" s="1">
        <v>18</v>
      </c>
      <c r="F162" s="1" t="s">
        <v>2049</v>
      </c>
      <c r="G162" s="1" t="s">
        <v>2022</v>
      </c>
      <c r="H162" s="1" t="s">
        <v>2033</v>
      </c>
      <c r="I162" s="31" t="s">
        <v>2033</v>
      </c>
      <c r="J162" s="1" t="s">
        <v>2030</v>
      </c>
      <c r="K162" s="31" t="s">
        <v>2025</v>
      </c>
      <c r="L162" s="1">
        <v>2</v>
      </c>
      <c r="M162" s="1">
        <v>4</v>
      </c>
      <c r="N162" s="31">
        <v>1</v>
      </c>
      <c r="O162" s="1">
        <v>4</v>
      </c>
      <c r="P162" s="1">
        <v>4</v>
      </c>
      <c r="Q162" s="31">
        <v>4</v>
      </c>
      <c r="R162" s="1">
        <v>3</v>
      </c>
      <c r="S162" s="1">
        <v>5</v>
      </c>
      <c r="T162" s="1">
        <v>1</v>
      </c>
      <c r="U162" s="1">
        <v>5</v>
      </c>
      <c r="V162" s="1">
        <v>2</v>
      </c>
      <c r="W162" s="1">
        <v>5</v>
      </c>
      <c r="X162" s="1" t="s">
        <v>2027</v>
      </c>
      <c r="Y162" s="1" t="s">
        <v>2027</v>
      </c>
      <c r="Z162" s="1" t="s">
        <v>2027</v>
      </c>
      <c r="AA162" s="1" t="s">
        <v>2027</v>
      </c>
      <c r="AB162" s="1" t="s">
        <v>2027</v>
      </c>
      <c r="AC162" s="1" t="s">
        <v>2027</v>
      </c>
      <c r="AD162" s="1" t="s">
        <v>2027</v>
      </c>
      <c r="AE162" s="1" t="s">
        <v>2027</v>
      </c>
      <c r="AF162" s="1">
        <v>3</v>
      </c>
      <c r="AG162" s="1">
        <v>3</v>
      </c>
      <c r="AH162" s="1" t="s">
        <v>2027</v>
      </c>
      <c r="AI162" s="1" t="s">
        <v>2027</v>
      </c>
      <c r="AJ162" s="1" t="s">
        <v>2027</v>
      </c>
      <c r="AK162" s="1" t="s">
        <v>2027</v>
      </c>
      <c r="AL162" s="1" t="s">
        <v>2027</v>
      </c>
      <c r="AM162" s="1" t="s">
        <v>2027</v>
      </c>
      <c r="AN162" s="1" t="s">
        <v>2027</v>
      </c>
      <c r="AO162" s="31" t="s">
        <v>2027</v>
      </c>
      <c r="AP162" s="1" t="s">
        <v>2034</v>
      </c>
      <c r="AQ162" s="1">
        <v>6</v>
      </c>
      <c r="AR162" s="32">
        <v>0.49</v>
      </c>
      <c r="AS162" s="45" t="s">
        <v>2029</v>
      </c>
      <c r="AT162" s="9">
        <f>($O$3*(L162-$O$1)/$O$2+$P$3*(M162-$P$1)/$P$2+$Q$3*(N162-$P$1)/$Q$2)/SUM($O$3:$Q$3)</f>
        <v>-1.9204977641682581</v>
      </c>
      <c r="AU162" s="9">
        <f>($O$3*(O162-$O$1)/$O$2+$P$3*(P162-$P$1)/$P$2+$Q$3*(Q162-$Q$1)/$Q$2)/SUM($O$3:$Q$3)</f>
        <v>-0.35865866625050846</v>
      </c>
      <c r="AV162">
        <f>COUNT(R162:AO162)/2</f>
        <v>4</v>
      </c>
      <c r="AW162">
        <f>COUNTIF(R162:AO162,"&gt;5")/2</f>
        <v>0</v>
      </c>
      <c r="AX162" s="6">
        <f>VLOOKUP(AP162,COND!$A$10:$B$31,2,FALSE)</f>
        <v>1</v>
      </c>
      <c r="AY162" s="9">
        <f>($AT$3*AT162+$AU$3*AU162+$AV$3*AV162+$AW$3*AW162)*AX162*IF(AQ162&lt;5,0.95,IF(AQ162&lt;7,0.975,1))+$J$3*VLOOKUP(J162,[1]Con!$A$2:$C$7,2,FALSE)+$K$3*VLOOKUP(K162,[1]Con!$A$2:$C$7,3,FALSE)+IF(BA162="SP",$BA$3,0)</f>
        <v>27.331658944102273</v>
      </c>
      <c r="AZ162" s="37">
        <f>STANDARDIZE(AY162,AVERAGE($AY$5:$AY$1116),STDEVP($AY$5:$AY$1116))</f>
        <v>-0.52312319990516054</v>
      </c>
      <c r="BA162" t="str">
        <f>IF(OR(AND(AQ162&gt;7,AW162&gt;1),AND(AQ162&gt;4,AV162&gt;2)),"SP","RP")</f>
        <v>SP</v>
      </c>
      <c r="BC162">
        <f>VLOOKUP($A162,'Draft List'!$A$4:$V$530,22,FALSE)</f>
        <v>0</v>
      </c>
      <c r="BE162" t="str">
        <f>IF(AVERAGE($O162:$Q162)&gt;=6,"Likely",IF(AVERAGE($O162:$Q162)&gt;=4,"Possible","Unlikely"))</f>
        <v>Possible</v>
      </c>
      <c r="BG162" t="str">
        <f>IF(VLOOKUP($B162,'Draft List'!$D$4:$AB$2598,BG$3,FALSE)&lt;&gt;0,VLOOKUP($B162,'Draft List'!$D$4:$AB$2598,BG$3,FALSE),"")</f>
        <v/>
      </c>
      <c r="BH162" t="str">
        <f>IF(VLOOKUP($B162,'Draft List'!$D$4:$AB$2598,BH$3,FALSE)&lt;&gt;0,VLOOKUP($B162,'Draft List'!$D$4:$AB$2598,BH$3,FALSE),"")</f>
        <v/>
      </c>
      <c r="BI162" t="str">
        <f>IF(VLOOKUP($B162,'Draft List'!$D$4:$AB$2598,BI$3,FALSE)&lt;&gt;0,VLOOKUP($B162,'Draft List'!$D$4:$AB$2598,BI$3,FALSE),"")</f>
        <v/>
      </c>
      <c r="BJ162" t="str">
        <f>IF(OR(C162="SP",C162="MR",C162="CL"),"P",VLOOKUP($A162,Bat!$A$4:$AP$1287,42,FALSE))</f>
        <v>P</v>
      </c>
    </row>
    <row r="163" spans="1:62">
      <c r="A163" t="str">
        <f>C163&amp;D163&amp;E163</f>
        <v>SPSteve Burns18</v>
      </c>
      <c r="B163">
        <f>VLOOKUP($A163,draft_listing_pitchers_stats!$A$1:$B$1324,2,FALSE)</f>
        <v>13821</v>
      </c>
      <c r="C163" s="1" t="s">
        <v>2003</v>
      </c>
      <c r="D163" s="1" t="s">
        <v>1180</v>
      </c>
      <c r="E163" s="1">
        <v>18</v>
      </c>
      <c r="F163" s="1" t="s">
        <v>2022</v>
      </c>
      <c r="G163" s="1" t="s">
        <v>2022</v>
      </c>
      <c r="H163" s="1" t="s">
        <v>2033</v>
      </c>
      <c r="I163" s="31" t="s">
        <v>2033</v>
      </c>
      <c r="J163" s="1" t="s">
        <v>2025</v>
      </c>
      <c r="K163" s="31" t="s">
        <v>2030</v>
      </c>
      <c r="L163" s="1">
        <v>2</v>
      </c>
      <c r="M163" s="1">
        <v>4</v>
      </c>
      <c r="N163" s="31">
        <v>1</v>
      </c>
      <c r="O163" s="1">
        <v>4</v>
      </c>
      <c r="P163" s="1">
        <v>4</v>
      </c>
      <c r="Q163" s="31">
        <v>4</v>
      </c>
      <c r="R163" s="1">
        <v>3</v>
      </c>
      <c r="S163" s="1">
        <v>5</v>
      </c>
      <c r="T163" s="1">
        <v>1</v>
      </c>
      <c r="U163" s="1">
        <v>4</v>
      </c>
      <c r="V163" s="1">
        <v>2</v>
      </c>
      <c r="W163" s="1">
        <v>5</v>
      </c>
      <c r="X163" s="1">
        <v>3</v>
      </c>
      <c r="Y163" s="1">
        <v>4</v>
      </c>
      <c r="Z163" s="1" t="s">
        <v>2027</v>
      </c>
      <c r="AA163" s="1" t="s">
        <v>2027</v>
      </c>
      <c r="AB163" s="1" t="s">
        <v>2027</v>
      </c>
      <c r="AC163" s="1" t="s">
        <v>2027</v>
      </c>
      <c r="AD163" s="1" t="s">
        <v>2027</v>
      </c>
      <c r="AE163" s="1" t="s">
        <v>2027</v>
      </c>
      <c r="AF163" s="1" t="s">
        <v>2027</v>
      </c>
      <c r="AG163" s="1" t="s">
        <v>2027</v>
      </c>
      <c r="AH163" s="1" t="s">
        <v>2027</v>
      </c>
      <c r="AI163" s="1" t="s">
        <v>2027</v>
      </c>
      <c r="AJ163" s="1" t="s">
        <v>2027</v>
      </c>
      <c r="AK163" s="1" t="s">
        <v>2027</v>
      </c>
      <c r="AL163" s="1" t="s">
        <v>2027</v>
      </c>
      <c r="AM163" s="1" t="s">
        <v>2027</v>
      </c>
      <c r="AN163" s="1" t="s">
        <v>2027</v>
      </c>
      <c r="AO163" s="31" t="s">
        <v>2027</v>
      </c>
      <c r="AP163" s="1" t="s">
        <v>2034</v>
      </c>
      <c r="AQ163" s="1">
        <v>10</v>
      </c>
      <c r="AR163" s="32">
        <v>0.51</v>
      </c>
      <c r="AS163" s="45" t="s">
        <v>2029</v>
      </c>
      <c r="AT163" s="9">
        <f>($O$3*(L163-$O$1)/$O$2+$P$3*(M163-$P$1)/$P$2+$Q$3*(N163-$P$1)/$Q$2)/SUM($O$3:$Q$3)</f>
        <v>-1.9204977641682581</v>
      </c>
      <c r="AU163" s="9">
        <f>($O$3*(O163-$O$1)/$O$2+$P$3*(P163-$P$1)/$P$2+$Q$3*(Q163-$Q$1)/$Q$2)/SUM($O$3:$Q$3)</f>
        <v>-0.35865866625050846</v>
      </c>
      <c r="AV163">
        <f>COUNT(R163:AO163)/2</f>
        <v>4</v>
      </c>
      <c r="AW163">
        <f>COUNTIF(R163:AO163,"&gt;5")/2</f>
        <v>0</v>
      </c>
      <c r="AX163" s="6">
        <f>VLOOKUP(AP163,COND!$A$10:$B$31,2,FALSE)</f>
        <v>1</v>
      </c>
      <c r="AY163" s="9">
        <f>($AT$3*AT163+$AU$3*AU163+$AV$3*AV163+$AW$3*AW163)*AX163*IF(AQ163&lt;5,0.95,IF(AQ163&lt;7,0.975,1))+$J$3*VLOOKUP(J163,[1]Con!$A$2:$C$7,2,FALSE)+$K$3*VLOOKUP(K163,[1]Con!$A$2:$C$7,3,FALSE)+IF(BA163="SP",$BA$3,0)</f>
        <v>27.192727122156178</v>
      </c>
      <c r="AZ163" s="37">
        <f>STANDARDIZE(AY163,AVERAGE($AY$5:$AY$1116),STDEVP($AY$5:$AY$1116))</f>
        <v>-0.53415251659723773</v>
      </c>
      <c r="BA163" t="str">
        <f>IF(OR(AND(AQ163&gt;7,AW163&gt;1),AND(AQ163&gt;4,AV163&gt;2)),"SP","RP")</f>
        <v>SP</v>
      </c>
      <c r="BC163">
        <f>VLOOKUP($A163,'Draft List'!$A$4:$V$530,22,FALSE)</f>
        <v>0</v>
      </c>
      <c r="BE163" t="str">
        <f>IF(AVERAGE($O163:$Q163)&gt;=6,"Likely",IF(AVERAGE($O163:$Q163)&gt;=4,"Possible","Unlikely"))</f>
        <v>Possible</v>
      </c>
      <c r="BG163" t="str">
        <f>IF(VLOOKUP($B163,'Draft List'!$D$4:$AB$2598,BG$3,FALSE)&lt;&gt;0,VLOOKUP($B163,'Draft List'!$D$4:$AB$2598,BG$3,FALSE),"")</f>
        <v/>
      </c>
      <c r="BH163" t="str">
        <f>IF(VLOOKUP($B163,'Draft List'!$D$4:$AB$2598,BH$3,FALSE)&lt;&gt;0,VLOOKUP($B163,'Draft List'!$D$4:$AB$2598,BH$3,FALSE),"")</f>
        <v/>
      </c>
      <c r="BI163" t="str">
        <f>IF(VLOOKUP($B163,'Draft List'!$D$4:$AB$2598,BI$3,FALSE)&lt;&gt;0,VLOOKUP($B163,'Draft List'!$D$4:$AB$2598,BI$3,FALSE),"")</f>
        <v/>
      </c>
      <c r="BJ163" t="str">
        <f>IF(OR(C163="SP",C163="MR",C163="CL"),"P",VLOOKUP($A163,Bat!$A$4:$AP$1287,42,FALSE))</f>
        <v>P</v>
      </c>
    </row>
    <row r="164" spans="1:62">
      <c r="A164" t="str">
        <f>C164&amp;D164&amp;E164</f>
        <v>MRVincent Huff22</v>
      </c>
      <c r="B164">
        <f>VLOOKUP($A164,draft_listing_pitchers_stats!$A$1:$B$1324,2,FALSE)</f>
        <v>1350</v>
      </c>
      <c r="C164" s="1" t="s">
        <v>2021</v>
      </c>
      <c r="D164" s="1" t="s">
        <v>2078</v>
      </c>
      <c r="E164" s="1">
        <v>22</v>
      </c>
      <c r="F164" s="1" t="s">
        <v>2038</v>
      </c>
      <c r="G164" s="1" t="s">
        <v>2022</v>
      </c>
      <c r="H164" s="1" t="s">
        <v>2033</v>
      </c>
      <c r="I164" s="31" t="s">
        <v>2033</v>
      </c>
      <c r="J164" s="1" t="s">
        <v>2040</v>
      </c>
      <c r="K164" s="31" t="s">
        <v>2025</v>
      </c>
      <c r="L164" s="1">
        <v>4</v>
      </c>
      <c r="M164" s="1">
        <v>4</v>
      </c>
      <c r="N164" s="31">
        <v>1</v>
      </c>
      <c r="O164" s="1">
        <v>4</v>
      </c>
      <c r="P164" s="1">
        <v>4</v>
      </c>
      <c r="Q164" s="31">
        <v>1</v>
      </c>
      <c r="R164" s="1">
        <v>4</v>
      </c>
      <c r="S164" s="1">
        <v>4</v>
      </c>
      <c r="T164" s="1">
        <v>4</v>
      </c>
      <c r="U164" s="1">
        <v>4</v>
      </c>
      <c r="V164" s="1" t="s">
        <v>2027</v>
      </c>
      <c r="W164" s="1" t="s">
        <v>2027</v>
      </c>
      <c r="X164" s="1">
        <v>3</v>
      </c>
      <c r="Y164" s="1">
        <v>3</v>
      </c>
      <c r="Z164" s="1" t="s">
        <v>2027</v>
      </c>
      <c r="AA164" s="1" t="s">
        <v>2027</v>
      </c>
      <c r="AB164" s="1" t="s">
        <v>2027</v>
      </c>
      <c r="AC164" s="1" t="s">
        <v>2027</v>
      </c>
      <c r="AD164" s="1">
        <v>3</v>
      </c>
      <c r="AE164" s="1">
        <v>4</v>
      </c>
      <c r="AF164" s="1" t="s">
        <v>2027</v>
      </c>
      <c r="AG164" s="1" t="s">
        <v>2027</v>
      </c>
      <c r="AH164" s="1" t="s">
        <v>2027</v>
      </c>
      <c r="AI164" s="1" t="s">
        <v>2027</v>
      </c>
      <c r="AJ164" s="1" t="s">
        <v>2027</v>
      </c>
      <c r="AK164" s="1" t="s">
        <v>2027</v>
      </c>
      <c r="AL164" s="1" t="s">
        <v>2027</v>
      </c>
      <c r="AM164" s="1" t="s">
        <v>2027</v>
      </c>
      <c r="AN164" s="1" t="s">
        <v>2027</v>
      </c>
      <c r="AO164" s="31" t="s">
        <v>2027</v>
      </c>
      <c r="AP164" s="1" t="s">
        <v>2034</v>
      </c>
      <c r="AQ164" s="1">
        <v>7</v>
      </c>
      <c r="AR164" s="32">
        <v>0.49</v>
      </c>
      <c r="AS164" s="36" t="s">
        <v>2029</v>
      </c>
      <c r="AT164" s="9"/>
      <c r="AU164" s="9"/>
      <c r="AY164" s="9">
        <f>($AT$3*AT164+$AU$3*AU164+$AV$3*AV164+$AW$3*AW164)*AX164*IF(AQ164&lt;5,0.95,IF(AQ164&lt;7,0.975,1))+$J$3*VLOOKUP(J164,[1]Con!$A$2:$C$7,2,FALSE)+$K$3*VLOOKUP(K164,[1]Con!$A$2:$C$7,3,FALSE)+IF(BA164="SP",$BA$3,0)</f>
        <v>27</v>
      </c>
      <c r="AZ164" s="37">
        <f>STANDARDIZE(AY164,AVERAGE($AY$5:$AY$1116),STDEVP($AY$5:$AY$1116))</f>
        <v>-0.5494524560613433</v>
      </c>
      <c r="BA164" t="str">
        <f>IF(OR(AND(AQ164&gt;7,AW164&gt;1),AND(AQ164&gt;4,AV164&gt;2)),"SP","RP")</f>
        <v>RP</v>
      </c>
      <c r="BC164">
        <f>VLOOKUP($A164,'Draft List'!$A$4:$V$530,22,FALSE)</f>
        <v>0</v>
      </c>
      <c r="BE164" t="str">
        <f>IF(AVERAGE($O164:$Q164)&gt;=6,"Likely",IF(AVERAGE($O164:$Q164)&gt;=4,"Possible","Unlikely"))</f>
        <v>Unlikely</v>
      </c>
      <c r="BG164" t="str">
        <f>IF(VLOOKUP($B164,'Draft List'!$D$4:$AB$2598,BG$3,FALSE)&lt;&gt;0,VLOOKUP($B164,'Draft List'!$D$4:$AB$2598,BG$3,FALSE),"")</f>
        <v/>
      </c>
      <c r="BH164" t="str">
        <f>IF(VLOOKUP($B164,'Draft List'!$D$4:$AB$2598,BH$3,FALSE)&lt;&gt;0,VLOOKUP($B164,'Draft List'!$D$4:$AB$2598,BH$3,FALSE),"")</f>
        <v/>
      </c>
      <c r="BI164" t="str">
        <f>IF(VLOOKUP($B164,'Draft List'!$D$4:$AB$2598,BI$3,FALSE)&lt;&gt;0,VLOOKUP($B164,'Draft List'!$D$4:$AB$2598,BI$3,FALSE),"")</f>
        <v/>
      </c>
      <c r="BJ164" t="str">
        <f>IF(OR(C164="SP",C164="MR",C164="CL"),"P",VLOOKUP($A164,Bat!$A$4:$AP$1287,42,FALSE))</f>
        <v>P</v>
      </c>
    </row>
    <row r="165" spans="1:62">
      <c r="A165" t="str">
        <f>C165&amp;D165&amp;E165</f>
        <v>SPJonathan Lauton18</v>
      </c>
      <c r="B165">
        <f>VLOOKUP($A165,draft_listing_pitchers_stats!$A$1:$B$1324,2,FALSE)</f>
        <v>1177</v>
      </c>
      <c r="C165" s="1" t="s">
        <v>2003</v>
      </c>
      <c r="D165" s="1" t="s">
        <v>1019</v>
      </c>
      <c r="E165" s="1">
        <v>18</v>
      </c>
      <c r="F165" s="1" t="s">
        <v>2022</v>
      </c>
      <c r="G165" s="1" t="s">
        <v>2022</v>
      </c>
      <c r="H165" s="1" t="s">
        <v>2033</v>
      </c>
      <c r="I165" s="31" t="s">
        <v>2033</v>
      </c>
      <c r="J165" s="1" t="s">
        <v>2036</v>
      </c>
      <c r="K165" s="31" t="s">
        <v>2025</v>
      </c>
      <c r="L165" s="1">
        <v>2</v>
      </c>
      <c r="M165" s="1">
        <v>4</v>
      </c>
      <c r="N165" s="31">
        <v>1</v>
      </c>
      <c r="O165" s="1">
        <v>4</v>
      </c>
      <c r="P165" s="1">
        <v>4</v>
      </c>
      <c r="Q165" s="31">
        <v>4</v>
      </c>
      <c r="R165" s="1">
        <v>3</v>
      </c>
      <c r="S165" s="1">
        <v>5</v>
      </c>
      <c r="T165" s="1" t="s">
        <v>2027</v>
      </c>
      <c r="U165" s="1" t="s">
        <v>2027</v>
      </c>
      <c r="V165" s="1" t="s">
        <v>2027</v>
      </c>
      <c r="W165" s="1" t="s">
        <v>2027</v>
      </c>
      <c r="X165" s="1">
        <v>2</v>
      </c>
      <c r="Y165" s="1">
        <v>5</v>
      </c>
      <c r="Z165" s="1" t="s">
        <v>2027</v>
      </c>
      <c r="AA165" s="1" t="s">
        <v>2027</v>
      </c>
      <c r="AB165" s="1" t="s">
        <v>2027</v>
      </c>
      <c r="AC165" s="1" t="s">
        <v>2027</v>
      </c>
      <c r="AD165" s="1" t="s">
        <v>2027</v>
      </c>
      <c r="AE165" s="1" t="s">
        <v>2027</v>
      </c>
      <c r="AF165" s="1" t="s">
        <v>2027</v>
      </c>
      <c r="AG165" s="1" t="s">
        <v>2027</v>
      </c>
      <c r="AH165" s="1">
        <v>1</v>
      </c>
      <c r="AI165" s="1">
        <v>4</v>
      </c>
      <c r="AJ165" s="1" t="s">
        <v>2027</v>
      </c>
      <c r="AK165" s="1" t="s">
        <v>2027</v>
      </c>
      <c r="AL165" s="1" t="s">
        <v>2027</v>
      </c>
      <c r="AM165" s="1" t="s">
        <v>2027</v>
      </c>
      <c r="AN165" s="1" t="s">
        <v>2027</v>
      </c>
      <c r="AO165" s="31" t="s">
        <v>2027</v>
      </c>
      <c r="AP165" s="1" t="s">
        <v>2034</v>
      </c>
      <c r="AQ165" s="1">
        <v>7</v>
      </c>
      <c r="AR165" s="32">
        <v>0.52</v>
      </c>
      <c r="AS165" s="45" t="s">
        <v>2029</v>
      </c>
      <c r="AT165" s="9">
        <f>($O$3*(L165-$O$1)/$O$2+$P$3*(M165-$P$1)/$P$2+$Q$3*(N165-$P$1)/$Q$2)/SUM($O$3:$Q$3)</f>
        <v>-1.9204977641682581</v>
      </c>
      <c r="AU165" s="9">
        <f>($O$3*(O165-$O$1)/$O$2+$P$3*(P165-$P$1)/$P$2+$Q$3*(Q165-$Q$1)/$Q$2)/SUM($O$3:$Q$3)</f>
        <v>-0.35865866625050846</v>
      </c>
      <c r="AV165">
        <f>COUNT(R165:AO165)/2</f>
        <v>3</v>
      </c>
      <c r="AW165">
        <f>COUNTIF(R165:AO165,"&gt;5")/2</f>
        <v>0</v>
      </c>
      <c r="AX165" s="6">
        <f>VLOOKUP(AP165,COND!$A$10:$B$31,2,FALSE)</f>
        <v>1</v>
      </c>
      <c r="AY165" s="9">
        <f>($AT$3*AT165+$AU$3*AU165+$AV$3*AV165+$AW$3*AW165)*AX165*IF(AQ165&lt;5,0.95,IF(AQ165&lt;7,0.975,1))+$J$3*VLOOKUP(J165,[1]Con!$A$2:$C$7,2,FALSE)+$K$3*VLOOKUP(K165,[1]Con!$A$2:$C$7,3,FALSE)+IF(BA165="SP",$BA$3,0)</f>
        <v>26.992727122156179</v>
      </c>
      <c r="AZ165" s="37">
        <f>STANDARDIZE(AY165,AVERAGE($AY$5:$AY$1116),STDEVP($AY$5:$AY$1116))</f>
        <v>-0.55002982467192285</v>
      </c>
      <c r="BA165" t="str">
        <f>IF(OR(AND(AQ165&gt;7,AW165&gt;1),AND(AQ165&gt;4,AV165&gt;2)),"SP","RP")</f>
        <v>SP</v>
      </c>
      <c r="BC165">
        <f>VLOOKUP($A165,'Draft List'!$A$4:$V$530,22,FALSE)</f>
        <v>0</v>
      </c>
      <c r="BE165" t="str">
        <f>IF(AVERAGE($O165:$Q165)&gt;=6,"Likely",IF(AVERAGE($O165:$Q165)&gt;=4,"Possible","Unlikely"))</f>
        <v>Possible</v>
      </c>
      <c r="BG165" t="str">
        <f>IF(VLOOKUP($B165,'Draft List'!$D$4:$AB$2598,BG$3,FALSE)&lt;&gt;0,VLOOKUP($B165,'Draft List'!$D$4:$AB$2598,BG$3,FALSE),"")</f>
        <v/>
      </c>
      <c r="BH165" t="str">
        <f>IF(VLOOKUP($B165,'Draft List'!$D$4:$AB$2598,BH$3,FALSE)&lt;&gt;0,VLOOKUP($B165,'Draft List'!$D$4:$AB$2598,BH$3,FALSE),"")</f>
        <v/>
      </c>
      <c r="BI165" t="str">
        <f>IF(VLOOKUP($B165,'Draft List'!$D$4:$AB$2598,BI$3,FALSE)&lt;&gt;0,VLOOKUP($B165,'Draft List'!$D$4:$AB$2598,BI$3,FALSE),"")</f>
        <v/>
      </c>
      <c r="BJ165" t="str">
        <f>IF(OR(C165="SP",C165="MR",C165="CL"),"P",VLOOKUP($A165,Bat!$A$4:$AP$1287,42,FALSE))</f>
        <v>P</v>
      </c>
    </row>
    <row r="166" spans="1:62">
      <c r="A166" t="str">
        <f>C166&amp;D166&amp;E166</f>
        <v>MRWilbert Taylor18</v>
      </c>
      <c r="B166">
        <f>VLOOKUP($A166,draft_listing_pitchers_stats!$A$1:$B$1324,2,FALSE)</f>
        <v>13812</v>
      </c>
      <c r="C166" s="1" t="s">
        <v>2021</v>
      </c>
      <c r="D166" s="1" t="s">
        <v>1058</v>
      </c>
      <c r="E166" s="1">
        <v>18</v>
      </c>
      <c r="F166" s="1" t="s">
        <v>2022</v>
      </c>
      <c r="G166" s="1" t="s">
        <v>2022</v>
      </c>
      <c r="H166" s="1" t="s">
        <v>2033</v>
      </c>
      <c r="I166" s="31" t="s">
        <v>2033</v>
      </c>
      <c r="J166" s="1" t="s">
        <v>2040</v>
      </c>
      <c r="K166" s="31" t="s">
        <v>2036</v>
      </c>
      <c r="L166" s="1">
        <v>2</v>
      </c>
      <c r="M166" s="1">
        <v>4</v>
      </c>
      <c r="N166" s="31">
        <v>1</v>
      </c>
      <c r="O166" s="1">
        <v>4</v>
      </c>
      <c r="P166" s="1">
        <v>4</v>
      </c>
      <c r="Q166" s="31">
        <v>5</v>
      </c>
      <c r="R166" s="1">
        <v>3</v>
      </c>
      <c r="S166" s="1">
        <v>4</v>
      </c>
      <c r="T166" s="1" t="s">
        <v>2027</v>
      </c>
      <c r="U166" s="1" t="s">
        <v>2027</v>
      </c>
      <c r="V166" s="1">
        <v>2</v>
      </c>
      <c r="W166" s="1">
        <v>4</v>
      </c>
      <c r="X166" s="1" t="s">
        <v>2027</v>
      </c>
      <c r="Y166" s="1" t="s">
        <v>2027</v>
      </c>
      <c r="Z166" s="1" t="s">
        <v>2027</v>
      </c>
      <c r="AA166" s="1" t="s">
        <v>2027</v>
      </c>
      <c r="AB166" s="1" t="s">
        <v>2027</v>
      </c>
      <c r="AC166" s="1" t="s">
        <v>2027</v>
      </c>
      <c r="AD166" s="1" t="s">
        <v>2027</v>
      </c>
      <c r="AE166" s="1" t="s">
        <v>2027</v>
      </c>
      <c r="AF166" s="1" t="s">
        <v>2027</v>
      </c>
      <c r="AG166" s="1" t="s">
        <v>2027</v>
      </c>
      <c r="AH166" s="1" t="s">
        <v>2027</v>
      </c>
      <c r="AI166" s="1" t="s">
        <v>2027</v>
      </c>
      <c r="AJ166" s="1" t="s">
        <v>2027</v>
      </c>
      <c r="AK166" s="1" t="s">
        <v>2027</v>
      </c>
      <c r="AL166" s="1" t="s">
        <v>2027</v>
      </c>
      <c r="AM166" s="1" t="s">
        <v>2027</v>
      </c>
      <c r="AN166" s="1" t="s">
        <v>2027</v>
      </c>
      <c r="AO166" s="31" t="s">
        <v>2027</v>
      </c>
      <c r="AP166" s="1" t="s">
        <v>2059</v>
      </c>
      <c r="AQ166" s="1">
        <v>2</v>
      </c>
      <c r="AR166" s="32">
        <v>0.49</v>
      </c>
      <c r="AS166" s="45" t="s">
        <v>2029</v>
      </c>
      <c r="AT166" s="9">
        <f>($O$3*(L166-$O$1)/$O$2+$P$3*(M166-$P$1)/$P$2+$Q$3*(N166-$P$1)/$Q$2)/SUM($O$3:$Q$3)</f>
        <v>-1.9204977641682581</v>
      </c>
      <c r="AU166" s="9">
        <f>($O$3*(O166-$O$1)/$O$2+$P$3*(P166-$P$1)/$P$2+$Q$3*(Q166-$Q$1)/$Q$2)/SUM($O$3:$Q$3)</f>
        <v>-0.11633810019639811</v>
      </c>
      <c r="AV166">
        <f>COUNT(R166:AO166)/2</f>
        <v>2</v>
      </c>
      <c r="AW166">
        <f>COUNTIF(R166:AO166,"&gt;5")/2</f>
        <v>0</v>
      </c>
      <c r="AX166" s="6">
        <f>VLOOKUP(AP166,COND!$A$10:$B$31,2,FALSE)</f>
        <v>0.9</v>
      </c>
      <c r="AY166" s="9">
        <f>($AT$3*AT166+$AU$3*AU166+$AV$3*AV166+$AW$3*AW166)*AX166*IF(AQ166&lt;5,0.95,IF(AQ166&lt;7,0.975,1))+$J$3*VLOOKUP(J166,[1]Con!$A$2:$C$7,2,FALSE)+$K$3*VLOOKUP(K166,[1]Con!$A$2:$C$7,3,FALSE)+IF(BA166="SP",$BA$3,0)</f>
        <v>26.587213368968822</v>
      </c>
      <c r="AZ166" s="37">
        <f>STANDARDIZE(AY166,AVERAGE($AY$5:$AY$1116),STDEVP($AY$5:$AY$1116))</f>
        <v>-0.58222215861131033</v>
      </c>
      <c r="BA166" t="str">
        <f>IF(OR(AND(AQ166&gt;7,AW166&gt;1),AND(AQ166&gt;4,AV166&gt;2)),"SP","RP")</f>
        <v>RP</v>
      </c>
      <c r="BC166">
        <f>VLOOKUP($A166,'Draft List'!$A$4:$V$530,22,FALSE)</f>
        <v>0</v>
      </c>
      <c r="BE166" t="str">
        <f>IF(AVERAGE($O166:$Q166)&gt;=6,"Likely",IF(AVERAGE($O166:$Q166)&gt;=4,"Possible","Unlikely"))</f>
        <v>Possible</v>
      </c>
      <c r="BG166" t="str">
        <f>IF(VLOOKUP($B166,'Draft List'!$D$4:$AB$2598,BG$3,FALSE)&lt;&gt;0,VLOOKUP($B166,'Draft List'!$D$4:$AB$2598,BG$3,FALSE),"")</f>
        <v/>
      </c>
      <c r="BH166" t="str">
        <f>IF(VLOOKUP($B166,'Draft List'!$D$4:$AB$2598,BH$3,FALSE)&lt;&gt;0,VLOOKUP($B166,'Draft List'!$D$4:$AB$2598,BH$3,FALSE),"")</f>
        <v/>
      </c>
      <c r="BI166" t="str">
        <f>IF(VLOOKUP($B166,'Draft List'!$D$4:$AB$2598,BI$3,FALSE)&lt;&gt;0,VLOOKUP($B166,'Draft List'!$D$4:$AB$2598,BI$3,FALSE),"")</f>
        <v/>
      </c>
      <c r="BJ166" t="str">
        <f>IF(OR(C166="SP",C166="MR",C166="CL"),"P",VLOOKUP($A166,Bat!$A$4:$AP$1287,42,FALSE))</f>
        <v>P</v>
      </c>
    </row>
    <row r="167" spans="1:62">
      <c r="A167" t="str">
        <f>C167&amp;D167&amp;E167</f>
        <v>SPDerek Wright18</v>
      </c>
      <c r="B167">
        <f>VLOOKUP($A167,draft_listing_pitchers_stats!$A$1:$B$1324,2,FALSE)</f>
        <v>1720</v>
      </c>
      <c r="C167" s="1" t="s">
        <v>2003</v>
      </c>
      <c r="D167" s="1" t="s">
        <v>1068</v>
      </c>
      <c r="E167" s="1">
        <v>18</v>
      </c>
      <c r="F167" s="1" t="s">
        <v>2038</v>
      </c>
      <c r="G167" s="1" t="s">
        <v>2022</v>
      </c>
      <c r="H167" s="1" t="s">
        <v>2033</v>
      </c>
      <c r="I167" s="31" t="s">
        <v>2033</v>
      </c>
      <c r="J167" s="1" t="s">
        <v>2030</v>
      </c>
      <c r="K167" s="31" t="s">
        <v>2026</v>
      </c>
      <c r="L167" s="1">
        <v>2</v>
      </c>
      <c r="M167" s="1">
        <v>4</v>
      </c>
      <c r="N167" s="31">
        <v>1</v>
      </c>
      <c r="O167" s="1">
        <v>4</v>
      </c>
      <c r="P167" s="1">
        <v>4</v>
      </c>
      <c r="Q167" s="31">
        <v>4</v>
      </c>
      <c r="R167" s="1">
        <v>4</v>
      </c>
      <c r="S167" s="1">
        <v>4</v>
      </c>
      <c r="T167" s="1">
        <v>1</v>
      </c>
      <c r="U167" s="1">
        <v>5</v>
      </c>
      <c r="V167" s="1" t="s">
        <v>2027</v>
      </c>
      <c r="W167" s="1" t="s">
        <v>2027</v>
      </c>
      <c r="X167" s="1">
        <v>2</v>
      </c>
      <c r="Y167" s="1">
        <v>5</v>
      </c>
      <c r="Z167" s="1" t="s">
        <v>2027</v>
      </c>
      <c r="AA167" s="1" t="s">
        <v>2027</v>
      </c>
      <c r="AB167" s="1" t="s">
        <v>2027</v>
      </c>
      <c r="AC167" s="1" t="s">
        <v>2027</v>
      </c>
      <c r="AD167" s="1" t="s">
        <v>2027</v>
      </c>
      <c r="AE167" s="1" t="s">
        <v>2027</v>
      </c>
      <c r="AF167" s="1">
        <v>3</v>
      </c>
      <c r="AG167" s="1">
        <v>3</v>
      </c>
      <c r="AH167" s="1" t="s">
        <v>2027</v>
      </c>
      <c r="AI167" s="1" t="s">
        <v>2027</v>
      </c>
      <c r="AJ167" s="1" t="s">
        <v>2027</v>
      </c>
      <c r="AK167" s="1" t="s">
        <v>2027</v>
      </c>
      <c r="AL167" s="1" t="s">
        <v>2027</v>
      </c>
      <c r="AM167" s="1" t="s">
        <v>2027</v>
      </c>
      <c r="AN167" s="1" t="s">
        <v>2027</v>
      </c>
      <c r="AO167" s="31" t="s">
        <v>2027</v>
      </c>
      <c r="AP167" s="1" t="s">
        <v>2034</v>
      </c>
      <c r="AQ167" s="1">
        <v>6</v>
      </c>
      <c r="AR167" s="32">
        <v>0.5</v>
      </c>
      <c r="AS167" s="45" t="s">
        <v>2029</v>
      </c>
      <c r="AT167" s="9">
        <f>($O$3*(L167-$O$1)/$O$2+$P$3*(M167-$P$1)/$P$2+$Q$3*(N167-$P$1)/$Q$2)/SUM($O$3:$Q$3)</f>
        <v>-1.9204977641682581</v>
      </c>
      <c r="AU167" s="9">
        <f>($O$3*(O167-$O$1)/$O$2+$P$3*(P167-$P$1)/$P$2+$Q$3*(Q167-$Q$1)/$Q$2)/SUM($O$3:$Q$3)</f>
        <v>-0.35865866625050846</v>
      </c>
      <c r="AV167">
        <f>COUNT(R167:AO167)/2</f>
        <v>4</v>
      </c>
      <c r="AW167">
        <f>COUNTIF(R167:AO167,"&gt;5")/2</f>
        <v>0</v>
      </c>
      <c r="AX167" s="6">
        <f>VLOOKUP(AP167,COND!$A$10:$B$31,2,FALSE)</f>
        <v>1</v>
      </c>
      <c r="AY167" s="9">
        <f>($AT$3*AT167+$AU$3*AU167+$AV$3*AV167+$AW$3*AW167)*AX167*IF(AQ167&lt;5,0.95,IF(AQ167&lt;7,0.975,1))+$J$3*VLOOKUP(J167,[1]Con!$A$2:$C$7,2,FALSE)+$K$3*VLOOKUP(K167,[1]Con!$A$2:$C$7,3,FALSE)+IF(BA167="SP",$BA$3,0)</f>
        <v>26.581658944102273</v>
      </c>
      <c r="AZ167" s="37">
        <f>STANDARDIZE(AY167,AVERAGE($AY$5:$AY$1116),STDEVP($AY$5:$AY$1116))</f>
        <v>-0.58266310518522979</v>
      </c>
      <c r="BA167" t="str">
        <f>IF(OR(AND(AQ167&gt;7,AW167&gt;1),AND(AQ167&gt;4,AV167&gt;2)),"SP","RP")</f>
        <v>SP</v>
      </c>
      <c r="BC167">
        <f>VLOOKUP($A167,'Draft List'!$A$4:$V$530,22,FALSE)</f>
        <v>0</v>
      </c>
      <c r="BE167" t="str">
        <f>IF(AVERAGE($O167:$Q167)&gt;=6,"Likely",IF(AVERAGE($O167:$Q167)&gt;=4,"Possible","Unlikely"))</f>
        <v>Possible</v>
      </c>
      <c r="BG167" t="str">
        <f>IF(VLOOKUP($B167,'Draft List'!$D$4:$AB$2598,BG$3,FALSE)&lt;&gt;0,VLOOKUP($B167,'Draft List'!$D$4:$AB$2598,BG$3,FALSE),"")</f>
        <v/>
      </c>
      <c r="BH167" t="str">
        <f>IF(VLOOKUP($B167,'Draft List'!$D$4:$AB$2598,BH$3,FALSE)&lt;&gt;0,VLOOKUP($B167,'Draft List'!$D$4:$AB$2598,BH$3,FALSE),"")</f>
        <v/>
      </c>
      <c r="BI167" t="str">
        <f>IF(VLOOKUP($B167,'Draft List'!$D$4:$AB$2598,BI$3,FALSE)&lt;&gt;0,VLOOKUP($B167,'Draft List'!$D$4:$AB$2598,BI$3,FALSE),"")</f>
        <v/>
      </c>
      <c r="BJ167" t="str">
        <f>IF(OR(C167="SP",C167="MR",C167="CL"),"P",VLOOKUP($A167,Bat!$A$4:$AP$1287,42,FALSE))</f>
        <v>P</v>
      </c>
    </row>
    <row r="168" spans="1:62">
      <c r="A168" t="str">
        <f>C168&amp;D168&amp;E168</f>
        <v>MRDavid Eaton18</v>
      </c>
      <c r="B168">
        <f>VLOOKUP($A168,draft_listing_pitchers_stats!$A$1:$B$1324,2,FALSE)</f>
        <v>1671</v>
      </c>
      <c r="C168" s="1" t="s">
        <v>2021</v>
      </c>
      <c r="D168" s="1" t="s">
        <v>1108</v>
      </c>
      <c r="E168" s="1">
        <v>18</v>
      </c>
      <c r="F168" s="1" t="s">
        <v>2022</v>
      </c>
      <c r="G168" s="1" t="s">
        <v>2022</v>
      </c>
      <c r="H168" s="1" t="s">
        <v>2033</v>
      </c>
      <c r="I168" s="31" t="s">
        <v>2023</v>
      </c>
      <c r="J168" s="1" t="s">
        <v>2040</v>
      </c>
      <c r="K168" s="31" t="s">
        <v>2036</v>
      </c>
      <c r="L168" s="1">
        <v>3</v>
      </c>
      <c r="M168" s="1">
        <v>4</v>
      </c>
      <c r="N168" s="31">
        <v>1</v>
      </c>
      <c r="O168" s="1">
        <v>4</v>
      </c>
      <c r="P168" s="1">
        <v>5</v>
      </c>
      <c r="Q168" s="31">
        <v>4</v>
      </c>
      <c r="R168" s="1">
        <v>4</v>
      </c>
      <c r="S168" s="1">
        <v>5</v>
      </c>
      <c r="T168" s="1">
        <v>1</v>
      </c>
      <c r="U168" s="1">
        <v>1</v>
      </c>
      <c r="V168" s="1">
        <v>2</v>
      </c>
      <c r="W168" s="1">
        <v>4</v>
      </c>
      <c r="X168" s="1">
        <v>2</v>
      </c>
      <c r="Y168" s="1">
        <v>4</v>
      </c>
      <c r="Z168" s="1" t="s">
        <v>2027</v>
      </c>
      <c r="AA168" s="1" t="s">
        <v>2027</v>
      </c>
      <c r="AB168" s="1" t="s">
        <v>2027</v>
      </c>
      <c r="AC168" s="1" t="s">
        <v>2027</v>
      </c>
      <c r="AD168" s="1" t="s">
        <v>2027</v>
      </c>
      <c r="AE168" s="1" t="s">
        <v>2027</v>
      </c>
      <c r="AF168" s="1" t="s">
        <v>2027</v>
      </c>
      <c r="AG168" s="1" t="s">
        <v>2027</v>
      </c>
      <c r="AH168" s="1" t="s">
        <v>2027</v>
      </c>
      <c r="AI168" s="1" t="s">
        <v>2027</v>
      </c>
      <c r="AJ168" s="1" t="s">
        <v>2027</v>
      </c>
      <c r="AK168" s="1" t="s">
        <v>2027</v>
      </c>
      <c r="AL168" s="1" t="s">
        <v>2027</v>
      </c>
      <c r="AM168" s="1" t="s">
        <v>2027</v>
      </c>
      <c r="AN168" s="1" t="s">
        <v>2027</v>
      </c>
      <c r="AO168" s="31" t="s">
        <v>2027</v>
      </c>
      <c r="AP168" s="1" t="s">
        <v>2041</v>
      </c>
      <c r="AQ168" s="1">
        <v>3</v>
      </c>
      <c r="AR168" s="32">
        <v>0.5</v>
      </c>
      <c r="AS168" s="45" t="s">
        <v>2029</v>
      </c>
      <c r="AT168" s="9">
        <f>($O$3*(L168-$O$1)/$O$2+$P$3*(M168-$P$1)/$P$2+$Q$3*(N168-$P$1)/$Q$2)/SUM($O$3:$Q$3)</f>
        <v>-1.7258064396590846</v>
      </c>
      <c r="AU168" s="9">
        <f>($O$3*(O168-$O$1)/$O$2+$P$3*(P168-$P$1)/$P$2+$Q$3*(Q168-$Q$1)/$Q$2)/SUM($O$3:$Q$3)</f>
        <v>-0.16322694982045299</v>
      </c>
      <c r="AV168">
        <f>COUNT(R168:AO168)/2</f>
        <v>4</v>
      </c>
      <c r="AW168">
        <f>COUNTIF(R168:AO168,"&gt;5")/2</f>
        <v>0</v>
      </c>
      <c r="AX168" s="6">
        <f>VLOOKUP(AP168,COND!$A$10:$B$31,2,FALSE)</f>
        <v>1</v>
      </c>
      <c r="AY168" s="9">
        <f>($AT$3*AT168+$AU$3*AU168+$AV$3*AV168+$AW$3*AW168)*AX168*IF(AQ168&lt;5,0.95,IF(AQ168&lt;7,0.975,1))+$J$3*VLOOKUP(J168,[1]Con!$A$2:$C$7,2,FALSE)+$K$3*VLOOKUP(K168,[1]Con!$A$2:$C$7,3,FALSE)+IF(BA168="SP",$BA$3,0)</f>
        <v>26.520784729876169</v>
      </c>
      <c r="AZ168" s="37">
        <f>STANDARDIZE(AY168,AVERAGE($AY$5:$AY$1116),STDEVP($AY$5:$AY$1116))</f>
        <v>-0.58749569845059091</v>
      </c>
      <c r="BA168" t="str">
        <f>IF(OR(AND(AQ168&gt;7,AW168&gt;1),AND(AQ168&gt;4,AV168&gt;2)),"SP","RP")</f>
        <v>RP</v>
      </c>
      <c r="BC168">
        <f>VLOOKUP($A168,'Draft List'!$A$4:$V$530,22,FALSE)</f>
        <v>0</v>
      </c>
      <c r="BE168" t="str">
        <f>IF(AVERAGE($O168:$Q168)&gt;=6,"Likely",IF(AVERAGE($O168:$Q168)&gt;=4,"Possible","Unlikely"))</f>
        <v>Possible</v>
      </c>
      <c r="BG168" t="str">
        <f>IF(VLOOKUP($B168,'Draft List'!$D$4:$AB$2598,BG$3,FALSE)&lt;&gt;0,VLOOKUP($B168,'Draft List'!$D$4:$AB$2598,BG$3,FALSE),"")</f>
        <v/>
      </c>
      <c r="BH168" t="str">
        <f>IF(VLOOKUP($B168,'Draft List'!$D$4:$AB$2598,BH$3,FALSE)&lt;&gt;0,VLOOKUP($B168,'Draft List'!$D$4:$AB$2598,BH$3,FALSE),"")</f>
        <v/>
      </c>
      <c r="BI168" t="str">
        <f>IF(VLOOKUP($B168,'Draft List'!$D$4:$AB$2598,BI$3,FALSE)&lt;&gt;0,VLOOKUP($B168,'Draft List'!$D$4:$AB$2598,BI$3,FALSE),"")</f>
        <v/>
      </c>
      <c r="BJ168" t="str">
        <f>IF(OR(C168="SP",C168="MR",C168="CL"),"P",VLOOKUP($A168,Bat!$A$4:$AP$1287,42,FALSE))</f>
        <v>P</v>
      </c>
    </row>
    <row r="169" spans="1:62">
      <c r="A169" t="str">
        <f>C169&amp;D169&amp;E169</f>
        <v>MRSteve Delp18</v>
      </c>
      <c r="B169">
        <f>VLOOKUP($A169,draft_listing_pitchers_stats!$A$1:$B$1324,2,FALSE)</f>
        <v>1301</v>
      </c>
      <c r="C169" s="1" t="s">
        <v>2021</v>
      </c>
      <c r="D169" s="1" t="s">
        <v>1073</v>
      </c>
      <c r="E169" s="1">
        <v>18</v>
      </c>
      <c r="F169" s="1" t="s">
        <v>2038</v>
      </c>
      <c r="G169" s="1" t="s">
        <v>2038</v>
      </c>
      <c r="H169" s="1" t="s">
        <v>2033</v>
      </c>
      <c r="I169" s="31" t="s">
        <v>2033</v>
      </c>
      <c r="J169" s="1" t="s">
        <v>2026</v>
      </c>
      <c r="K169" s="31" t="s">
        <v>2040</v>
      </c>
      <c r="L169" s="1">
        <v>2</v>
      </c>
      <c r="M169" s="1">
        <v>4</v>
      </c>
      <c r="N169" s="31">
        <v>1</v>
      </c>
      <c r="O169" s="1">
        <v>3</v>
      </c>
      <c r="P169" s="1">
        <v>4</v>
      </c>
      <c r="Q169" s="31">
        <v>3</v>
      </c>
      <c r="R169" s="1">
        <v>2</v>
      </c>
      <c r="S169" s="1">
        <v>2</v>
      </c>
      <c r="T169" s="1">
        <v>1</v>
      </c>
      <c r="U169" s="1">
        <v>4</v>
      </c>
      <c r="V169" s="1" t="s">
        <v>2027</v>
      </c>
      <c r="W169" s="1" t="s">
        <v>2027</v>
      </c>
      <c r="X169" s="1">
        <v>2</v>
      </c>
      <c r="Y169" s="1">
        <v>3</v>
      </c>
      <c r="Z169" s="1" t="s">
        <v>2027</v>
      </c>
      <c r="AA169" s="1" t="s">
        <v>2027</v>
      </c>
      <c r="AB169" s="1" t="s">
        <v>2027</v>
      </c>
      <c r="AC169" s="1" t="s">
        <v>2027</v>
      </c>
      <c r="AD169" s="1" t="s">
        <v>2027</v>
      </c>
      <c r="AE169" s="1" t="s">
        <v>2027</v>
      </c>
      <c r="AF169" s="1" t="s">
        <v>2027</v>
      </c>
      <c r="AG169" s="1" t="s">
        <v>2027</v>
      </c>
      <c r="AH169" s="1" t="s">
        <v>2027</v>
      </c>
      <c r="AI169" s="1" t="s">
        <v>2027</v>
      </c>
      <c r="AJ169" s="1" t="s">
        <v>2027</v>
      </c>
      <c r="AK169" s="1" t="s">
        <v>2027</v>
      </c>
      <c r="AL169" s="1" t="s">
        <v>2027</v>
      </c>
      <c r="AM169" s="1" t="s">
        <v>2027</v>
      </c>
      <c r="AN169" s="1" t="s">
        <v>2027</v>
      </c>
      <c r="AO169" s="31" t="s">
        <v>2027</v>
      </c>
      <c r="AP169" s="1" t="s">
        <v>2059</v>
      </c>
      <c r="AQ169" s="1">
        <v>2</v>
      </c>
      <c r="AR169" s="32">
        <v>0.48</v>
      </c>
      <c r="AS169" s="36" t="s">
        <v>2029</v>
      </c>
      <c r="AT169" s="9"/>
      <c r="AU169" s="9"/>
      <c r="AY169" s="9">
        <f>($AT$3*AT169+$AU$3*AU169+$AV$3*AV169+$AW$3*AW169)*AX169*IF(AQ169&lt;5,0.95,IF(AQ169&lt;7,0.975,1))+$J$3*VLOOKUP(J169,[1]Con!$A$2:$C$7,2,FALSE)+$K$3*VLOOKUP(K169,[1]Con!$A$2:$C$7,3,FALSE)+IF(BA169="SP",$BA$3,0)</f>
        <v>26.25</v>
      </c>
      <c r="AZ169" s="37">
        <f>STANDARDIZE(AY169,AVERAGE($AY$5:$AY$1116),STDEVP($AY$5:$AY$1116))</f>
        <v>-0.60899236134141255</v>
      </c>
      <c r="BA169" t="str">
        <f>IF(OR(AND(AQ169&gt;7,AW169&gt;1),AND(AQ169&gt;4,AV169&gt;2)),"SP","RP")</f>
        <v>RP</v>
      </c>
      <c r="BC169">
        <f>VLOOKUP($A169,'Draft List'!$A$4:$V$530,22,FALSE)</f>
        <v>0</v>
      </c>
      <c r="BE169" t="str">
        <f>IF(AVERAGE($O169:$Q169)&gt;=6,"Likely",IF(AVERAGE($O169:$Q169)&gt;=4,"Possible","Unlikely"))</f>
        <v>Unlikely</v>
      </c>
      <c r="BG169" t="str">
        <f>IF(VLOOKUP($B169,'Draft List'!$D$4:$AB$2598,BG$3,FALSE)&lt;&gt;0,VLOOKUP($B169,'Draft List'!$D$4:$AB$2598,BG$3,FALSE),"")</f>
        <v/>
      </c>
      <c r="BH169" t="str">
        <f>IF(VLOOKUP($B169,'Draft List'!$D$4:$AB$2598,BH$3,FALSE)&lt;&gt;0,VLOOKUP($B169,'Draft List'!$D$4:$AB$2598,BH$3,FALSE),"")</f>
        <v/>
      </c>
      <c r="BI169" t="str">
        <f>IF(VLOOKUP($B169,'Draft List'!$D$4:$AB$2598,BI$3,FALSE)&lt;&gt;0,VLOOKUP($B169,'Draft List'!$D$4:$AB$2598,BI$3,FALSE),"")</f>
        <v/>
      </c>
      <c r="BJ169" t="str">
        <f>IF(OR(C169="SP",C169="MR",C169="CL"),"P",VLOOKUP($A169,Bat!$A$4:$AP$1287,42,FALSE))</f>
        <v>P</v>
      </c>
    </row>
    <row r="170" spans="1:62">
      <c r="A170" t="str">
        <f>C170&amp;D170&amp;E170</f>
        <v>MRFrank Baker18</v>
      </c>
      <c r="B170">
        <f>VLOOKUP($A170,draft_listing_pitchers_stats!$A$1:$B$1324,2,FALSE)</f>
        <v>1548</v>
      </c>
      <c r="C170" s="1" t="s">
        <v>2021</v>
      </c>
      <c r="D170" s="1" t="s">
        <v>1098</v>
      </c>
      <c r="E170" s="1">
        <v>18</v>
      </c>
      <c r="F170" s="1" t="s">
        <v>2022</v>
      </c>
      <c r="G170" s="1" t="s">
        <v>2022</v>
      </c>
      <c r="H170" s="1" t="s">
        <v>2033</v>
      </c>
      <c r="I170" s="31" t="s">
        <v>2023</v>
      </c>
      <c r="J170" s="1" t="s">
        <v>2040</v>
      </c>
      <c r="K170" s="31" t="s">
        <v>2025</v>
      </c>
      <c r="L170" s="1">
        <v>2</v>
      </c>
      <c r="M170" s="1">
        <v>3</v>
      </c>
      <c r="N170" s="31">
        <v>1</v>
      </c>
      <c r="O170" s="1">
        <v>5</v>
      </c>
      <c r="P170" s="1">
        <v>3</v>
      </c>
      <c r="Q170" s="31">
        <v>5</v>
      </c>
      <c r="R170" s="1">
        <v>2</v>
      </c>
      <c r="S170" s="1">
        <v>5</v>
      </c>
      <c r="T170" s="1">
        <v>1</v>
      </c>
      <c r="U170" s="1">
        <v>7</v>
      </c>
      <c r="V170" s="1" t="s">
        <v>2027</v>
      </c>
      <c r="W170" s="1" t="s">
        <v>2027</v>
      </c>
      <c r="X170" s="1" t="s">
        <v>2027</v>
      </c>
      <c r="Y170" s="1" t="s">
        <v>2027</v>
      </c>
      <c r="Z170" s="1" t="s">
        <v>2027</v>
      </c>
      <c r="AA170" s="1" t="s">
        <v>2027</v>
      </c>
      <c r="AB170" s="1" t="s">
        <v>2027</v>
      </c>
      <c r="AC170" s="1" t="s">
        <v>2027</v>
      </c>
      <c r="AD170" s="1" t="s">
        <v>2027</v>
      </c>
      <c r="AE170" s="1" t="s">
        <v>2027</v>
      </c>
      <c r="AF170" s="1" t="s">
        <v>2027</v>
      </c>
      <c r="AG170" s="1" t="s">
        <v>2027</v>
      </c>
      <c r="AH170" s="1" t="s">
        <v>2027</v>
      </c>
      <c r="AI170" s="1" t="s">
        <v>2027</v>
      </c>
      <c r="AJ170" s="1" t="s">
        <v>2027</v>
      </c>
      <c r="AK170" s="1" t="s">
        <v>2027</v>
      </c>
      <c r="AL170" s="1" t="s">
        <v>2027</v>
      </c>
      <c r="AM170" s="1" t="s">
        <v>2027</v>
      </c>
      <c r="AN170" s="1" t="s">
        <v>2027</v>
      </c>
      <c r="AO170" s="31" t="s">
        <v>2027</v>
      </c>
      <c r="AP170" s="1" t="s">
        <v>2056</v>
      </c>
      <c r="AQ170" s="1">
        <v>3</v>
      </c>
      <c r="AR170" s="32">
        <v>0.44</v>
      </c>
      <c r="AS170" s="45" t="s">
        <v>2029</v>
      </c>
      <c r="AT170" s="9">
        <f>($O$3*(L170-$O$1)/$O$2+$P$3*(M170-$P$1)/$P$2+$Q$3*(N170-$P$1)/$Q$2)/SUM($O$3:$Q$3)</f>
        <v>-2.1159294805983135</v>
      </c>
      <c r="AU170" s="9">
        <f>($O$3*(O170-$O$1)/$O$2+$P$3*(P170-$P$1)/$P$2+$Q$3*(Q170-$Q$1)/$Q$2)/SUM($O$3:$Q$3)</f>
        <v>-0.11707849211727993</v>
      </c>
      <c r="AV170">
        <f>COUNT(R170:AO170)/2</f>
        <v>2</v>
      </c>
      <c r="AW170">
        <f>COUNTIF(R170:AO170,"&gt;5")/2</f>
        <v>0.5</v>
      </c>
      <c r="AX170" s="6">
        <f>VLOOKUP(AP170,COND!$A$10:$B$31,2,FALSE)</f>
        <v>0.95</v>
      </c>
      <c r="AY170" s="9">
        <f>($AT$3*AT170+$AU$3*AU170+$AV$3*AV170+$AW$3*AW170)*AX170*IF(AQ170&lt;5,0.95,IF(AQ170&lt;7,0.975,1))+$J$3*VLOOKUP(J170,[1]Con!$A$2:$C$7,2,FALSE)+$K$3*VLOOKUP(K170,[1]Con!$A$2:$C$7,3,FALSE)+IF(BA170="SP",$BA$3,0)</f>
        <v>25.971370446035102</v>
      </c>
      <c r="AZ170" s="37">
        <f>STANDARDIZE(AY170,AVERAGE($AY$5:$AY$1116),STDEVP($AY$5:$AY$1116))</f>
        <v>-0.63111179767647652</v>
      </c>
      <c r="BA170" t="str">
        <f>IF(OR(AND(AQ170&gt;7,AW170&gt;1),AND(AQ170&gt;4,AV170&gt;2)),"SP","RP")</f>
        <v>RP</v>
      </c>
      <c r="BC170">
        <f>VLOOKUP($A170,'Draft List'!$A$4:$V$530,22,FALSE)</f>
        <v>0</v>
      </c>
      <c r="BD170" t="s">
        <v>155</v>
      </c>
      <c r="BE170" t="str">
        <f>IF(AVERAGE($O170:$Q170)&gt;=6,"Likely",IF(AVERAGE($O170:$Q170)&gt;=4,"Possible","Unlikely"))</f>
        <v>Possible</v>
      </c>
      <c r="BG170" t="str">
        <f>IF(VLOOKUP($B170,'Draft List'!$D$4:$AB$2598,BG$3,FALSE)&lt;&gt;0,VLOOKUP($B170,'Draft List'!$D$4:$AB$2598,BG$3,FALSE),"")</f>
        <v/>
      </c>
      <c r="BH170" t="str">
        <f>IF(VLOOKUP($B170,'Draft List'!$D$4:$AB$2598,BH$3,FALSE)&lt;&gt;0,VLOOKUP($B170,'Draft List'!$D$4:$AB$2598,BH$3,FALSE),"")</f>
        <v/>
      </c>
      <c r="BI170" t="str">
        <f>IF(VLOOKUP($B170,'Draft List'!$D$4:$AB$2598,BI$3,FALSE)&lt;&gt;0,VLOOKUP($B170,'Draft List'!$D$4:$AB$2598,BI$3,FALSE),"")</f>
        <v/>
      </c>
      <c r="BJ170" t="str">
        <f>IF(OR(C170="SP",C170="MR",C170="CL"),"P",VLOOKUP($A170,Bat!$A$4:$AP$1287,42,FALSE))</f>
        <v>P</v>
      </c>
    </row>
    <row r="171" spans="1:62">
      <c r="A171" t="str">
        <f>C171&amp;D171&amp;E171</f>
        <v>MRPedro Croduitán18</v>
      </c>
      <c r="B171" t="e">
        <f>VLOOKUP($A171,draft_listing_pitchers_stats!$A$1:$B$1324,2,FALSE)</f>
        <v>#N/A</v>
      </c>
      <c r="C171" s="1" t="s">
        <v>2021</v>
      </c>
      <c r="D171" s="1" t="s">
        <v>1191</v>
      </c>
      <c r="E171" s="1">
        <v>18</v>
      </c>
      <c r="F171" s="1" t="s">
        <v>2022</v>
      </c>
      <c r="G171" s="1" t="s">
        <v>2022</v>
      </c>
      <c r="H171" s="1" t="s">
        <v>2033</v>
      </c>
      <c r="I171" s="31" t="s">
        <v>2033</v>
      </c>
      <c r="J171" s="1" t="s">
        <v>2025</v>
      </c>
      <c r="K171" s="31" t="s">
        <v>2026</v>
      </c>
      <c r="L171" s="1">
        <v>3</v>
      </c>
      <c r="M171" s="1">
        <v>4</v>
      </c>
      <c r="N171" s="31">
        <v>1</v>
      </c>
      <c r="O171" s="1">
        <v>4</v>
      </c>
      <c r="P171" s="1">
        <v>4</v>
      </c>
      <c r="Q171" s="31">
        <v>4</v>
      </c>
      <c r="R171" s="1">
        <v>3</v>
      </c>
      <c r="S171" s="1">
        <v>4</v>
      </c>
      <c r="T171" s="1">
        <v>1</v>
      </c>
      <c r="U171" s="1">
        <v>4</v>
      </c>
      <c r="V171" s="1" t="s">
        <v>2027</v>
      </c>
      <c r="W171" s="1" t="s">
        <v>2027</v>
      </c>
      <c r="X171" s="1" t="s">
        <v>2027</v>
      </c>
      <c r="Y171" s="1" t="s">
        <v>2027</v>
      </c>
      <c r="Z171" s="1" t="s">
        <v>2027</v>
      </c>
      <c r="AA171" s="1" t="s">
        <v>2027</v>
      </c>
      <c r="AB171" s="1" t="s">
        <v>2027</v>
      </c>
      <c r="AC171" s="1" t="s">
        <v>2027</v>
      </c>
      <c r="AD171" s="1">
        <v>3</v>
      </c>
      <c r="AE171" s="1">
        <v>4</v>
      </c>
      <c r="AF171" s="1">
        <v>3</v>
      </c>
      <c r="AG171" s="1">
        <v>4</v>
      </c>
      <c r="AH171" s="1" t="s">
        <v>2027</v>
      </c>
      <c r="AI171" s="1" t="s">
        <v>2027</v>
      </c>
      <c r="AJ171" s="1" t="s">
        <v>2027</v>
      </c>
      <c r="AK171" s="1" t="s">
        <v>2027</v>
      </c>
      <c r="AL171" s="1" t="s">
        <v>2027</v>
      </c>
      <c r="AM171" s="1" t="s">
        <v>2027</v>
      </c>
      <c r="AN171" s="1" t="s">
        <v>2027</v>
      </c>
      <c r="AO171" s="31" t="s">
        <v>2027</v>
      </c>
      <c r="AP171" s="1" t="s">
        <v>2054</v>
      </c>
      <c r="AQ171" s="1">
        <v>6</v>
      </c>
      <c r="AR171" s="32">
        <v>0.49</v>
      </c>
      <c r="AS171" s="45" t="s">
        <v>2029</v>
      </c>
      <c r="AT171" s="9">
        <f>($O$3*(L171-$O$1)/$O$2+$P$3*(M171-$P$1)/$P$2+$Q$3*(N171-$P$1)/$Q$2)/SUM($O$3:$Q$3)</f>
        <v>-1.7258064396590846</v>
      </c>
      <c r="AU171" s="9">
        <f>($O$3*(O171-$O$1)/$O$2+$P$3*(P171-$P$1)/$P$2+$Q$3*(Q171-$Q$1)/$Q$2)/SUM($O$3:$Q$3)</f>
        <v>-0.35865866625050846</v>
      </c>
      <c r="AV171">
        <f>COUNT(R171:AO171)/2</f>
        <v>4</v>
      </c>
      <c r="AW171">
        <f>COUNTIF(R171:AO171,"&gt;5")/2</f>
        <v>0</v>
      </c>
      <c r="AX171" s="6">
        <f>VLOOKUP(AP171,COND!$A$10:$B$31,2,FALSE)</f>
        <v>1</v>
      </c>
      <c r="AY171" s="9">
        <f>($AT$3*AT171+$AU$3*AU171+$AV$3*AV171+$AW$3*AW171)*AX171*IF(AQ171&lt;5,0.95,IF(AQ171&lt;7,0.975,1))+$J$3*VLOOKUP(J171,[1]Con!$A$2:$C$7,2,FALSE)+$K$3*VLOOKUP(K171,[1]Con!$A$2:$C$7,3,FALSE)+IF(BA171="SP",$BA$3,0)</f>
        <v>25.869623752381564</v>
      </c>
      <c r="AZ171" s="37">
        <f>STANDARDIZE(AY171,AVERAGE($AY$5:$AY$1116),STDEVP($AY$5:$AY$1116))</f>
        <v>-0.63918911568006576</v>
      </c>
      <c r="BA171" t="str">
        <f>IF(OR(AND(AQ171&gt;7,AW171&gt;1),AND(AQ171&gt;4,AV171&gt;2)),"SP","RP")</f>
        <v>SP</v>
      </c>
      <c r="BC171" t="e">
        <f>VLOOKUP($A171,'Draft List'!$A$4:$V$530,22,FALSE)</f>
        <v>#N/A</v>
      </c>
      <c r="BE171" t="str">
        <f>IF(AVERAGE($O171:$Q171)&gt;=6,"Likely",IF(AVERAGE($O171:$Q171)&gt;=4,"Possible","Unlikely"))</f>
        <v>Possible</v>
      </c>
      <c r="BG171" t="e">
        <f>IF(VLOOKUP($B171,'Draft List'!$D$4:$AB$2598,BG$3,FALSE)&lt;&gt;0,VLOOKUP($B171,'Draft List'!$D$4:$AB$2598,BG$3,FALSE),"")</f>
        <v>#N/A</v>
      </c>
      <c r="BH171" t="e">
        <f>IF(VLOOKUP($B171,'Draft List'!$D$4:$AB$2598,BH$3,FALSE)&lt;&gt;0,VLOOKUP($B171,'Draft List'!$D$4:$AB$2598,BH$3,FALSE),"")</f>
        <v>#N/A</v>
      </c>
      <c r="BI171" t="e">
        <f>IF(VLOOKUP($B171,'Draft List'!$D$4:$AB$2598,BI$3,FALSE)&lt;&gt;0,VLOOKUP($B171,'Draft List'!$D$4:$AB$2598,BI$3,FALSE),"")</f>
        <v>#N/A</v>
      </c>
      <c r="BJ171" t="str">
        <f>IF(OR(C171="SP",C171="MR",C171="CL"),"P",VLOOKUP($A171,Bat!$A$4:$AP$1287,42,FALSE))</f>
        <v>P</v>
      </c>
    </row>
    <row r="172" spans="1:62">
      <c r="A172" t="str">
        <f>C172&amp;D172&amp;E172</f>
        <v>MRJimmy Glenn21</v>
      </c>
      <c r="B172">
        <f>VLOOKUP($A172,draft_listing_pitchers_stats!$A$1:$B$1324,2,FALSE)</f>
        <v>9364</v>
      </c>
      <c r="C172" s="1" t="s">
        <v>2021</v>
      </c>
      <c r="D172" s="1" t="s">
        <v>997</v>
      </c>
      <c r="E172" s="1">
        <v>21</v>
      </c>
      <c r="F172" s="1" t="s">
        <v>2022</v>
      </c>
      <c r="G172" s="1" t="s">
        <v>2022</v>
      </c>
      <c r="H172" s="1" t="s">
        <v>2033</v>
      </c>
      <c r="I172" s="31" t="s">
        <v>2033</v>
      </c>
      <c r="J172" s="1" t="s">
        <v>2026</v>
      </c>
      <c r="K172" s="31" t="s">
        <v>2025</v>
      </c>
      <c r="L172" s="1">
        <v>3</v>
      </c>
      <c r="M172" s="1">
        <v>5</v>
      </c>
      <c r="N172" s="31">
        <v>2</v>
      </c>
      <c r="O172" s="1">
        <v>3</v>
      </c>
      <c r="P172" s="1">
        <v>5</v>
      </c>
      <c r="Q172" s="31">
        <v>4</v>
      </c>
      <c r="R172" s="1">
        <v>4</v>
      </c>
      <c r="S172" s="1">
        <v>4</v>
      </c>
      <c r="T172" s="1">
        <v>1</v>
      </c>
      <c r="U172" s="1">
        <v>1</v>
      </c>
      <c r="V172" s="1">
        <v>2</v>
      </c>
      <c r="W172" s="1">
        <v>3</v>
      </c>
      <c r="X172" s="1" t="s">
        <v>2027</v>
      </c>
      <c r="Y172" s="1" t="s">
        <v>2027</v>
      </c>
      <c r="Z172" s="1" t="s">
        <v>2027</v>
      </c>
      <c r="AA172" s="1" t="s">
        <v>2027</v>
      </c>
      <c r="AB172" s="1" t="s">
        <v>2027</v>
      </c>
      <c r="AC172" s="1" t="s">
        <v>2027</v>
      </c>
      <c r="AD172" s="1" t="s">
        <v>2027</v>
      </c>
      <c r="AE172" s="1" t="s">
        <v>2027</v>
      </c>
      <c r="AF172" s="1">
        <v>4</v>
      </c>
      <c r="AG172" s="1">
        <v>4</v>
      </c>
      <c r="AH172" s="1" t="s">
        <v>2027</v>
      </c>
      <c r="AI172" s="1" t="s">
        <v>2027</v>
      </c>
      <c r="AJ172" s="1" t="s">
        <v>2027</v>
      </c>
      <c r="AK172" s="1" t="s">
        <v>2027</v>
      </c>
      <c r="AL172" s="1" t="s">
        <v>2027</v>
      </c>
      <c r="AM172" s="1" t="s">
        <v>2027</v>
      </c>
      <c r="AN172" s="1" t="s">
        <v>2027</v>
      </c>
      <c r="AO172" s="31" t="s">
        <v>2027</v>
      </c>
      <c r="AP172" s="1" t="s">
        <v>2042</v>
      </c>
      <c r="AQ172" s="1">
        <v>7</v>
      </c>
      <c r="AR172" s="32">
        <v>0.61</v>
      </c>
      <c r="AS172" s="45" t="s">
        <v>2029</v>
      </c>
      <c r="AT172" s="9">
        <f>($O$3*(L172-$O$1)/$O$2+$P$3*(M172-$P$1)/$P$2+$Q$3*(N172-$P$1)/$Q$2)/SUM($O$3:$Q$3)</f>
        <v>-1.2880541571749189</v>
      </c>
      <c r="AU172" s="9">
        <f>($O$3*(O172-$O$1)/$O$2+$P$3*(P172-$P$1)/$P$2+$Q$3*(Q172-$Q$1)/$Q$2)/SUM($O$3:$Q$3)</f>
        <v>-0.35791827432962653</v>
      </c>
      <c r="AV172">
        <f>COUNT(R172:AO172)/2</f>
        <v>4</v>
      </c>
      <c r="AW172">
        <f>COUNTIF(R172:AO172,"&gt;5")/2</f>
        <v>0</v>
      </c>
      <c r="AX172" s="6">
        <f>VLOOKUP(AP172,COND!$A$10:$B$31,2,FALSE)</f>
        <v>1</v>
      </c>
      <c r="AY172" s="9">
        <f>($AT$3*AT172+$AU$3*AU172+$AV$3*AV172+$AW$3*AW172)*AX172*IF(AQ172&lt;5,0.95,IF(AQ172&lt;7,0.975,1))+$J$3*VLOOKUP(J172,[1]Con!$A$2:$C$7,2,FALSE)+$K$3*VLOOKUP(K172,[1]Con!$A$2:$C$7,3,FALSE)+IF(BA172="SP",$BA$3,0)</f>
        <v>25.834023681972486</v>
      </c>
      <c r="AZ172" s="37">
        <f>STANDARDIZE(AY172,AVERAGE($AY$5:$AY$1116),STDEVP($AY$5:$AY$1116))</f>
        <v>-0.64201528210689285</v>
      </c>
      <c r="BA172" t="str">
        <f>IF(OR(AND(AQ172&gt;7,AW172&gt;1),AND(AQ172&gt;4,AV172&gt;2)),"SP","RP")</f>
        <v>SP</v>
      </c>
      <c r="BC172">
        <f>VLOOKUP($A172,'Draft List'!$A$4:$V$530,22,FALSE)</f>
        <v>0</v>
      </c>
      <c r="BE172" t="str">
        <f>IF(AVERAGE($O172:$Q172)&gt;=6,"Likely",IF(AVERAGE($O172:$Q172)&gt;=4,"Possible","Unlikely"))</f>
        <v>Possible</v>
      </c>
      <c r="BG172" t="str">
        <f>IF(VLOOKUP($B172,'Draft List'!$D$4:$AB$2598,BG$3,FALSE)&lt;&gt;0,VLOOKUP($B172,'Draft List'!$D$4:$AB$2598,BG$3,FALSE),"")</f>
        <v/>
      </c>
      <c r="BH172" t="str">
        <f>IF(VLOOKUP($B172,'Draft List'!$D$4:$AB$2598,BH$3,FALSE)&lt;&gt;0,VLOOKUP($B172,'Draft List'!$D$4:$AB$2598,BH$3,FALSE),"")</f>
        <v/>
      </c>
      <c r="BI172" t="str">
        <f>IF(VLOOKUP($B172,'Draft List'!$D$4:$AB$2598,BI$3,FALSE)&lt;&gt;0,VLOOKUP($B172,'Draft List'!$D$4:$AB$2598,BI$3,FALSE),"")</f>
        <v/>
      </c>
      <c r="BJ172" t="str">
        <f>IF(OR(C172="SP",C172="MR",C172="CL"),"P",VLOOKUP($A172,Bat!$A$4:$AP$1287,42,FALSE))</f>
        <v>P</v>
      </c>
    </row>
    <row r="173" spans="1:62">
      <c r="A173" t="str">
        <f>C173&amp;D173&amp;E173</f>
        <v>SPKeith Neal21</v>
      </c>
      <c r="B173">
        <f>VLOOKUP($A173,draft_listing_pitchers_stats!$A$1:$B$1324,2,FALSE)</f>
        <v>3028</v>
      </c>
      <c r="C173" s="1" t="s">
        <v>2003</v>
      </c>
      <c r="D173" s="1" t="s">
        <v>1035</v>
      </c>
      <c r="E173" s="1">
        <v>21</v>
      </c>
      <c r="F173" s="1" t="s">
        <v>2022</v>
      </c>
      <c r="G173" s="1" t="s">
        <v>2022</v>
      </c>
      <c r="H173" s="1" t="s">
        <v>2033</v>
      </c>
      <c r="I173" s="31" t="s">
        <v>2033</v>
      </c>
      <c r="J173" s="1" t="s">
        <v>2026</v>
      </c>
      <c r="K173" s="31" t="s">
        <v>2025</v>
      </c>
      <c r="L173" s="1">
        <v>3</v>
      </c>
      <c r="M173" s="1">
        <v>4</v>
      </c>
      <c r="N173" s="31">
        <v>2</v>
      </c>
      <c r="O173" s="1">
        <v>4</v>
      </c>
      <c r="P173" s="1">
        <v>4</v>
      </c>
      <c r="Q173" s="31">
        <v>4</v>
      </c>
      <c r="R173" s="1">
        <v>5</v>
      </c>
      <c r="S173" s="1">
        <v>5</v>
      </c>
      <c r="T173" s="1">
        <v>2</v>
      </c>
      <c r="U173" s="1">
        <v>4</v>
      </c>
      <c r="V173" s="1">
        <v>3</v>
      </c>
      <c r="W173" s="1">
        <v>4</v>
      </c>
      <c r="X173" s="1">
        <v>4</v>
      </c>
      <c r="Y173" s="1">
        <v>5</v>
      </c>
      <c r="Z173" s="1" t="s">
        <v>2027</v>
      </c>
      <c r="AA173" s="1" t="s">
        <v>2027</v>
      </c>
      <c r="AB173" s="1" t="s">
        <v>2027</v>
      </c>
      <c r="AC173" s="1" t="s">
        <v>2027</v>
      </c>
      <c r="AD173" s="1" t="s">
        <v>2027</v>
      </c>
      <c r="AE173" s="1" t="s">
        <v>2027</v>
      </c>
      <c r="AF173" s="1" t="s">
        <v>2027</v>
      </c>
      <c r="AG173" s="1" t="s">
        <v>2027</v>
      </c>
      <c r="AH173" s="1" t="s">
        <v>2027</v>
      </c>
      <c r="AI173" s="1" t="s">
        <v>2027</v>
      </c>
      <c r="AJ173" s="1" t="s">
        <v>2027</v>
      </c>
      <c r="AK173" s="1" t="s">
        <v>2027</v>
      </c>
      <c r="AL173" s="1" t="s">
        <v>2027</v>
      </c>
      <c r="AM173" s="1" t="s">
        <v>2027</v>
      </c>
      <c r="AN173" s="1" t="s">
        <v>2027</v>
      </c>
      <c r="AO173" s="31" t="s">
        <v>2027</v>
      </c>
      <c r="AP173" s="1" t="s">
        <v>2041</v>
      </c>
      <c r="AQ173" s="1">
        <v>7</v>
      </c>
      <c r="AR173" s="32">
        <v>0.46</v>
      </c>
      <c r="AS173" s="45" t="s">
        <v>2029</v>
      </c>
      <c r="AT173" s="9">
        <f>($O$3*(L173-$O$1)/$O$2+$P$3*(M173-$P$1)/$P$2+$Q$3*(N173-$P$1)/$Q$2)/SUM($O$3:$Q$3)</f>
        <v>-1.4834858736049745</v>
      </c>
      <c r="AU173" s="9">
        <f>($O$3*(O173-$O$1)/$O$2+$P$3*(P173-$P$1)/$P$2+$Q$3*(Q173-$Q$1)/$Q$2)/SUM($O$3:$Q$3)</f>
        <v>-0.35865866625050846</v>
      </c>
      <c r="AV173">
        <f>COUNT(R173:AO173)/2</f>
        <v>4</v>
      </c>
      <c r="AW173">
        <f>COUNTIF(R173:AO173,"&gt;5")/2</f>
        <v>0</v>
      </c>
      <c r="AX173" s="6">
        <f>VLOOKUP(AP173,COND!$A$10:$B$31,2,FALSE)</f>
        <v>1</v>
      </c>
      <c r="AY173" s="9">
        <f>($AT$3*AT173+$AU$3*AU173+$AV$3*AV173+$AW$3*AW173)*AX173*IF(AQ173&lt;5,0.95,IF(AQ173&lt;7,0.975,1))+$J$3*VLOOKUP(J173,[1]Con!$A$2:$C$7,2,FALSE)+$K$3*VLOOKUP(K173,[1]Con!$A$2:$C$7,3,FALSE)+IF(BA173="SP",$BA$3,0)</f>
        <v>25.780129500268835</v>
      </c>
      <c r="AZ173" s="37">
        <f>STANDARDIZE(AY173,AVERAGE($AY$5:$AY$1116),STDEVP($AY$5:$AY$1116))</f>
        <v>-0.6462937547386024</v>
      </c>
      <c r="BA173" t="str">
        <f>IF(OR(AND(AQ173&gt;7,AW173&gt;1),AND(AQ173&gt;4,AV173&gt;2)),"SP","RP")</f>
        <v>SP</v>
      </c>
      <c r="BC173">
        <f>VLOOKUP($A173,'Draft List'!$A$4:$V$530,22,FALSE)</f>
        <v>0</v>
      </c>
      <c r="BE173" t="str">
        <f>IF(AVERAGE($O173:$Q173)&gt;=6,"Likely",IF(AVERAGE($O173:$Q173)&gt;=4,"Possible","Unlikely"))</f>
        <v>Possible</v>
      </c>
      <c r="BG173" t="str">
        <f>IF(VLOOKUP($B173,'Draft List'!$D$4:$AB$2598,BG$3,FALSE)&lt;&gt;0,VLOOKUP($B173,'Draft List'!$D$4:$AB$2598,BG$3,FALSE),"")</f>
        <v/>
      </c>
      <c r="BH173" t="str">
        <f>IF(VLOOKUP($B173,'Draft List'!$D$4:$AB$2598,BH$3,FALSE)&lt;&gt;0,VLOOKUP($B173,'Draft List'!$D$4:$AB$2598,BH$3,FALSE),"")</f>
        <v/>
      </c>
      <c r="BI173" t="str">
        <f>IF(VLOOKUP($B173,'Draft List'!$D$4:$AB$2598,BI$3,FALSE)&lt;&gt;0,VLOOKUP($B173,'Draft List'!$D$4:$AB$2598,BI$3,FALSE),"")</f>
        <v/>
      </c>
      <c r="BJ173" t="str">
        <f>IF(OR(C173="SP",C173="MR",C173="CL"),"P",VLOOKUP($A173,Bat!$A$4:$AP$1287,42,FALSE))</f>
        <v>P</v>
      </c>
    </row>
    <row r="174" spans="1:62">
      <c r="A174" t="str">
        <f>C174&amp;D174&amp;E174</f>
        <v>MRMarcos Quintana21</v>
      </c>
      <c r="B174" t="e">
        <f>VLOOKUP($A174,draft_listing_pitchers_stats!$A$1:$B$1324,2,FALSE)</f>
        <v>#N/A</v>
      </c>
      <c r="C174" s="1" t="s">
        <v>109</v>
      </c>
      <c r="D174" s="1" t="s">
        <v>1040</v>
      </c>
      <c r="E174" s="1">
        <v>21</v>
      </c>
      <c r="F174" s="1" t="s">
        <v>2038</v>
      </c>
      <c r="G174" s="1" t="s">
        <v>2038</v>
      </c>
      <c r="H174" s="1" t="s">
        <v>2033</v>
      </c>
      <c r="I174" s="31" t="s">
        <v>2033</v>
      </c>
      <c r="J174" s="1" t="s">
        <v>2026</v>
      </c>
      <c r="K174" s="31" t="s">
        <v>2025</v>
      </c>
      <c r="L174" s="1">
        <v>3</v>
      </c>
      <c r="M174" s="1">
        <v>4</v>
      </c>
      <c r="N174" s="31">
        <v>2</v>
      </c>
      <c r="O174" s="1">
        <v>4</v>
      </c>
      <c r="P174" s="1">
        <v>4</v>
      </c>
      <c r="Q174" s="31">
        <v>4</v>
      </c>
      <c r="R174" s="1">
        <v>5</v>
      </c>
      <c r="S174" s="1">
        <v>5</v>
      </c>
      <c r="T174" s="1">
        <v>2</v>
      </c>
      <c r="U174" s="1">
        <v>4</v>
      </c>
      <c r="V174" s="1">
        <v>4</v>
      </c>
      <c r="W174" s="1">
        <v>4</v>
      </c>
      <c r="X174" s="1" t="s">
        <v>2027</v>
      </c>
      <c r="Y174" s="1" t="s">
        <v>2027</v>
      </c>
      <c r="Z174" s="1" t="s">
        <v>2027</v>
      </c>
      <c r="AA174" s="1" t="s">
        <v>2027</v>
      </c>
      <c r="AB174" s="1" t="s">
        <v>2027</v>
      </c>
      <c r="AC174" s="1" t="s">
        <v>2027</v>
      </c>
      <c r="AD174" s="1" t="s">
        <v>2027</v>
      </c>
      <c r="AE174" s="1" t="s">
        <v>2027</v>
      </c>
      <c r="AF174" s="1">
        <v>4</v>
      </c>
      <c r="AG174" s="1">
        <v>5</v>
      </c>
      <c r="AH174" s="1" t="s">
        <v>2027</v>
      </c>
      <c r="AI174" s="1" t="s">
        <v>2027</v>
      </c>
      <c r="AJ174" s="1" t="s">
        <v>2027</v>
      </c>
      <c r="AK174" s="1" t="s">
        <v>2027</v>
      </c>
      <c r="AL174" s="1" t="s">
        <v>2027</v>
      </c>
      <c r="AM174" s="1" t="s">
        <v>2027</v>
      </c>
      <c r="AN174" s="1" t="s">
        <v>2027</v>
      </c>
      <c r="AO174" s="31" t="s">
        <v>2027</v>
      </c>
      <c r="AP174" s="1" t="s">
        <v>2044</v>
      </c>
      <c r="AQ174" s="1">
        <v>10</v>
      </c>
      <c r="AR174" s="32">
        <v>0.45</v>
      </c>
      <c r="AS174" s="45">
        <v>220000</v>
      </c>
      <c r="AT174" s="9">
        <f>($O$3*(L174-$O$1)/$O$2+$P$3*(M174-$P$1)/$P$2+$Q$3*(N174-$P$1)/$Q$2)/SUM($O$3:$Q$3)</f>
        <v>-1.4834858736049745</v>
      </c>
      <c r="AU174" s="9">
        <f>($O$3*(O174-$O$1)/$O$2+$P$3*(P174-$P$1)/$P$2+$Q$3*(Q174-$Q$1)/$Q$2)/SUM($O$3:$Q$3)</f>
        <v>-0.35865866625050846</v>
      </c>
      <c r="AV174">
        <f>COUNT(R174:AO174)/2</f>
        <v>4</v>
      </c>
      <c r="AW174">
        <f>COUNTIF(R174:AO174,"&gt;5")/2</f>
        <v>0</v>
      </c>
      <c r="AX174" s="6">
        <f>VLOOKUP(AP174,COND!$A$10:$B$31,2,FALSE)</f>
        <v>1</v>
      </c>
      <c r="AY174" s="9">
        <f>($AT$3*AT174+$AU$3*AU174+$AV$3*AV174+$AW$3*AW174)*AX174*IF(AQ174&lt;5,0.95,IF(AQ174&lt;7,0.975,1))+$J$3*VLOOKUP(J174,[1]Con!$A$2:$C$7,2,FALSE)+$K$3*VLOOKUP(K174,[1]Con!$A$2:$C$7,3,FALSE)+IF(BA174="SP",$BA$3,0)</f>
        <v>25.780129500268835</v>
      </c>
      <c r="AZ174" s="37">
        <f>STANDARDIZE(AY174,AVERAGE($AY$5:$AY$1116),STDEVP($AY$5:$AY$1116))</f>
        <v>-0.6462937547386024</v>
      </c>
      <c r="BA174" t="str">
        <f>IF(OR(AND(AQ174&gt;7,AW174&gt;1),AND(AQ174&gt;4,AV174&gt;2)),"SP","RP")</f>
        <v>SP</v>
      </c>
      <c r="BC174" t="e">
        <f>VLOOKUP($A174,'Draft List'!$A$4:$V$530,22,FALSE)</f>
        <v>#N/A</v>
      </c>
      <c r="BD174" t="s">
        <v>7</v>
      </c>
      <c r="BE174" t="str">
        <f>IF(AVERAGE($O174:$Q174)&gt;=6,"Likely",IF(AVERAGE($O174:$Q174)&gt;=4,"Possible","Unlikely"))</f>
        <v>Possible</v>
      </c>
      <c r="BG174" t="e">
        <f>IF(VLOOKUP($B174,'Draft List'!$D$4:$AB$2598,BG$3,FALSE)&lt;&gt;0,VLOOKUP($B174,'Draft List'!$D$4:$AB$2598,BG$3,FALSE),"")</f>
        <v>#N/A</v>
      </c>
      <c r="BH174" t="e">
        <f>IF(VLOOKUP($B174,'Draft List'!$D$4:$AB$2598,BH$3,FALSE)&lt;&gt;0,VLOOKUP($B174,'Draft List'!$D$4:$AB$2598,BH$3,FALSE),"")</f>
        <v>#N/A</v>
      </c>
      <c r="BI174" t="e">
        <f>IF(VLOOKUP($B174,'Draft List'!$D$4:$AB$2598,BI$3,FALSE)&lt;&gt;0,VLOOKUP($B174,'Draft List'!$D$4:$AB$2598,BI$3,FALSE),"")</f>
        <v>#N/A</v>
      </c>
      <c r="BJ174" t="str">
        <f>IF(OR(C174="SP",C174="MR",C174="CL"),"P",VLOOKUP($A174,Bat!$A$4:$AP$1287,42,FALSE))</f>
        <v>P</v>
      </c>
    </row>
    <row r="175" spans="1:62">
      <c r="A175" t="str">
        <f>C175&amp;D175&amp;E175</f>
        <v>SPStan Richmond21</v>
      </c>
      <c r="B175">
        <f>VLOOKUP($A175,draft_listing_pitchers_stats!$A$1:$B$1324,2,FALSE)</f>
        <v>13911</v>
      </c>
      <c r="C175" s="1" t="s">
        <v>2003</v>
      </c>
      <c r="D175" s="1" t="s">
        <v>1045</v>
      </c>
      <c r="E175" s="1">
        <v>21</v>
      </c>
      <c r="F175" s="1" t="s">
        <v>2038</v>
      </c>
      <c r="G175" s="1" t="s">
        <v>2022</v>
      </c>
      <c r="H175" s="1" t="s">
        <v>2033</v>
      </c>
      <c r="I175" s="31" t="s">
        <v>2033</v>
      </c>
      <c r="J175" s="1" t="s">
        <v>2026</v>
      </c>
      <c r="K175" s="31" t="s">
        <v>2026</v>
      </c>
      <c r="L175" s="1">
        <v>4</v>
      </c>
      <c r="M175" s="1">
        <v>4</v>
      </c>
      <c r="N175" s="31">
        <v>2</v>
      </c>
      <c r="O175" s="1">
        <v>4</v>
      </c>
      <c r="P175" s="1">
        <v>4</v>
      </c>
      <c r="Q175" s="31">
        <v>4</v>
      </c>
      <c r="R175" s="1">
        <v>4</v>
      </c>
      <c r="S175" s="1">
        <v>5</v>
      </c>
      <c r="T175" s="1">
        <v>3</v>
      </c>
      <c r="U175" s="1">
        <v>4</v>
      </c>
      <c r="V175" s="1" t="s">
        <v>2027</v>
      </c>
      <c r="W175" s="1" t="s">
        <v>2027</v>
      </c>
      <c r="X175" s="1">
        <v>4</v>
      </c>
      <c r="Y175" s="1">
        <v>4</v>
      </c>
      <c r="Z175" s="1" t="s">
        <v>2027</v>
      </c>
      <c r="AA175" s="1" t="s">
        <v>2027</v>
      </c>
      <c r="AB175" s="1">
        <v>4</v>
      </c>
      <c r="AC175" s="1">
        <v>5</v>
      </c>
      <c r="AD175" s="1" t="s">
        <v>2027</v>
      </c>
      <c r="AE175" s="1" t="s">
        <v>2027</v>
      </c>
      <c r="AF175" s="1" t="s">
        <v>2027</v>
      </c>
      <c r="AG175" s="1" t="s">
        <v>2027</v>
      </c>
      <c r="AH175" s="1">
        <v>3</v>
      </c>
      <c r="AI175" s="1">
        <v>3</v>
      </c>
      <c r="AJ175" s="1" t="s">
        <v>2027</v>
      </c>
      <c r="AK175" s="1" t="s">
        <v>2027</v>
      </c>
      <c r="AL175" s="1" t="s">
        <v>2027</v>
      </c>
      <c r="AM175" s="1" t="s">
        <v>2027</v>
      </c>
      <c r="AN175" s="1" t="s">
        <v>2027</v>
      </c>
      <c r="AO175" s="31" t="s">
        <v>2027</v>
      </c>
      <c r="AP175" s="1" t="s">
        <v>2041</v>
      </c>
      <c r="AQ175" s="1">
        <v>7</v>
      </c>
      <c r="AR175" s="32">
        <v>0.49</v>
      </c>
      <c r="AS175" s="45" t="s">
        <v>2029</v>
      </c>
      <c r="AT175" s="9">
        <f>($O$3*(L175-$O$1)/$O$2+$P$3*(M175-$P$1)/$P$2+$Q$3*(N175-$P$1)/$Q$2)/SUM($O$3:$Q$3)</f>
        <v>-1.288794549095801</v>
      </c>
      <c r="AU175" s="9">
        <f>($O$3*(O175-$O$1)/$O$2+$P$3*(P175-$P$1)/$P$2+$Q$3*(Q175-$Q$1)/$Q$2)/SUM($O$3:$Q$3)</f>
        <v>-0.35865866625050846</v>
      </c>
      <c r="AV175">
        <f>COUNT(R175:AO175)/2</f>
        <v>5</v>
      </c>
      <c r="AW175">
        <f>COUNTIF(R175:AO175,"&gt;5")/2</f>
        <v>0</v>
      </c>
      <c r="AX175" s="6">
        <f>VLOOKUP(AP175,COND!$A$10:$B$31,2,FALSE)</f>
        <v>1</v>
      </c>
      <c r="AY175" s="9">
        <f>($AT$3*AT175+$AU$3*AU175+$AV$3*AV175+$AW$3*AW175)*AX175*IF(AQ175&lt;5,0.95,IF(AQ175&lt;7,0.975,1))+$J$3*VLOOKUP(J175,[1]Con!$A$2:$C$7,2,FALSE)+$K$3*VLOOKUP(K175,[1]Con!$A$2:$C$7,3,FALSE)+IF(BA175="SP",$BA$3,0)</f>
        <v>25.569067765170672</v>
      </c>
      <c r="AZ175" s="37">
        <f>STANDARDIZE(AY175,AVERAGE($AY$5:$AY$1116),STDEVP($AY$5:$AY$1116))</f>
        <v>-0.66304921569325803</v>
      </c>
      <c r="BA175" t="str">
        <f>IF(OR(AND(AQ175&gt;7,AW175&gt;1),AND(AQ175&gt;4,AV175&gt;2)),"SP","RP")</f>
        <v>SP</v>
      </c>
      <c r="BC175">
        <f>VLOOKUP($A175,'Draft List'!$A$4:$V$530,22,FALSE)</f>
        <v>0</v>
      </c>
      <c r="BE175" t="str">
        <f>IF(AVERAGE($O175:$Q175)&gt;=6,"Likely",IF(AVERAGE($O175:$Q175)&gt;=4,"Possible","Unlikely"))</f>
        <v>Possible</v>
      </c>
      <c r="BG175" t="str">
        <f>IF(VLOOKUP($B175,'Draft List'!$D$4:$AB$2598,BG$3,FALSE)&lt;&gt;0,VLOOKUP($B175,'Draft List'!$D$4:$AB$2598,BG$3,FALSE),"")</f>
        <v/>
      </c>
      <c r="BH175" t="str">
        <f>IF(VLOOKUP($B175,'Draft List'!$D$4:$AB$2598,BH$3,FALSE)&lt;&gt;0,VLOOKUP($B175,'Draft List'!$D$4:$AB$2598,BH$3,FALSE),"")</f>
        <v/>
      </c>
      <c r="BI175" t="str">
        <f>IF(VLOOKUP($B175,'Draft List'!$D$4:$AB$2598,BI$3,FALSE)&lt;&gt;0,VLOOKUP($B175,'Draft List'!$D$4:$AB$2598,BI$3,FALSE),"")</f>
        <v/>
      </c>
      <c r="BJ175" t="str">
        <f>IF(OR(C175="SP",C175="MR",C175="CL"),"P",VLOOKUP($A175,Bat!$A$4:$AP$1287,42,FALSE))</f>
        <v>P</v>
      </c>
    </row>
    <row r="176" spans="1:62">
      <c r="A176" t="str">
        <f>C176&amp;D176&amp;E176</f>
        <v>MRDamon Walker18</v>
      </c>
      <c r="B176">
        <f>VLOOKUP($A176,draft_listing_pitchers_stats!$A$1:$B$1324,2,FALSE)</f>
        <v>13739</v>
      </c>
      <c r="C176" s="1" t="s">
        <v>2021</v>
      </c>
      <c r="D176" s="1" t="s">
        <v>1062</v>
      </c>
      <c r="E176" s="1">
        <v>18</v>
      </c>
      <c r="F176" s="1" t="s">
        <v>2038</v>
      </c>
      <c r="G176" s="1" t="s">
        <v>2038</v>
      </c>
      <c r="H176" s="1" t="s">
        <v>2033</v>
      </c>
      <c r="I176" s="31" t="s">
        <v>2033</v>
      </c>
      <c r="J176" s="1" t="s">
        <v>2025</v>
      </c>
      <c r="K176" s="31" t="s">
        <v>2025</v>
      </c>
      <c r="L176" s="1">
        <v>2</v>
      </c>
      <c r="M176" s="1">
        <v>4</v>
      </c>
      <c r="N176" s="31">
        <v>1</v>
      </c>
      <c r="O176" s="1">
        <v>5</v>
      </c>
      <c r="P176" s="1">
        <v>4</v>
      </c>
      <c r="Q176" s="31">
        <v>3</v>
      </c>
      <c r="R176" s="1">
        <v>4</v>
      </c>
      <c r="S176" s="1">
        <v>6</v>
      </c>
      <c r="T176" s="1">
        <v>1</v>
      </c>
      <c r="U176" s="1">
        <v>3</v>
      </c>
      <c r="V176" s="1" t="s">
        <v>2027</v>
      </c>
      <c r="W176" s="1" t="s">
        <v>2027</v>
      </c>
      <c r="X176" s="1">
        <v>3</v>
      </c>
      <c r="Y176" s="1">
        <v>5</v>
      </c>
      <c r="Z176" s="1" t="s">
        <v>2027</v>
      </c>
      <c r="AA176" s="1" t="s">
        <v>2027</v>
      </c>
      <c r="AB176" s="1" t="s">
        <v>2027</v>
      </c>
      <c r="AC176" s="1" t="s">
        <v>2027</v>
      </c>
      <c r="AD176" s="1" t="s">
        <v>2027</v>
      </c>
      <c r="AE176" s="1" t="s">
        <v>2027</v>
      </c>
      <c r="AF176" s="1" t="s">
        <v>2027</v>
      </c>
      <c r="AG176" s="1" t="s">
        <v>2027</v>
      </c>
      <c r="AH176" s="1" t="s">
        <v>2027</v>
      </c>
      <c r="AI176" s="1" t="s">
        <v>2027</v>
      </c>
      <c r="AJ176" s="1" t="s">
        <v>2027</v>
      </c>
      <c r="AK176" s="1" t="s">
        <v>2027</v>
      </c>
      <c r="AL176" s="1" t="s">
        <v>2027</v>
      </c>
      <c r="AM176" s="1" t="s">
        <v>2027</v>
      </c>
      <c r="AN176" s="1" t="s">
        <v>2027</v>
      </c>
      <c r="AO176" s="31" t="s">
        <v>2027</v>
      </c>
      <c r="AP176" s="1" t="s">
        <v>2047</v>
      </c>
      <c r="AQ176" s="1">
        <v>7</v>
      </c>
      <c r="AR176" s="32">
        <v>0.46</v>
      </c>
      <c r="AS176" s="45" t="s">
        <v>2029</v>
      </c>
      <c r="AT176" s="9">
        <f>($O$3*(L176-$O$1)/$O$2+$P$3*(M176-$P$1)/$P$2+$Q$3*(N176-$P$1)/$Q$2)/SUM($O$3:$Q$3)</f>
        <v>-1.9204977641682581</v>
      </c>
      <c r="AU176" s="9">
        <f>($O$3*(O176-$O$1)/$O$2+$P$3*(P176-$P$1)/$P$2+$Q$3*(Q176-$Q$1)/$Q$2)/SUM($O$3:$Q$3)</f>
        <v>-0.40628790779544532</v>
      </c>
      <c r="AV176">
        <f>COUNT(R176:AO176)/2</f>
        <v>3</v>
      </c>
      <c r="AW176">
        <f>COUNTIF(R176:AO176,"&gt;5")/2</f>
        <v>0.5</v>
      </c>
      <c r="AX176" s="6">
        <f>VLOOKUP(AP176,COND!$A$10:$B$31,2,FALSE)</f>
        <v>1.0249999999999999</v>
      </c>
      <c r="AY176" s="9">
        <f>($AT$3*AT176+$AU$3*AU176+$AV$3*AV176+$AW$3*AW176)*AX176*IF(AQ176&lt;5,0.95,IF(AQ176&lt;7,0.975,1))+$J$3*VLOOKUP(J176,[1]Con!$A$2:$C$7,2,FALSE)+$K$3*VLOOKUP(K176,[1]Con!$A$2:$C$7,3,FALSE)+IF(BA176="SP",$BA$3,0)</f>
        <v>25.455520848538878</v>
      </c>
      <c r="AZ176" s="37">
        <f>STANDARDIZE(AY176,AVERAGE($AY$5:$AY$1116),STDEVP($AY$5:$AY$1116))</f>
        <v>-0.67206331257472596</v>
      </c>
      <c r="BA176" t="str">
        <f>IF(OR(AND(AQ176&gt;7,AW176&gt;1),AND(AQ176&gt;4,AV176&gt;2)),"SP","RP")</f>
        <v>SP</v>
      </c>
      <c r="BC176">
        <f>VLOOKUP($A176,'Draft List'!$A$4:$V$530,22,FALSE)</f>
        <v>0</v>
      </c>
      <c r="BE176" t="str">
        <f>IF(AVERAGE($O176:$Q176)&gt;=6,"Likely",IF(AVERAGE($O176:$Q176)&gt;=4,"Possible","Unlikely"))</f>
        <v>Possible</v>
      </c>
      <c r="BG176" t="str">
        <f>IF(VLOOKUP($B176,'Draft List'!$D$4:$AB$2598,BG$3,FALSE)&lt;&gt;0,VLOOKUP($B176,'Draft List'!$D$4:$AB$2598,BG$3,FALSE),"")</f>
        <v/>
      </c>
      <c r="BH176" t="str">
        <f>IF(VLOOKUP($B176,'Draft List'!$D$4:$AB$2598,BH$3,FALSE)&lt;&gt;0,VLOOKUP($B176,'Draft List'!$D$4:$AB$2598,BH$3,FALSE),"")</f>
        <v/>
      </c>
      <c r="BI176" t="str">
        <f>IF(VLOOKUP($B176,'Draft List'!$D$4:$AB$2598,BI$3,FALSE)&lt;&gt;0,VLOOKUP($B176,'Draft List'!$D$4:$AB$2598,BI$3,FALSE),"")</f>
        <v/>
      </c>
      <c r="BJ176" t="str">
        <f>IF(OR(C176="SP",C176="MR",C176="CL"),"P",VLOOKUP($A176,Bat!$A$4:$AP$1287,42,FALSE))</f>
        <v>P</v>
      </c>
    </row>
    <row r="177" spans="1:62">
      <c r="A177" t="str">
        <f>C177&amp;D177&amp;E177</f>
        <v>MRRamón Rodríguez21</v>
      </c>
      <c r="B177">
        <f>VLOOKUP($A177,draft_listing_pitchers_stats!$A$1:$B$1324,2,FALSE)</f>
        <v>7318</v>
      </c>
      <c r="C177" s="1" t="s">
        <v>2021</v>
      </c>
      <c r="D177" s="1" t="s">
        <v>1048</v>
      </c>
      <c r="E177" s="1">
        <v>21</v>
      </c>
      <c r="F177" s="1" t="s">
        <v>2022</v>
      </c>
      <c r="G177" s="1" t="s">
        <v>2022</v>
      </c>
      <c r="H177" s="1" t="s">
        <v>2033</v>
      </c>
      <c r="I177" s="31" t="s">
        <v>2033</v>
      </c>
      <c r="J177" s="1" t="s">
        <v>2025</v>
      </c>
      <c r="K177" s="31" t="s">
        <v>2026</v>
      </c>
      <c r="L177" s="1">
        <v>3</v>
      </c>
      <c r="M177" s="1">
        <v>4</v>
      </c>
      <c r="N177" s="31">
        <v>3</v>
      </c>
      <c r="O177" s="1">
        <v>4</v>
      </c>
      <c r="P177" s="1">
        <v>4</v>
      </c>
      <c r="Q177" s="31">
        <v>4</v>
      </c>
      <c r="R177" s="1">
        <v>4</v>
      </c>
      <c r="S177" s="1">
        <v>4</v>
      </c>
      <c r="T177" s="1">
        <v>3</v>
      </c>
      <c r="U177" s="1">
        <v>3</v>
      </c>
      <c r="V177" s="1" t="s">
        <v>2027</v>
      </c>
      <c r="W177" s="1" t="s">
        <v>2027</v>
      </c>
      <c r="X177" s="1">
        <v>4</v>
      </c>
      <c r="Y177" s="1">
        <v>4</v>
      </c>
      <c r="Z177" s="1" t="s">
        <v>2027</v>
      </c>
      <c r="AA177" s="1" t="s">
        <v>2027</v>
      </c>
      <c r="AB177" s="1" t="s">
        <v>2027</v>
      </c>
      <c r="AC177" s="1" t="s">
        <v>2027</v>
      </c>
      <c r="AD177" s="1" t="s">
        <v>2027</v>
      </c>
      <c r="AE177" s="1" t="s">
        <v>2027</v>
      </c>
      <c r="AF177" s="1" t="s">
        <v>2027</v>
      </c>
      <c r="AG177" s="1" t="s">
        <v>2027</v>
      </c>
      <c r="AH177" s="1" t="s">
        <v>2027</v>
      </c>
      <c r="AI177" s="1" t="s">
        <v>2027</v>
      </c>
      <c r="AJ177" s="1" t="s">
        <v>2027</v>
      </c>
      <c r="AK177" s="1" t="s">
        <v>2027</v>
      </c>
      <c r="AL177" s="1" t="s">
        <v>2027</v>
      </c>
      <c r="AM177" s="1" t="s">
        <v>2027</v>
      </c>
      <c r="AN177" s="1" t="s">
        <v>2027</v>
      </c>
      <c r="AO177" s="31" t="s">
        <v>2027</v>
      </c>
      <c r="AP177" s="1" t="s">
        <v>2034</v>
      </c>
      <c r="AQ177" s="1">
        <v>9</v>
      </c>
      <c r="AR177" s="32">
        <v>0.49</v>
      </c>
      <c r="AS177" s="45" t="s">
        <v>2029</v>
      </c>
      <c r="AT177" s="9">
        <f>($O$3*(L177-$O$1)/$O$2+$P$3*(M177-$P$1)/$P$2+$Q$3*(N177-$P$1)/$Q$2)/SUM($O$3:$Q$3)</f>
        <v>-1.2411653075508642</v>
      </c>
      <c r="AU177" s="9">
        <f>($O$3*(O177-$O$1)/$O$2+$P$3*(P177-$P$1)/$P$2+$Q$3*(Q177-$Q$1)/$Q$2)/SUM($O$3:$Q$3)</f>
        <v>-0.35865866625050846</v>
      </c>
      <c r="AV177">
        <f>COUNT(R177:AO177)/2</f>
        <v>3</v>
      </c>
      <c r="AW177">
        <f>COUNTIF(R177:AO177,"&gt;5")/2</f>
        <v>0</v>
      </c>
      <c r="AX177" s="6">
        <f>VLOOKUP(AP177,COND!$A$10:$B$31,2,FALSE)</f>
        <v>1</v>
      </c>
      <c r="AY177" s="9">
        <f>($AT$3*AT177+$AU$3*AU177+$AV$3*AV177+$AW$3*AW177)*AX177*IF(AQ177&lt;5,0.95,IF(AQ177&lt;7,0.975,1))+$J$3*VLOOKUP(J177,[1]Con!$A$2:$C$7,2,FALSE)+$K$3*VLOOKUP(K177,[1]Con!$A$2:$C$7,3,FALSE)+IF(BA177="SP",$BA$3,0)</f>
        <v>25.328593613479658</v>
      </c>
      <c r="AZ177" s="37">
        <f>STANDARDIZE(AY177,AVERAGE($AY$5:$AY$1116),STDEVP($AY$5:$AY$1116))</f>
        <v>-0.68213962664524197</v>
      </c>
      <c r="BA177" t="str">
        <f>IF(OR(AND(AQ177&gt;7,AW177&gt;1),AND(AQ177&gt;4,AV177&gt;2)),"SP","RP")</f>
        <v>SP</v>
      </c>
      <c r="BC177">
        <f>VLOOKUP($A177,'Draft List'!$A$4:$V$530,22,FALSE)</f>
        <v>0</v>
      </c>
      <c r="BE177" t="str">
        <f>IF(AVERAGE($O177:$Q177)&gt;=6,"Likely",IF(AVERAGE($O177:$Q177)&gt;=4,"Possible","Unlikely"))</f>
        <v>Possible</v>
      </c>
      <c r="BG177" t="str">
        <f>IF(VLOOKUP($B177,'Draft List'!$D$4:$AB$2598,BG$3,FALSE)&lt;&gt;0,VLOOKUP($B177,'Draft List'!$D$4:$AB$2598,BG$3,FALSE),"")</f>
        <v/>
      </c>
      <c r="BH177" t="str">
        <f>IF(VLOOKUP($B177,'Draft List'!$D$4:$AB$2598,BH$3,FALSE)&lt;&gt;0,VLOOKUP($B177,'Draft List'!$D$4:$AB$2598,BH$3,FALSE),"")</f>
        <v/>
      </c>
      <c r="BI177" t="str">
        <f>IF(VLOOKUP($B177,'Draft List'!$D$4:$AB$2598,BI$3,FALSE)&lt;&gt;0,VLOOKUP($B177,'Draft List'!$D$4:$AB$2598,BI$3,FALSE),"")</f>
        <v/>
      </c>
      <c r="BJ177" t="str">
        <f>IF(OR(C177="SP",C177="MR",C177="CL"),"P",VLOOKUP($A177,Bat!$A$4:$AP$1287,42,FALSE))</f>
        <v>P</v>
      </c>
    </row>
    <row r="178" spans="1:62">
      <c r="A178" t="str">
        <f>C178&amp;D178&amp;E178</f>
        <v>MRDoug Spears18</v>
      </c>
      <c r="B178">
        <f>VLOOKUP($A178,draft_listing_pitchers_stats!$A$1:$B$1324,2,FALSE)</f>
        <v>13855</v>
      </c>
      <c r="C178" s="1" t="s">
        <v>2021</v>
      </c>
      <c r="D178" s="1" t="s">
        <v>1055</v>
      </c>
      <c r="E178" s="1">
        <v>18</v>
      </c>
      <c r="F178" s="1" t="s">
        <v>2038</v>
      </c>
      <c r="G178" s="1" t="s">
        <v>2038</v>
      </c>
      <c r="H178" s="1" t="s">
        <v>2033</v>
      </c>
      <c r="I178" s="31" t="s">
        <v>2033</v>
      </c>
      <c r="J178" s="1" t="s">
        <v>2026</v>
      </c>
      <c r="K178" s="31" t="s">
        <v>2036</v>
      </c>
      <c r="L178" s="1">
        <v>2</v>
      </c>
      <c r="M178" s="1">
        <v>3</v>
      </c>
      <c r="N178" s="31">
        <v>1</v>
      </c>
      <c r="O178" s="1">
        <v>3</v>
      </c>
      <c r="P178" s="1">
        <v>3</v>
      </c>
      <c r="Q178" s="31">
        <v>5</v>
      </c>
      <c r="R178" s="1">
        <v>2</v>
      </c>
      <c r="S178" s="1">
        <v>3</v>
      </c>
      <c r="T178" s="1">
        <v>1</v>
      </c>
      <c r="U178" s="1">
        <v>5</v>
      </c>
      <c r="V178" s="1">
        <v>2</v>
      </c>
      <c r="W178" s="1">
        <v>4</v>
      </c>
      <c r="X178" s="1" t="s">
        <v>2027</v>
      </c>
      <c r="Y178" s="1" t="s">
        <v>2027</v>
      </c>
      <c r="Z178" s="1" t="s">
        <v>2027</v>
      </c>
      <c r="AA178" s="1" t="s">
        <v>2027</v>
      </c>
      <c r="AB178" s="1" t="s">
        <v>2027</v>
      </c>
      <c r="AC178" s="1" t="s">
        <v>2027</v>
      </c>
      <c r="AD178" s="1" t="s">
        <v>2027</v>
      </c>
      <c r="AE178" s="1" t="s">
        <v>2027</v>
      </c>
      <c r="AF178" s="1">
        <v>2</v>
      </c>
      <c r="AG178" s="1">
        <v>3</v>
      </c>
      <c r="AH178" s="1" t="s">
        <v>2027</v>
      </c>
      <c r="AI178" s="1" t="s">
        <v>2027</v>
      </c>
      <c r="AJ178" s="1" t="s">
        <v>2027</v>
      </c>
      <c r="AK178" s="1" t="s">
        <v>2027</v>
      </c>
      <c r="AL178" s="1" t="s">
        <v>2027</v>
      </c>
      <c r="AM178" s="1" t="s">
        <v>2027</v>
      </c>
      <c r="AN178" s="1" t="s">
        <v>2027</v>
      </c>
      <c r="AO178" s="31" t="s">
        <v>2027</v>
      </c>
      <c r="AP178" s="1" t="s">
        <v>2037</v>
      </c>
      <c r="AQ178" s="1">
        <v>5</v>
      </c>
      <c r="AR178" s="32">
        <v>0.45</v>
      </c>
      <c r="AS178" s="45" t="s">
        <v>2029</v>
      </c>
      <c r="AT178" s="9">
        <f>($O$3*(L178-$O$1)/$O$2+$P$3*(M178-$P$1)/$P$2+$Q$3*(N178-$P$1)/$Q$2)/SUM($O$3:$Q$3)</f>
        <v>-2.1159294805983135</v>
      </c>
      <c r="AU178" s="9">
        <f>($O$3*(O178-$O$1)/$O$2+$P$3*(P178-$P$1)/$P$2+$Q$3*(Q178-$Q$1)/$Q$2)/SUM($O$3:$Q$3)</f>
        <v>-0.5064611411356269</v>
      </c>
      <c r="AV178">
        <f>COUNT(R178:AO178)/2</f>
        <v>4</v>
      </c>
      <c r="AW178">
        <f>COUNTIF(R178:AO178,"&gt;5")/2</f>
        <v>0</v>
      </c>
      <c r="AX178" s="6">
        <f>VLOOKUP(AP178,COND!$A$10:$B$31,2,FALSE)</f>
        <v>0.85</v>
      </c>
      <c r="AY178" s="9">
        <f>($AT$3*AT178+$AU$3*AU178+$AV$3*AV178+$AW$3*AW178)*AX178*IF(AQ178&lt;5,0.95,IF(AQ178&lt;7,0.975,1))+$J$3*VLOOKUP(J178,[1]Con!$A$2:$C$7,2,FALSE)+$K$3*VLOOKUP(K178,[1]Con!$A$2:$C$7,3,FALSE)+IF(BA178="SP",$BA$3,0)</f>
        <v>25.212191274267816</v>
      </c>
      <c r="AZ178" s="37">
        <f>STANDARDIZE(AY178,AVERAGE($AY$5:$AY$1116),STDEVP($AY$5:$AY$1116))</f>
        <v>-0.69138040564664405</v>
      </c>
      <c r="BA178" t="str">
        <f>IF(OR(AND(AQ178&gt;7,AW178&gt;1),AND(AQ178&gt;4,AV178&gt;2)),"SP","RP")</f>
        <v>SP</v>
      </c>
      <c r="BC178">
        <f>VLOOKUP($A178,'Draft List'!$A$4:$V$530,22,FALSE)</f>
        <v>0</v>
      </c>
      <c r="BE178" t="str">
        <f>IF(AVERAGE($O178:$Q178)&gt;=6,"Likely",IF(AVERAGE($O178:$Q178)&gt;=4,"Possible","Unlikely"))</f>
        <v>Unlikely</v>
      </c>
      <c r="BG178" t="str">
        <f>IF(VLOOKUP($B178,'Draft List'!$D$4:$AB$2598,BG$3,FALSE)&lt;&gt;0,VLOOKUP($B178,'Draft List'!$D$4:$AB$2598,BG$3,FALSE),"")</f>
        <v/>
      </c>
      <c r="BH178" t="str">
        <f>IF(VLOOKUP($B178,'Draft List'!$D$4:$AB$2598,BH$3,FALSE)&lt;&gt;0,VLOOKUP($B178,'Draft List'!$D$4:$AB$2598,BH$3,FALSE),"")</f>
        <v/>
      </c>
      <c r="BI178" t="str">
        <f>IF(VLOOKUP($B178,'Draft List'!$D$4:$AB$2598,BI$3,FALSE)&lt;&gt;0,VLOOKUP($B178,'Draft List'!$D$4:$AB$2598,BI$3,FALSE),"")</f>
        <v/>
      </c>
      <c r="BJ178" t="str">
        <f>IF(OR(C178="SP",C178="MR",C178="CL"),"P",VLOOKUP($A178,Bat!$A$4:$AP$1287,42,FALSE))</f>
        <v>P</v>
      </c>
    </row>
    <row r="179" spans="1:62">
      <c r="A179" t="str">
        <f>C179&amp;D179&amp;E179</f>
        <v>SPBill Whitehead18</v>
      </c>
      <c r="B179">
        <f>VLOOKUP($A179,draft_listing_pitchers_stats!$A$1:$B$1324,2,FALSE)</f>
        <v>13848</v>
      </c>
      <c r="C179" s="1" t="s">
        <v>2003</v>
      </c>
      <c r="D179" s="1" t="s">
        <v>1064</v>
      </c>
      <c r="E179" s="1">
        <v>18</v>
      </c>
      <c r="F179" s="1" t="s">
        <v>2038</v>
      </c>
      <c r="G179" s="1" t="s">
        <v>2038</v>
      </c>
      <c r="H179" s="1" t="s">
        <v>2033</v>
      </c>
      <c r="I179" s="31" t="s">
        <v>2033</v>
      </c>
      <c r="J179" s="1" t="s">
        <v>2026</v>
      </c>
      <c r="K179" s="31" t="s">
        <v>2025</v>
      </c>
      <c r="L179" s="1">
        <v>2</v>
      </c>
      <c r="M179" s="1">
        <v>4</v>
      </c>
      <c r="N179" s="31">
        <v>1</v>
      </c>
      <c r="O179" s="1">
        <v>4</v>
      </c>
      <c r="P179" s="1">
        <v>4</v>
      </c>
      <c r="Q179" s="31">
        <v>4</v>
      </c>
      <c r="R179" s="1">
        <v>4</v>
      </c>
      <c r="S179" s="1">
        <v>5</v>
      </c>
      <c r="T179" s="1">
        <v>2</v>
      </c>
      <c r="U179" s="1">
        <v>5</v>
      </c>
      <c r="V179" s="1">
        <v>2</v>
      </c>
      <c r="W179" s="1">
        <v>5</v>
      </c>
      <c r="X179" s="1" t="s">
        <v>2027</v>
      </c>
      <c r="Y179" s="1" t="s">
        <v>2027</v>
      </c>
      <c r="Z179" s="1" t="s">
        <v>2027</v>
      </c>
      <c r="AA179" s="1" t="s">
        <v>2027</v>
      </c>
      <c r="AB179" s="1" t="s">
        <v>2027</v>
      </c>
      <c r="AC179" s="1" t="s">
        <v>2027</v>
      </c>
      <c r="AD179" s="1" t="s">
        <v>2027</v>
      </c>
      <c r="AE179" s="1" t="s">
        <v>2027</v>
      </c>
      <c r="AF179" s="1" t="s">
        <v>2027</v>
      </c>
      <c r="AG179" s="1" t="s">
        <v>2027</v>
      </c>
      <c r="AH179" s="1" t="s">
        <v>2027</v>
      </c>
      <c r="AI179" s="1" t="s">
        <v>2027</v>
      </c>
      <c r="AJ179" s="1" t="s">
        <v>2027</v>
      </c>
      <c r="AK179" s="1" t="s">
        <v>2027</v>
      </c>
      <c r="AL179" s="1" t="s">
        <v>2027</v>
      </c>
      <c r="AM179" s="1" t="s">
        <v>2027</v>
      </c>
      <c r="AN179" s="1" t="s">
        <v>2027</v>
      </c>
      <c r="AO179" s="31" t="s">
        <v>2027</v>
      </c>
      <c r="AP179" s="1" t="s">
        <v>2042</v>
      </c>
      <c r="AQ179" s="1">
        <v>10</v>
      </c>
      <c r="AR179" s="32">
        <v>0.5</v>
      </c>
      <c r="AS179" s="45" t="s">
        <v>2029</v>
      </c>
      <c r="AT179" s="9">
        <f>($O$3*(L179-$O$1)/$O$2+$P$3*(M179-$P$1)/$P$2+$Q$3*(N179-$P$1)/$Q$2)/SUM($O$3:$Q$3)</f>
        <v>-1.9204977641682581</v>
      </c>
      <c r="AU179" s="9">
        <f>($O$3*(O179-$O$1)/$O$2+$P$3*(P179-$P$1)/$P$2+$Q$3*(Q179-$Q$1)/$Q$2)/SUM($O$3:$Q$3)</f>
        <v>-0.35865866625050846</v>
      </c>
      <c r="AV179">
        <f>COUNT(R179:AO179)/2</f>
        <v>3</v>
      </c>
      <c r="AW179">
        <f>COUNTIF(R179:AO179,"&gt;5")/2</f>
        <v>0</v>
      </c>
      <c r="AX179" s="6">
        <f>VLOOKUP(AP179,COND!$A$10:$B$31,2,FALSE)</f>
        <v>1</v>
      </c>
      <c r="AY179" s="9">
        <f>($AT$3*AT179+$AU$3*AU179+$AV$3*AV179+$AW$3*AW179)*AX179*IF(AQ179&lt;5,0.95,IF(AQ179&lt;7,0.975,1))+$J$3*VLOOKUP(J179,[1]Con!$A$2:$C$7,2,FALSE)+$K$3*VLOOKUP(K179,[1]Con!$A$2:$C$7,3,FALSE)+IF(BA179="SP",$BA$3,0)</f>
        <v>25.192727122156178</v>
      </c>
      <c r="AZ179" s="37">
        <f>STANDARDIZE(AY179,AVERAGE($AY$5:$AY$1116),STDEVP($AY$5:$AY$1116))</f>
        <v>-0.69292559734408909</v>
      </c>
      <c r="BA179" t="str">
        <f>IF(OR(AND(AQ179&gt;7,AW179&gt;1),AND(AQ179&gt;4,AV179&gt;2)),"SP","RP")</f>
        <v>SP</v>
      </c>
      <c r="BC179">
        <f>VLOOKUP($A179,'Draft List'!$A$4:$V$530,22,FALSE)</f>
        <v>0</v>
      </c>
      <c r="BE179" t="str">
        <f>IF(AVERAGE($O179:$Q179)&gt;=6,"Likely",IF(AVERAGE($O179:$Q179)&gt;=4,"Possible","Unlikely"))</f>
        <v>Possible</v>
      </c>
      <c r="BG179" t="str">
        <f>IF(VLOOKUP($B179,'Draft List'!$D$4:$AB$2598,BG$3,FALSE)&lt;&gt;0,VLOOKUP($B179,'Draft List'!$D$4:$AB$2598,BG$3,FALSE),"")</f>
        <v/>
      </c>
      <c r="BH179" t="str">
        <f>IF(VLOOKUP($B179,'Draft List'!$D$4:$AB$2598,BH$3,FALSE)&lt;&gt;0,VLOOKUP($B179,'Draft List'!$D$4:$AB$2598,BH$3,FALSE),"")</f>
        <v/>
      </c>
      <c r="BI179" t="str">
        <f>IF(VLOOKUP($B179,'Draft List'!$D$4:$AB$2598,BI$3,FALSE)&lt;&gt;0,VLOOKUP($B179,'Draft List'!$D$4:$AB$2598,BI$3,FALSE),"")</f>
        <v/>
      </c>
      <c r="BJ179" t="str">
        <f>IF(OR(C179="SP",C179="MR",C179="CL"),"P",VLOOKUP($A179,Bat!$A$4:$AP$1287,42,FALSE))</f>
        <v>P</v>
      </c>
    </row>
    <row r="180" spans="1:62">
      <c r="A180" t="str">
        <f>C180&amp;D180&amp;E180</f>
        <v>SPWill Sutherland21</v>
      </c>
      <c r="B180">
        <f>VLOOKUP($A180,draft_listing_pitchers_stats!$A$1:$B$1324,2,FALSE)</f>
        <v>5872</v>
      </c>
      <c r="C180" s="1" t="s">
        <v>2003</v>
      </c>
      <c r="D180" s="1" t="s">
        <v>1057</v>
      </c>
      <c r="E180" s="1">
        <v>21</v>
      </c>
      <c r="F180" s="1" t="s">
        <v>2022</v>
      </c>
      <c r="G180" s="1" t="s">
        <v>2022</v>
      </c>
      <c r="H180" s="1" t="s">
        <v>2033</v>
      </c>
      <c r="I180" s="31" t="s">
        <v>2033</v>
      </c>
      <c r="J180" s="1" t="s">
        <v>2026</v>
      </c>
      <c r="K180" s="31" t="s">
        <v>2026</v>
      </c>
      <c r="L180" s="1">
        <v>3</v>
      </c>
      <c r="M180" s="1">
        <v>4</v>
      </c>
      <c r="N180" s="31">
        <v>1</v>
      </c>
      <c r="O180" s="1">
        <v>4</v>
      </c>
      <c r="P180" s="1">
        <v>4</v>
      </c>
      <c r="Q180" s="31">
        <v>4</v>
      </c>
      <c r="R180" s="1">
        <v>4</v>
      </c>
      <c r="S180" s="1">
        <v>4</v>
      </c>
      <c r="T180" s="1">
        <v>4</v>
      </c>
      <c r="U180" s="1">
        <v>4</v>
      </c>
      <c r="V180" s="1">
        <v>3</v>
      </c>
      <c r="W180" s="1">
        <v>3</v>
      </c>
      <c r="X180" s="1" t="s">
        <v>2027</v>
      </c>
      <c r="Y180" s="1" t="s">
        <v>2027</v>
      </c>
      <c r="Z180" s="1" t="s">
        <v>2027</v>
      </c>
      <c r="AA180" s="1" t="s">
        <v>2027</v>
      </c>
      <c r="AB180" s="1" t="s">
        <v>2027</v>
      </c>
      <c r="AC180" s="1" t="s">
        <v>2027</v>
      </c>
      <c r="AD180" s="1" t="s">
        <v>2027</v>
      </c>
      <c r="AE180" s="1" t="s">
        <v>2027</v>
      </c>
      <c r="AF180" s="1">
        <v>4</v>
      </c>
      <c r="AG180" s="1">
        <v>4</v>
      </c>
      <c r="AH180" s="1" t="s">
        <v>2027</v>
      </c>
      <c r="AI180" s="1" t="s">
        <v>2027</v>
      </c>
      <c r="AJ180" s="1" t="s">
        <v>2027</v>
      </c>
      <c r="AK180" s="1" t="s">
        <v>2027</v>
      </c>
      <c r="AL180" s="1" t="s">
        <v>2027</v>
      </c>
      <c r="AM180" s="1" t="s">
        <v>2027</v>
      </c>
      <c r="AN180" s="1" t="s">
        <v>2027</v>
      </c>
      <c r="AO180" s="31" t="s">
        <v>2027</v>
      </c>
      <c r="AP180" s="1" t="s">
        <v>2034</v>
      </c>
      <c r="AQ180" s="1">
        <v>9</v>
      </c>
      <c r="AR180" s="32">
        <v>0.49</v>
      </c>
      <c r="AS180" s="45" t="s">
        <v>2029</v>
      </c>
      <c r="AT180" s="9">
        <f>($O$3*(L180-$O$1)/$O$2+$P$3*(M180-$P$1)/$P$2+$Q$3*(N180-$P$1)/$Q$2)/SUM($O$3:$Q$3)</f>
        <v>-1.7258064396590846</v>
      </c>
      <c r="AU180" s="9">
        <f>($O$3*(O180-$O$1)/$O$2+$P$3*(P180-$P$1)/$P$2+$Q$3*(Q180-$Q$1)/$Q$2)/SUM($O$3:$Q$3)</f>
        <v>-0.35865866625050846</v>
      </c>
      <c r="AV180">
        <f>COUNT(R180:AO180)/2</f>
        <v>4</v>
      </c>
      <c r="AW180">
        <f>COUNTIF(R180:AO180,"&gt;5")/2</f>
        <v>0</v>
      </c>
      <c r="AX180" s="6">
        <f>VLOOKUP(AP180,COND!$A$10:$B$31,2,FALSE)</f>
        <v>1</v>
      </c>
      <c r="AY180" s="9">
        <f>($AT$3*AT180+$AU$3*AU180+$AV$3*AV180+$AW$3*AW180)*AX180*IF(AQ180&lt;5,0.95,IF(AQ180&lt;7,0.975,1))+$J$3*VLOOKUP(J180,[1]Con!$A$2:$C$7,2,FALSE)+$K$3*VLOOKUP(K180,[1]Con!$A$2:$C$7,3,FALSE)+IF(BA180="SP",$BA$3,0)</f>
        <v>24.981665387058015</v>
      </c>
      <c r="AZ180" s="37">
        <f>STANDARDIZE(AY180,AVERAGE($AY$5:$AY$1116),STDEVP($AY$5:$AY$1116))</f>
        <v>-0.70968105829874473</v>
      </c>
      <c r="BA180" t="str">
        <f>IF(OR(AND(AQ180&gt;7,AW180&gt;1),AND(AQ180&gt;4,AV180&gt;2)),"SP","RP")</f>
        <v>SP</v>
      </c>
      <c r="BC180">
        <f>VLOOKUP($A180,'Draft List'!$A$4:$V$530,22,FALSE)</f>
        <v>0</v>
      </c>
      <c r="BE180" t="str">
        <f>IF(AVERAGE($O180:$Q180)&gt;=6,"Likely",IF(AVERAGE($O180:$Q180)&gt;=4,"Possible","Unlikely"))</f>
        <v>Possible</v>
      </c>
      <c r="BG180" t="str">
        <f>IF(VLOOKUP($B180,'Draft List'!$D$4:$AB$2598,BG$3,FALSE)&lt;&gt;0,VLOOKUP($B180,'Draft List'!$D$4:$AB$2598,BG$3,FALSE),"")</f>
        <v/>
      </c>
      <c r="BH180" t="str">
        <f>IF(VLOOKUP($B180,'Draft List'!$D$4:$AB$2598,BH$3,FALSE)&lt;&gt;0,VLOOKUP($B180,'Draft List'!$D$4:$AB$2598,BH$3,FALSE),"")</f>
        <v/>
      </c>
      <c r="BI180" t="str">
        <f>IF(VLOOKUP($B180,'Draft List'!$D$4:$AB$2598,BI$3,FALSE)&lt;&gt;0,VLOOKUP($B180,'Draft List'!$D$4:$AB$2598,BI$3,FALSE),"")</f>
        <v/>
      </c>
      <c r="BJ180" t="str">
        <f>IF(OR(C180="SP",C180="MR",C180="CL"),"P",VLOOKUP($A180,Bat!$A$4:$AP$1287,42,FALSE))</f>
        <v>P</v>
      </c>
    </row>
    <row r="181" spans="1:62">
      <c r="A181" t="str">
        <f>C181&amp;D181&amp;E181</f>
        <v>MRJeff Nolan21</v>
      </c>
      <c r="B181">
        <f>VLOOKUP($A181,draft_listing_pitchers_stats!$A$1:$B$1324,2,FALSE)</f>
        <v>2675</v>
      </c>
      <c r="C181" s="1" t="s">
        <v>2021</v>
      </c>
      <c r="D181" s="1" t="s">
        <v>1036</v>
      </c>
      <c r="E181" s="1">
        <v>21</v>
      </c>
      <c r="F181" s="1" t="s">
        <v>2038</v>
      </c>
      <c r="G181" s="1" t="s">
        <v>2022</v>
      </c>
      <c r="H181" s="1" t="s">
        <v>2033</v>
      </c>
      <c r="I181" s="31" t="s">
        <v>2033</v>
      </c>
      <c r="J181" s="1" t="s">
        <v>2030</v>
      </c>
      <c r="K181" s="31" t="s">
        <v>2030</v>
      </c>
      <c r="L181" s="1">
        <v>4</v>
      </c>
      <c r="M181" s="1">
        <v>3</v>
      </c>
      <c r="N181" s="31">
        <v>1</v>
      </c>
      <c r="O181" s="1">
        <v>4</v>
      </c>
      <c r="P181" s="1">
        <v>3</v>
      </c>
      <c r="Q181" s="31">
        <v>4</v>
      </c>
      <c r="R181" s="1">
        <v>6</v>
      </c>
      <c r="S181" s="1">
        <v>6</v>
      </c>
      <c r="T181" s="1">
        <v>2</v>
      </c>
      <c r="U181" s="1">
        <v>3</v>
      </c>
      <c r="V181" s="1">
        <v>2</v>
      </c>
      <c r="W181" s="1">
        <v>3</v>
      </c>
      <c r="X181" s="1" t="s">
        <v>2027</v>
      </c>
      <c r="Y181" s="1" t="s">
        <v>2027</v>
      </c>
      <c r="Z181" s="1" t="s">
        <v>2027</v>
      </c>
      <c r="AA181" s="1" t="s">
        <v>2027</v>
      </c>
      <c r="AB181" s="1" t="s">
        <v>2027</v>
      </c>
      <c r="AC181" s="1" t="s">
        <v>2027</v>
      </c>
      <c r="AD181" s="1" t="s">
        <v>2027</v>
      </c>
      <c r="AE181" s="1" t="s">
        <v>2027</v>
      </c>
      <c r="AF181" s="1" t="s">
        <v>2027</v>
      </c>
      <c r="AG181" s="1" t="s">
        <v>2027</v>
      </c>
      <c r="AH181" s="1" t="s">
        <v>2027</v>
      </c>
      <c r="AI181" s="1" t="s">
        <v>2027</v>
      </c>
      <c r="AJ181" s="1" t="s">
        <v>2027</v>
      </c>
      <c r="AK181" s="1" t="s">
        <v>2027</v>
      </c>
      <c r="AL181" s="1" t="s">
        <v>2027</v>
      </c>
      <c r="AM181" s="1" t="s">
        <v>2027</v>
      </c>
      <c r="AN181" s="1" t="s">
        <v>2027</v>
      </c>
      <c r="AO181" s="31" t="s">
        <v>2027</v>
      </c>
      <c r="AP181" s="1" t="s">
        <v>2039</v>
      </c>
      <c r="AQ181" s="1">
        <v>6</v>
      </c>
      <c r="AR181" s="32">
        <v>0.43</v>
      </c>
      <c r="AS181" s="45" t="s">
        <v>2029</v>
      </c>
      <c r="AT181" s="9">
        <f>($O$3*(L181-$O$1)/$O$2+$P$3*(M181-$P$1)/$P$2+$Q$3*(N181-$P$1)/$Q$2)/SUM($O$3:$Q$3)</f>
        <v>-1.7265468315799666</v>
      </c>
      <c r="AU181" s="9">
        <f>($O$3*(O181-$O$1)/$O$2+$P$3*(P181-$P$1)/$P$2+$Q$3*(Q181-$Q$1)/$Q$2)/SUM($O$3:$Q$3)</f>
        <v>-0.55409038268056388</v>
      </c>
      <c r="AV181">
        <f>COUNT(R181:AO181)/2</f>
        <v>3</v>
      </c>
      <c r="AW181">
        <f>COUNTIF(R181:AO181,"&gt;5")/2</f>
        <v>1</v>
      </c>
      <c r="AX181" s="6">
        <f>VLOOKUP(AP181,COND!$A$10:$B$31,2,FALSE)</f>
        <v>1.0249999999999999</v>
      </c>
      <c r="AY181" s="9">
        <f>($AT$3*AT181+$AU$3*AU181+$AV$3*AV181+$AW$3*AW181)*AX181*IF(AQ181&lt;5,0.95,IF(AQ181&lt;7,0.975,1))+$J$3*VLOOKUP(J181,[1]Con!$A$2:$C$7,2,FALSE)+$K$3*VLOOKUP(K181,[1]Con!$A$2:$C$7,3,FALSE)+IF(BA181="SP",$BA$3,0)</f>
        <v>24.828306178210184</v>
      </c>
      <c r="AZ181" s="37">
        <f>STANDARDIZE(AY181,AVERAGE($AY$5:$AY$1116),STDEVP($AY$5:$AY$1116))</f>
        <v>-0.72185571532357973</v>
      </c>
      <c r="BA181" t="str">
        <f>IF(OR(AND(AQ181&gt;7,AW181&gt;1),AND(AQ181&gt;4,AV181&gt;2)),"SP","RP")</f>
        <v>SP</v>
      </c>
      <c r="BC181">
        <f>VLOOKUP($A181,'Draft List'!$A$4:$V$530,22,FALSE)</f>
        <v>0</v>
      </c>
      <c r="BE181" t="str">
        <f>IF(AVERAGE($O181:$Q181)&gt;=6,"Likely",IF(AVERAGE($O181:$Q181)&gt;=4,"Possible","Unlikely"))</f>
        <v>Unlikely</v>
      </c>
      <c r="BG181" t="str">
        <f>IF(VLOOKUP($B181,'Draft List'!$D$4:$AB$2598,BG$3,FALSE)&lt;&gt;0,VLOOKUP($B181,'Draft List'!$D$4:$AB$2598,BG$3,FALSE),"")</f>
        <v/>
      </c>
      <c r="BH181" t="str">
        <f>IF(VLOOKUP($B181,'Draft List'!$D$4:$AB$2598,BH$3,FALSE)&lt;&gt;0,VLOOKUP($B181,'Draft List'!$D$4:$AB$2598,BH$3,FALSE),"")</f>
        <v/>
      </c>
      <c r="BI181" t="str">
        <f>IF(VLOOKUP($B181,'Draft List'!$D$4:$AB$2598,BI$3,FALSE)&lt;&gt;0,VLOOKUP($B181,'Draft List'!$D$4:$AB$2598,BI$3,FALSE),"")</f>
        <v/>
      </c>
      <c r="BJ181" t="str">
        <f>IF(OR(C181="SP",C181="MR",C181="CL"),"P",VLOOKUP($A181,Bat!$A$4:$AP$1287,42,FALSE))</f>
        <v>P</v>
      </c>
    </row>
    <row r="182" spans="1:62">
      <c r="A182" t="str">
        <f>C182&amp;D182&amp;E182</f>
        <v>SPFred Thomas23</v>
      </c>
      <c r="B182">
        <f>VLOOKUP($A182,draft_listing_pitchers_stats!$A$1:$B$1324,2,FALSE)</f>
        <v>1813</v>
      </c>
      <c r="C182" s="1" t="s">
        <v>2003</v>
      </c>
      <c r="D182" s="1" t="s">
        <v>2076</v>
      </c>
      <c r="E182" s="1">
        <v>23</v>
      </c>
      <c r="F182" s="1" t="s">
        <v>2038</v>
      </c>
      <c r="G182" s="1" t="s">
        <v>2038</v>
      </c>
      <c r="H182" s="1" t="s">
        <v>2033</v>
      </c>
      <c r="I182" s="31" t="s">
        <v>2033</v>
      </c>
      <c r="J182" s="1" t="s">
        <v>2025</v>
      </c>
      <c r="K182" s="31" t="s">
        <v>2026</v>
      </c>
      <c r="L182" s="1">
        <v>3</v>
      </c>
      <c r="M182" s="1">
        <v>4</v>
      </c>
      <c r="N182" s="31">
        <v>2</v>
      </c>
      <c r="O182" s="1">
        <v>4</v>
      </c>
      <c r="P182" s="1">
        <v>5</v>
      </c>
      <c r="Q182" s="31">
        <v>3</v>
      </c>
      <c r="R182" s="1">
        <v>4</v>
      </c>
      <c r="S182" s="1">
        <v>5</v>
      </c>
      <c r="T182" s="1">
        <v>2</v>
      </c>
      <c r="U182" s="1">
        <v>5</v>
      </c>
      <c r="V182" s="1" t="s">
        <v>2027</v>
      </c>
      <c r="W182" s="1" t="s">
        <v>2027</v>
      </c>
      <c r="X182" s="1">
        <v>4</v>
      </c>
      <c r="Y182" s="1">
        <v>5</v>
      </c>
      <c r="Z182" s="1" t="s">
        <v>2027</v>
      </c>
      <c r="AA182" s="1" t="s">
        <v>2027</v>
      </c>
      <c r="AB182" s="1" t="s">
        <v>2027</v>
      </c>
      <c r="AC182" s="1" t="s">
        <v>2027</v>
      </c>
      <c r="AD182" s="1" t="s">
        <v>2027</v>
      </c>
      <c r="AE182" s="1" t="s">
        <v>2027</v>
      </c>
      <c r="AF182" s="1" t="s">
        <v>2027</v>
      </c>
      <c r="AG182" s="1" t="s">
        <v>2027</v>
      </c>
      <c r="AH182" s="1" t="s">
        <v>2027</v>
      </c>
      <c r="AI182" s="1" t="s">
        <v>2027</v>
      </c>
      <c r="AJ182" s="1" t="s">
        <v>2027</v>
      </c>
      <c r="AK182" s="1" t="s">
        <v>2027</v>
      </c>
      <c r="AL182" s="1" t="s">
        <v>2027</v>
      </c>
      <c r="AM182" s="1" t="s">
        <v>2027</v>
      </c>
      <c r="AN182" s="1" t="s">
        <v>2027</v>
      </c>
      <c r="AO182" s="31" t="s">
        <v>2027</v>
      </c>
      <c r="AP182" s="1" t="s">
        <v>2042</v>
      </c>
      <c r="AQ182" s="1">
        <v>6</v>
      </c>
      <c r="AR182" s="32">
        <v>0.37</v>
      </c>
      <c r="AS182" s="45">
        <v>3000000</v>
      </c>
      <c r="AT182" s="9">
        <f>($O$3*(L182-$O$1)/$O$2+$P$3*(M182-$P$1)/$P$2+$Q$3*(N182-$P$1)/$Q$2)/SUM($O$3:$Q$3)</f>
        <v>-1.4834858736049745</v>
      </c>
      <c r="AU182" s="9">
        <f>($O$3*(O182-$O$1)/$O$2+$P$3*(P182-$P$1)/$P$2+$Q$3*(Q182-$Q$1)/$Q$2)/SUM($O$3:$Q$3)</f>
        <v>-0.40554751587456339</v>
      </c>
      <c r="AV182">
        <f>COUNT(R182:AO182)/2</f>
        <v>3</v>
      </c>
      <c r="AW182">
        <f>COUNTIF(R182:AO182,"&gt;5")/2</f>
        <v>0</v>
      </c>
      <c r="AX182" s="6">
        <f>VLOOKUP(AP182,COND!$A$10:$B$31,2,FALSE)</f>
        <v>1</v>
      </c>
      <c r="AY182" s="9">
        <f>($AT$3*AT182+$AU$3*AU182+$AV$3*AV182+$AW$3*AW182)*AX182*IF(AQ182&lt;5,0.95,IF(AQ182&lt;7,0.975,1))+$J$3*VLOOKUP(J182,[1]Con!$A$2:$C$7,2,FALSE)+$K$3*VLOOKUP(K182,[1]Con!$A$2:$C$7,3,FALSE)+IF(BA182="SP",$BA$3,0)</f>
        <v>24.515043695093045</v>
      </c>
      <c r="AZ182" s="37">
        <f>STANDARDIZE(AY182,AVERAGE($AY$5:$AY$1116),STDEVP($AY$5:$AY$1116))</f>
        <v>-0.74672454008703804</v>
      </c>
      <c r="BA182" t="str">
        <f>IF(OR(AND(AQ182&gt;7,AW182&gt;1),AND(AQ182&gt;4,AV182&gt;2)),"SP","RP")</f>
        <v>SP</v>
      </c>
      <c r="BC182">
        <f>VLOOKUP($A182,'Draft List'!$A$4:$V$530,22,FALSE)</f>
        <v>0</v>
      </c>
      <c r="BD182" t="s">
        <v>160</v>
      </c>
      <c r="BE182" t="str">
        <f>IF(AVERAGE($O182:$Q182)&gt;=6,"Likely",IF(AVERAGE($O182:$Q182)&gt;=4,"Possible","Unlikely"))</f>
        <v>Possible</v>
      </c>
      <c r="BG182" t="str">
        <f>IF(VLOOKUP($B182,'Draft List'!$D$4:$AB$2598,BG$3,FALSE)&lt;&gt;0,VLOOKUP($B182,'Draft List'!$D$4:$AB$2598,BG$3,FALSE),"")</f>
        <v/>
      </c>
      <c r="BH182" t="str">
        <f>IF(VLOOKUP($B182,'Draft List'!$D$4:$AB$2598,BH$3,FALSE)&lt;&gt;0,VLOOKUP($B182,'Draft List'!$D$4:$AB$2598,BH$3,FALSE),"")</f>
        <v/>
      </c>
      <c r="BI182" t="str">
        <f>IF(VLOOKUP($B182,'Draft List'!$D$4:$AB$2598,BI$3,FALSE)&lt;&gt;0,VLOOKUP($B182,'Draft List'!$D$4:$AB$2598,BI$3,FALSE),"")</f>
        <v/>
      </c>
      <c r="BJ182" t="str">
        <f>IF(OR(C182="SP",C182="MR",C182="CL"),"P",VLOOKUP($A182,Bat!$A$4:$AP$1287,42,FALSE))</f>
        <v>P</v>
      </c>
    </row>
    <row r="183" spans="1:62">
      <c r="A183" t="str">
        <f>C183&amp;D183&amp;E183</f>
        <v>MRCary Johnson18</v>
      </c>
      <c r="B183">
        <f>VLOOKUP($A183,draft_listing_pitchers_stats!$A$1:$B$1324,2,FALSE)</f>
        <v>1371</v>
      </c>
      <c r="C183" s="1" t="s">
        <v>2021</v>
      </c>
      <c r="D183" s="1" t="s">
        <v>1009</v>
      </c>
      <c r="E183" s="1">
        <v>18</v>
      </c>
      <c r="F183" s="1" t="s">
        <v>2022</v>
      </c>
      <c r="G183" s="1" t="s">
        <v>2038</v>
      </c>
      <c r="H183" s="1" t="s">
        <v>2033</v>
      </c>
      <c r="I183" s="31" t="s">
        <v>2033</v>
      </c>
      <c r="J183" s="1" t="s">
        <v>2025</v>
      </c>
      <c r="K183" s="31" t="s">
        <v>2040</v>
      </c>
      <c r="L183" s="1">
        <v>3</v>
      </c>
      <c r="M183" s="1">
        <v>4</v>
      </c>
      <c r="N183" s="31">
        <v>1</v>
      </c>
      <c r="O183" s="1">
        <v>5</v>
      </c>
      <c r="P183" s="1">
        <v>4</v>
      </c>
      <c r="Q183" s="31">
        <v>4</v>
      </c>
      <c r="R183" s="1">
        <v>3</v>
      </c>
      <c r="S183" s="1">
        <v>5</v>
      </c>
      <c r="T183" s="1" t="s">
        <v>2027</v>
      </c>
      <c r="U183" s="1" t="s">
        <v>2027</v>
      </c>
      <c r="V183" s="1" t="s">
        <v>2027</v>
      </c>
      <c r="W183" s="1" t="s">
        <v>2027</v>
      </c>
      <c r="X183" s="1">
        <v>2</v>
      </c>
      <c r="Y183" s="1">
        <v>5</v>
      </c>
      <c r="Z183" s="1" t="s">
        <v>2027</v>
      </c>
      <c r="AA183" s="1" t="s">
        <v>2027</v>
      </c>
      <c r="AB183" s="1" t="s">
        <v>2027</v>
      </c>
      <c r="AC183" s="1" t="s">
        <v>2027</v>
      </c>
      <c r="AD183" s="1" t="s">
        <v>2027</v>
      </c>
      <c r="AE183" s="1" t="s">
        <v>2027</v>
      </c>
      <c r="AF183" s="1" t="s">
        <v>2027</v>
      </c>
      <c r="AG183" s="1" t="s">
        <v>2027</v>
      </c>
      <c r="AH183" s="1" t="s">
        <v>2027</v>
      </c>
      <c r="AI183" s="1" t="s">
        <v>2027</v>
      </c>
      <c r="AJ183" s="1" t="s">
        <v>2027</v>
      </c>
      <c r="AK183" s="1" t="s">
        <v>2027</v>
      </c>
      <c r="AL183" s="1" t="s">
        <v>2027</v>
      </c>
      <c r="AM183" s="1" t="s">
        <v>2027</v>
      </c>
      <c r="AN183" s="1" t="s">
        <v>2027</v>
      </c>
      <c r="AO183" s="31" t="s">
        <v>2027</v>
      </c>
      <c r="AP183" s="1" t="s">
        <v>2060</v>
      </c>
      <c r="AQ183" s="1">
        <v>7</v>
      </c>
      <c r="AR183" s="32">
        <v>0.52</v>
      </c>
      <c r="AS183" s="45" t="s">
        <v>2029</v>
      </c>
      <c r="AT183" s="9">
        <f>($O$3*(L183-$O$1)/$O$2+$P$3*(M183-$P$1)/$P$2+$Q$3*(N183-$P$1)/$Q$2)/SUM($O$3:$Q$3)</f>
        <v>-1.7258064396590846</v>
      </c>
      <c r="AU183" s="9">
        <f>($O$3*(O183-$O$1)/$O$2+$P$3*(P183-$P$1)/$P$2+$Q$3*(Q183-$Q$1)/$Q$2)/SUM($O$3:$Q$3)</f>
        <v>-0.16396734174133493</v>
      </c>
      <c r="AV183">
        <f>COUNT(R183:AO183)/2</f>
        <v>2</v>
      </c>
      <c r="AW183">
        <f>COUNTIF(R183:AO183,"&gt;5")/2</f>
        <v>0</v>
      </c>
      <c r="AX183" s="6">
        <f>VLOOKUP(AP183,COND!$A$10:$B$31,2,FALSE)</f>
        <v>0.95</v>
      </c>
      <c r="AY183" s="9">
        <f>($AT$3*AT183+$AU$3*AU183+$AV$3*AV183+$AW$3*AW183)*AX183*IF(AQ183&lt;5,0.95,IF(AQ183&lt;7,0.975,1))+$J$3*VLOOKUP(J183,[1]Con!$A$2:$C$7,2,FALSE)+$K$3*VLOOKUP(K183,[1]Con!$A$2:$C$7,3,FALSE)+IF(BA183="SP",$BA$3,0)</f>
        <v>24.506717283379409</v>
      </c>
      <c r="AZ183" s="37">
        <f>STANDARDIZE(AY183,AVERAGE($AY$5:$AY$1116),STDEVP($AY$5:$AY$1116))</f>
        <v>-0.74738554510670829</v>
      </c>
      <c r="BA183" t="str">
        <f>IF(OR(AND(AQ183&gt;7,AW183&gt;1),AND(AQ183&gt;4,AV183&gt;2)),"SP","RP")</f>
        <v>RP</v>
      </c>
      <c r="BC183">
        <f>VLOOKUP($A183,'Draft List'!$A$4:$V$530,22,FALSE)</f>
        <v>0</v>
      </c>
      <c r="BE183" t="str">
        <f>IF(AVERAGE($O183:$Q183)&gt;=6,"Likely",IF(AVERAGE($O183:$Q183)&gt;=4,"Possible","Unlikely"))</f>
        <v>Possible</v>
      </c>
      <c r="BG183" t="str">
        <f>IF(VLOOKUP($B183,'Draft List'!$D$4:$AB$2598,BG$3,FALSE)&lt;&gt;0,VLOOKUP($B183,'Draft List'!$D$4:$AB$2598,BG$3,FALSE),"")</f>
        <v/>
      </c>
      <c r="BH183" t="str">
        <f>IF(VLOOKUP($B183,'Draft List'!$D$4:$AB$2598,BH$3,FALSE)&lt;&gt;0,VLOOKUP($B183,'Draft List'!$D$4:$AB$2598,BH$3,FALSE),"")</f>
        <v/>
      </c>
      <c r="BI183" t="str">
        <f>IF(VLOOKUP($B183,'Draft List'!$D$4:$AB$2598,BI$3,FALSE)&lt;&gt;0,VLOOKUP($B183,'Draft List'!$D$4:$AB$2598,BI$3,FALSE),"")</f>
        <v/>
      </c>
      <c r="BJ183" t="str">
        <f>IF(OR(C183="SP",C183="MR",C183="CL"),"P",VLOOKUP($A183,Bat!$A$4:$AP$1287,42,FALSE))</f>
        <v>P</v>
      </c>
    </row>
    <row r="184" spans="1:62">
      <c r="A184" t="str">
        <f>C184&amp;D184&amp;E184</f>
        <v>SPJason Thomas18</v>
      </c>
      <c r="B184">
        <f>VLOOKUP($A184,draft_listing_pitchers_stats!$A$1:$B$1324,2,FALSE)</f>
        <v>13844</v>
      </c>
      <c r="C184" s="1" t="s">
        <v>2003</v>
      </c>
      <c r="D184" s="1" t="s">
        <v>1060</v>
      </c>
      <c r="E184" s="1">
        <v>18</v>
      </c>
      <c r="F184" s="1" t="s">
        <v>2022</v>
      </c>
      <c r="G184" s="1" t="s">
        <v>2022</v>
      </c>
      <c r="H184" s="1" t="s">
        <v>2033</v>
      </c>
      <c r="I184" s="31" t="s">
        <v>2033</v>
      </c>
      <c r="J184" s="1" t="s">
        <v>2040</v>
      </c>
      <c r="K184" s="31" t="s">
        <v>2040</v>
      </c>
      <c r="L184" s="1">
        <v>2</v>
      </c>
      <c r="M184" s="1">
        <v>4</v>
      </c>
      <c r="N184" s="31">
        <v>1</v>
      </c>
      <c r="O184" s="1">
        <v>5</v>
      </c>
      <c r="P184" s="1">
        <v>4</v>
      </c>
      <c r="Q184" s="31">
        <v>4</v>
      </c>
      <c r="R184" s="1">
        <v>4</v>
      </c>
      <c r="S184" s="1">
        <v>6</v>
      </c>
      <c r="T184" s="1">
        <v>1</v>
      </c>
      <c r="U184" s="1">
        <v>5</v>
      </c>
      <c r="V184" s="1" t="s">
        <v>2027</v>
      </c>
      <c r="W184" s="1" t="s">
        <v>2027</v>
      </c>
      <c r="X184" s="1">
        <v>2</v>
      </c>
      <c r="Y184" s="1">
        <v>5</v>
      </c>
      <c r="Z184" s="1" t="s">
        <v>2027</v>
      </c>
      <c r="AA184" s="1" t="s">
        <v>2027</v>
      </c>
      <c r="AB184" s="1" t="s">
        <v>2027</v>
      </c>
      <c r="AC184" s="1" t="s">
        <v>2027</v>
      </c>
      <c r="AD184" s="1" t="s">
        <v>2027</v>
      </c>
      <c r="AE184" s="1" t="s">
        <v>2027</v>
      </c>
      <c r="AF184" s="1" t="s">
        <v>2027</v>
      </c>
      <c r="AG184" s="1" t="s">
        <v>2027</v>
      </c>
      <c r="AH184" s="1" t="s">
        <v>2027</v>
      </c>
      <c r="AI184" s="1" t="s">
        <v>2027</v>
      </c>
      <c r="AJ184" s="1" t="s">
        <v>2027</v>
      </c>
      <c r="AK184" s="1" t="s">
        <v>2027</v>
      </c>
      <c r="AL184" s="1" t="s">
        <v>2027</v>
      </c>
      <c r="AM184" s="1" t="s">
        <v>2027</v>
      </c>
      <c r="AN184" s="1" t="s">
        <v>2027</v>
      </c>
      <c r="AO184" s="31" t="s">
        <v>2027</v>
      </c>
      <c r="AP184" s="1" t="s">
        <v>2041</v>
      </c>
      <c r="AQ184" s="1">
        <v>7</v>
      </c>
      <c r="AR184" s="32">
        <v>0.46</v>
      </c>
      <c r="AS184" s="45" t="s">
        <v>2029</v>
      </c>
      <c r="AT184" s="9">
        <f>($O$3*(L184-$O$1)/$O$2+$P$3*(M184-$P$1)/$P$2+$Q$3*(N184-$P$1)/$Q$2)/SUM($O$3:$Q$3)</f>
        <v>-1.9204977641682581</v>
      </c>
      <c r="AU184" s="9">
        <f>($O$3*(O184-$O$1)/$O$2+$P$3*(P184-$P$1)/$P$2+$Q$3*(Q184-$Q$1)/$Q$2)/SUM($O$3:$Q$3)</f>
        <v>-0.16396734174133493</v>
      </c>
      <c r="AV184">
        <f>COUNT(R184:AO184)/2</f>
        <v>3</v>
      </c>
      <c r="AW184">
        <f>COUNTIF(R184:AO184,"&gt;5")/2</f>
        <v>0.5</v>
      </c>
      <c r="AX184" s="6">
        <f>VLOOKUP(AP184,COND!$A$10:$B$31,2,FALSE)</f>
        <v>1</v>
      </c>
      <c r="AY184" s="9">
        <f>($AT$3*AT184+$AU$3*AU184+$AV$3*AV184+$AW$3*AW184)*AX184*IF(AQ184&lt;5,0.95,IF(AQ184&lt;7,0.975,1))+$J$3*VLOOKUP(J184,[1]Con!$A$2:$C$7,2,FALSE)+$K$3*VLOOKUP(K184,[1]Con!$A$2:$C$7,3,FALSE)+IF(BA184="SP",$BA$3,0)</f>
        <v>24.46155361233965</v>
      </c>
      <c r="AZ184" s="37">
        <f>STANDARDIZE(AY184,AVERAGE($AY$5:$AY$1116),STDEVP($AY$5:$AY$1116))</f>
        <v>-0.75097093270111837</v>
      </c>
      <c r="BA184" t="str">
        <f>IF(OR(AND(AQ184&gt;7,AW184&gt;1),AND(AQ184&gt;4,AV184&gt;2)),"SP","RP")</f>
        <v>SP</v>
      </c>
      <c r="BC184">
        <f>VLOOKUP($A184,'Draft List'!$A$4:$V$530,22,FALSE)</f>
        <v>0</v>
      </c>
      <c r="BE184" t="str">
        <f>IF(AVERAGE($O184:$Q184)&gt;=6,"Likely",IF(AVERAGE($O184:$Q184)&gt;=4,"Possible","Unlikely"))</f>
        <v>Possible</v>
      </c>
      <c r="BG184" t="str">
        <f>IF(VLOOKUP($B184,'Draft List'!$D$4:$AB$2598,BG$3,FALSE)&lt;&gt;0,VLOOKUP($B184,'Draft List'!$D$4:$AB$2598,BG$3,FALSE),"")</f>
        <v/>
      </c>
      <c r="BH184" t="str">
        <f>IF(VLOOKUP($B184,'Draft List'!$D$4:$AB$2598,BH$3,FALSE)&lt;&gt;0,VLOOKUP($B184,'Draft List'!$D$4:$AB$2598,BH$3,FALSE),"")</f>
        <v/>
      </c>
      <c r="BI184" t="str">
        <f>IF(VLOOKUP($B184,'Draft List'!$D$4:$AB$2598,BI$3,FALSE)&lt;&gt;0,VLOOKUP($B184,'Draft List'!$D$4:$AB$2598,BI$3,FALSE),"")</f>
        <v/>
      </c>
      <c r="BJ184" t="str">
        <f>IF(OR(C184="SP",C184="MR",C184="CL"),"P",VLOOKUP($A184,Bat!$A$4:$AP$1287,42,FALSE))</f>
        <v>P</v>
      </c>
    </row>
    <row r="185" spans="1:62">
      <c r="A185" t="str">
        <f>C185&amp;D185&amp;E185</f>
        <v>MRRoger Bruce18</v>
      </c>
      <c r="B185">
        <f>VLOOKUP($A185,draft_listing_pitchers_stats!$A$1:$B$1324,2,FALSE)</f>
        <v>13851</v>
      </c>
      <c r="C185" s="1" t="s">
        <v>2021</v>
      </c>
      <c r="D185" s="1" t="s">
        <v>1178</v>
      </c>
      <c r="E185" s="1">
        <v>18</v>
      </c>
      <c r="F185" s="1" t="s">
        <v>2038</v>
      </c>
      <c r="G185" s="1" t="s">
        <v>2022</v>
      </c>
      <c r="H185" s="1" t="s">
        <v>2033</v>
      </c>
      <c r="I185" s="31" t="s">
        <v>2033</v>
      </c>
      <c r="J185" s="1" t="s">
        <v>2040</v>
      </c>
      <c r="K185" s="31" t="s">
        <v>2025</v>
      </c>
      <c r="L185" s="1">
        <v>3</v>
      </c>
      <c r="M185" s="1">
        <v>3</v>
      </c>
      <c r="N185" s="31">
        <v>1</v>
      </c>
      <c r="O185" s="1">
        <v>4</v>
      </c>
      <c r="P185" s="1">
        <v>3</v>
      </c>
      <c r="Q185" s="31">
        <v>5</v>
      </c>
      <c r="R185" s="1">
        <v>3</v>
      </c>
      <c r="S185" s="1">
        <v>4</v>
      </c>
      <c r="T185" s="1">
        <v>1</v>
      </c>
      <c r="U185" s="1">
        <v>5</v>
      </c>
      <c r="V185" s="1">
        <v>2</v>
      </c>
      <c r="W185" s="1">
        <v>2</v>
      </c>
      <c r="X185" s="1">
        <v>2</v>
      </c>
      <c r="Y185" s="1">
        <v>4</v>
      </c>
      <c r="Z185" s="1" t="s">
        <v>2027</v>
      </c>
      <c r="AA185" s="1" t="s">
        <v>2027</v>
      </c>
      <c r="AB185" s="1" t="s">
        <v>2027</v>
      </c>
      <c r="AC185" s="1" t="s">
        <v>2027</v>
      </c>
      <c r="AD185" s="1" t="s">
        <v>2027</v>
      </c>
      <c r="AE185" s="1" t="s">
        <v>2027</v>
      </c>
      <c r="AF185" s="1" t="s">
        <v>2027</v>
      </c>
      <c r="AG185" s="1" t="s">
        <v>2027</v>
      </c>
      <c r="AH185" s="1" t="s">
        <v>2027</v>
      </c>
      <c r="AI185" s="1" t="s">
        <v>2027</v>
      </c>
      <c r="AJ185" s="1" t="s">
        <v>2027</v>
      </c>
      <c r="AK185" s="1" t="s">
        <v>2027</v>
      </c>
      <c r="AL185" s="1" t="s">
        <v>2027</v>
      </c>
      <c r="AM185" s="1" t="s">
        <v>2027</v>
      </c>
      <c r="AN185" s="1" t="s">
        <v>2027</v>
      </c>
      <c r="AO185" s="31" t="s">
        <v>2027</v>
      </c>
      <c r="AP185" s="1" t="s">
        <v>2054</v>
      </c>
      <c r="AQ185" s="1">
        <v>7</v>
      </c>
      <c r="AR185" s="32">
        <v>0.42</v>
      </c>
      <c r="AS185" s="45" t="s">
        <v>2029</v>
      </c>
      <c r="AT185" s="9">
        <f>($O$3*(L185-$O$1)/$O$2+$P$3*(M185-$P$1)/$P$2+$Q$3*(N185-$P$1)/$Q$2)/SUM($O$3:$Q$3)</f>
        <v>-1.9212381560891401</v>
      </c>
      <c r="AU185" s="9">
        <f>($O$3*(O185-$O$1)/$O$2+$P$3*(P185-$P$1)/$P$2+$Q$3*(Q185-$Q$1)/$Q$2)/SUM($O$3:$Q$3)</f>
        <v>-0.31176981662645348</v>
      </c>
      <c r="AV185">
        <f>COUNT(R185:AO185)/2</f>
        <v>4</v>
      </c>
      <c r="AW185">
        <f>COUNTIF(R185:AO185,"&gt;5")/2</f>
        <v>0</v>
      </c>
      <c r="AX185" s="6">
        <f>VLOOKUP(AP185,COND!$A$10:$B$31,2,FALSE)</f>
        <v>1</v>
      </c>
      <c r="AY185" s="9">
        <f>($AT$3*AT185+$AU$3*AU185+$AV$3*AV185+$AW$3*AW185)*AX185*IF(AQ185&lt;5,0.95,IF(AQ185&lt;7,0.975,1))+$J$3*VLOOKUP(J185,[1]Con!$A$2:$C$7,2,FALSE)+$K$3*VLOOKUP(K185,[1]Con!$A$2:$C$7,3,FALSE)+IF(BA185="SP",$BA$3,0)</f>
        <v>24.380356036253104</v>
      </c>
      <c r="AZ185" s="37">
        <f>STANDARDIZE(AY185,AVERAGE($AY$5:$AY$1116),STDEVP($AY$5:$AY$1116))</f>
        <v>-0.7574169273533371</v>
      </c>
      <c r="BA185" t="str">
        <f>IF(OR(AND(AQ185&gt;7,AW185&gt;1),AND(AQ185&gt;4,AV185&gt;2)),"SP","RP")</f>
        <v>SP</v>
      </c>
      <c r="BC185">
        <f>VLOOKUP($A185,'Draft List'!$A$4:$V$530,22,FALSE)</f>
        <v>0</v>
      </c>
      <c r="BE185" t="str">
        <f>IF(AVERAGE($O185:$Q185)&gt;=6,"Likely",IF(AVERAGE($O185:$Q185)&gt;=4,"Possible","Unlikely"))</f>
        <v>Possible</v>
      </c>
      <c r="BG185" t="str">
        <f>IF(VLOOKUP($B185,'Draft List'!$D$4:$AB$2598,BG$3,FALSE)&lt;&gt;0,VLOOKUP($B185,'Draft List'!$D$4:$AB$2598,BG$3,FALSE),"")</f>
        <v/>
      </c>
      <c r="BH185" t="str">
        <f>IF(VLOOKUP($B185,'Draft List'!$D$4:$AB$2598,BH$3,FALSE)&lt;&gt;0,VLOOKUP($B185,'Draft List'!$D$4:$AB$2598,BH$3,FALSE),"")</f>
        <v/>
      </c>
      <c r="BI185" t="str">
        <f>IF(VLOOKUP($B185,'Draft List'!$D$4:$AB$2598,BI$3,FALSE)&lt;&gt;0,VLOOKUP($B185,'Draft List'!$D$4:$AB$2598,BI$3,FALSE),"")</f>
        <v/>
      </c>
      <c r="BJ185" t="str">
        <f>IF(OR(C185="SP",C185="MR",C185="CL"),"P",VLOOKUP($A185,Bat!$A$4:$AP$1287,42,FALSE))</f>
        <v>P</v>
      </c>
    </row>
    <row r="186" spans="1:62">
      <c r="A186" t="str">
        <f>C186&amp;D186&amp;E186</f>
        <v>MRAlfred Thomas21</v>
      </c>
      <c r="B186">
        <f>VLOOKUP($A186,draft_listing_pitchers_stats!$A$1:$B$1324,2,FALSE)</f>
        <v>5942</v>
      </c>
      <c r="C186" s="1" t="s">
        <v>2021</v>
      </c>
      <c r="D186" s="1" t="s">
        <v>1059</v>
      </c>
      <c r="E186" s="1">
        <v>21</v>
      </c>
      <c r="F186" s="1" t="s">
        <v>2038</v>
      </c>
      <c r="G186" s="1" t="s">
        <v>2038</v>
      </c>
      <c r="H186" s="1" t="s">
        <v>2033</v>
      </c>
      <c r="I186" s="31" t="s">
        <v>2033</v>
      </c>
      <c r="J186" s="1" t="s">
        <v>2040</v>
      </c>
      <c r="K186" s="31" t="s">
        <v>2030</v>
      </c>
      <c r="L186" s="1">
        <v>4</v>
      </c>
      <c r="M186" s="1">
        <v>4</v>
      </c>
      <c r="N186" s="31">
        <v>2</v>
      </c>
      <c r="O186" s="1">
        <v>5</v>
      </c>
      <c r="P186" s="1">
        <v>4</v>
      </c>
      <c r="Q186" s="31">
        <v>3</v>
      </c>
      <c r="R186" s="1">
        <v>5</v>
      </c>
      <c r="S186" s="1">
        <v>6</v>
      </c>
      <c r="T186" s="1">
        <v>1</v>
      </c>
      <c r="U186" s="1">
        <v>1</v>
      </c>
      <c r="V186" s="1" t="s">
        <v>2027</v>
      </c>
      <c r="W186" s="1" t="s">
        <v>2027</v>
      </c>
      <c r="X186" s="1">
        <v>4</v>
      </c>
      <c r="Y186" s="1">
        <v>6</v>
      </c>
      <c r="Z186" s="1" t="s">
        <v>2027</v>
      </c>
      <c r="AA186" s="1" t="s">
        <v>2027</v>
      </c>
      <c r="AB186" s="1" t="s">
        <v>2027</v>
      </c>
      <c r="AC186" s="1" t="s">
        <v>2027</v>
      </c>
      <c r="AD186" s="1" t="s">
        <v>2027</v>
      </c>
      <c r="AE186" s="1" t="s">
        <v>2027</v>
      </c>
      <c r="AF186" s="1" t="s">
        <v>2027</v>
      </c>
      <c r="AG186" s="1" t="s">
        <v>2027</v>
      </c>
      <c r="AH186" s="1" t="s">
        <v>2027</v>
      </c>
      <c r="AI186" s="1" t="s">
        <v>2027</v>
      </c>
      <c r="AJ186" s="1" t="s">
        <v>2027</v>
      </c>
      <c r="AK186" s="1" t="s">
        <v>2027</v>
      </c>
      <c r="AL186" s="1" t="s">
        <v>2027</v>
      </c>
      <c r="AM186" s="1" t="s">
        <v>2027</v>
      </c>
      <c r="AN186" s="1" t="s">
        <v>2027</v>
      </c>
      <c r="AO186" s="31" t="s">
        <v>2027</v>
      </c>
      <c r="AP186" s="1" t="s">
        <v>2044</v>
      </c>
      <c r="AQ186" s="1">
        <v>5</v>
      </c>
      <c r="AR186" s="32">
        <v>0.42</v>
      </c>
      <c r="AS186" s="45" t="s">
        <v>2029</v>
      </c>
      <c r="AT186" s="9">
        <f>($O$3*(L186-$O$1)/$O$2+$P$3*(M186-$P$1)/$P$2+$Q$3*(N186-$P$1)/$Q$2)/SUM($O$3:$Q$3)</f>
        <v>-1.288794549095801</v>
      </c>
      <c r="AU186" s="9">
        <f>($O$3*(O186-$O$1)/$O$2+$P$3*(P186-$P$1)/$P$2+$Q$3*(Q186-$Q$1)/$Q$2)/SUM($O$3:$Q$3)</f>
        <v>-0.40628790779544532</v>
      </c>
      <c r="AV186">
        <f>COUNT(R186:AO186)/2</f>
        <v>3</v>
      </c>
      <c r="AW186">
        <f>COUNTIF(R186:AO186,"&gt;5")/2</f>
        <v>1</v>
      </c>
      <c r="AX186" s="6">
        <f>VLOOKUP(AP186,COND!$A$10:$B$31,2,FALSE)</f>
        <v>1</v>
      </c>
      <c r="AY186" s="9">
        <f>($AT$3*AT186+$AU$3*AU186+$AV$3*AV186+$AW$3*AW186)*AX186*IF(AQ186&lt;5,0.95,IF(AQ186&lt;7,0.975,1))+$J$3*VLOOKUP(J186,[1]Con!$A$2:$C$7,2,FALSE)+$K$3*VLOOKUP(K186,[1]Con!$A$2:$C$7,3,FALSE)+IF(BA186="SP",$BA$3,0)</f>
        <v>24.257320860915137</v>
      </c>
      <c r="AZ186" s="37">
        <f>STANDARDIZE(AY186,AVERAGE($AY$5:$AY$1116),STDEVP($AY$5:$AY$1116))</f>
        <v>-0.76718426426765629</v>
      </c>
      <c r="BA186" t="str">
        <f>IF(OR(AND(AQ186&gt;7,AW186&gt;1),AND(AQ186&gt;4,AV186&gt;2)),"SP","RP")</f>
        <v>SP</v>
      </c>
      <c r="BC186">
        <f>VLOOKUP($A186,'Draft List'!$A$4:$V$530,22,FALSE)</f>
        <v>0</v>
      </c>
      <c r="BE186" t="str">
        <f>IF(AVERAGE($O186:$Q186)&gt;=6,"Likely",IF(AVERAGE($O186:$Q186)&gt;=4,"Possible","Unlikely"))</f>
        <v>Possible</v>
      </c>
      <c r="BG186" t="str">
        <f>IF(VLOOKUP($B186,'Draft List'!$D$4:$AB$2598,BG$3,FALSE)&lt;&gt;0,VLOOKUP($B186,'Draft List'!$D$4:$AB$2598,BG$3,FALSE),"")</f>
        <v/>
      </c>
      <c r="BH186" t="str">
        <f>IF(VLOOKUP($B186,'Draft List'!$D$4:$AB$2598,BH$3,FALSE)&lt;&gt;0,VLOOKUP($B186,'Draft List'!$D$4:$AB$2598,BH$3,FALSE),"")</f>
        <v/>
      </c>
      <c r="BI186" t="str">
        <f>IF(VLOOKUP($B186,'Draft List'!$D$4:$AB$2598,BI$3,FALSE)&lt;&gt;0,VLOOKUP($B186,'Draft List'!$D$4:$AB$2598,BI$3,FALSE),"")</f>
        <v/>
      </c>
      <c r="BJ186" t="str">
        <f>IF(OR(C186="SP",C186="MR",C186="CL"),"P",VLOOKUP($A186,Bat!$A$4:$AP$1287,42,FALSE))</f>
        <v>P</v>
      </c>
    </row>
    <row r="187" spans="1:62">
      <c r="A187" t="str">
        <f>C187&amp;D187&amp;E187</f>
        <v>MRRoberto Hernández18</v>
      </c>
      <c r="B187">
        <f>VLOOKUP($A187,draft_listing_pitchers_stats!$A$1:$B$1324,2,FALSE)</f>
        <v>13747</v>
      </c>
      <c r="C187" s="1" t="s">
        <v>2021</v>
      </c>
      <c r="D187" s="1" t="s">
        <v>1003</v>
      </c>
      <c r="E187" s="1">
        <v>18</v>
      </c>
      <c r="F187" s="1" t="s">
        <v>2038</v>
      </c>
      <c r="G187" s="1" t="s">
        <v>2038</v>
      </c>
      <c r="H187" s="1" t="s">
        <v>2033</v>
      </c>
      <c r="I187" s="31" t="s">
        <v>2033</v>
      </c>
      <c r="J187" s="1" t="s">
        <v>2040</v>
      </c>
      <c r="K187" s="31" t="s">
        <v>2036</v>
      </c>
      <c r="L187" s="1">
        <v>3</v>
      </c>
      <c r="M187" s="1">
        <v>4</v>
      </c>
      <c r="N187" s="31">
        <v>1</v>
      </c>
      <c r="O187" s="1">
        <v>4</v>
      </c>
      <c r="P187" s="1">
        <v>4</v>
      </c>
      <c r="Q187" s="31">
        <v>4</v>
      </c>
      <c r="R187" s="1">
        <v>4</v>
      </c>
      <c r="S187" s="1">
        <v>4</v>
      </c>
      <c r="T187" s="1">
        <v>1</v>
      </c>
      <c r="U187" s="1">
        <v>2</v>
      </c>
      <c r="V187" s="1" t="s">
        <v>2027</v>
      </c>
      <c r="W187" s="1" t="s">
        <v>2027</v>
      </c>
      <c r="X187" s="1" t="s">
        <v>2027</v>
      </c>
      <c r="Y187" s="1" t="s">
        <v>2027</v>
      </c>
      <c r="Z187" s="1" t="s">
        <v>2027</v>
      </c>
      <c r="AA187" s="1" t="s">
        <v>2027</v>
      </c>
      <c r="AB187" s="1" t="s">
        <v>2027</v>
      </c>
      <c r="AC187" s="1" t="s">
        <v>2027</v>
      </c>
      <c r="AD187" s="1">
        <v>3</v>
      </c>
      <c r="AE187" s="1">
        <v>4</v>
      </c>
      <c r="AF187" s="1" t="s">
        <v>2027</v>
      </c>
      <c r="AG187" s="1" t="s">
        <v>2027</v>
      </c>
      <c r="AH187" s="1" t="s">
        <v>2027</v>
      </c>
      <c r="AI187" s="1" t="s">
        <v>2027</v>
      </c>
      <c r="AJ187" s="1" t="s">
        <v>2027</v>
      </c>
      <c r="AK187" s="1" t="s">
        <v>2027</v>
      </c>
      <c r="AL187" s="1" t="s">
        <v>2027</v>
      </c>
      <c r="AM187" s="1" t="s">
        <v>2027</v>
      </c>
      <c r="AN187" s="1" t="s">
        <v>2027</v>
      </c>
      <c r="AO187" s="31" t="s">
        <v>2027</v>
      </c>
      <c r="AP187" s="1" t="s">
        <v>2041</v>
      </c>
      <c r="AQ187" s="1">
        <v>6</v>
      </c>
      <c r="AR187" s="32">
        <v>0.47</v>
      </c>
      <c r="AS187" s="45" t="s">
        <v>2029</v>
      </c>
      <c r="AT187" s="9">
        <f>($O$3*(L187-$O$1)/$O$2+$P$3*(M187-$P$1)/$P$2+$Q$3*(N187-$P$1)/$Q$2)/SUM($O$3:$Q$3)</f>
        <v>-1.7258064396590846</v>
      </c>
      <c r="AU187" s="9">
        <f>($O$3*(O187-$O$1)/$O$2+$P$3*(P187-$P$1)/$P$2+$Q$3*(Q187-$Q$1)/$Q$2)/SUM($O$3:$Q$3)</f>
        <v>-0.35865866625050846</v>
      </c>
      <c r="AV187">
        <f>COUNT(R187:AO187)/2</f>
        <v>3</v>
      </c>
      <c r="AW187">
        <f>COUNTIF(R187:AO187,"&gt;5")/2</f>
        <v>0</v>
      </c>
      <c r="AX187" s="6">
        <f>VLOOKUP(AP187,COND!$A$10:$B$31,2,FALSE)</f>
        <v>1</v>
      </c>
      <c r="AY187" s="9">
        <f>($AT$3*AT187+$AU$3*AU187+$AV$3*AV187+$AW$3*AW187)*AX187*IF(AQ187&lt;5,0.95,IF(AQ187&lt;7,0.975,1))+$J$3*VLOOKUP(J187,[1]Con!$A$2:$C$7,2,FALSE)+$K$3*VLOOKUP(K187,[1]Con!$A$2:$C$7,3,FALSE)+IF(BA187="SP",$BA$3,0)</f>
        <v>24.182123752381564</v>
      </c>
      <c r="AZ187" s="37">
        <f>STANDARDIZE(AY187,AVERAGE($AY$5:$AY$1116),STDEVP($AY$5:$AY$1116))</f>
        <v>-0.77315390256022154</v>
      </c>
      <c r="BA187" t="str">
        <f>IF(OR(AND(AQ187&gt;7,AW187&gt;1),AND(AQ187&gt;4,AV187&gt;2)),"SP","RP")</f>
        <v>SP</v>
      </c>
      <c r="BC187">
        <f>VLOOKUP($A187,'Draft List'!$A$4:$V$530,22,FALSE)</f>
        <v>0</v>
      </c>
      <c r="BE187" t="str">
        <f>IF(AVERAGE($O187:$Q187)&gt;=6,"Likely",IF(AVERAGE($O187:$Q187)&gt;=4,"Possible","Unlikely"))</f>
        <v>Possible</v>
      </c>
      <c r="BG187" t="str">
        <f>IF(VLOOKUP($B187,'Draft List'!$D$4:$AB$2598,BG$3,FALSE)&lt;&gt;0,VLOOKUP($B187,'Draft List'!$D$4:$AB$2598,BG$3,FALSE),"")</f>
        <v/>
      </c>
      <c r="BH187" t="str">
        <f>IF(VLOOKUP($B187,'Draft List'!$D$4:$AB$2598,BH$3,FALSE)&lt;&gt;0,VLOOKUP($B187,'Draft List'!$D$4:$AB$2598,BH$3,FALSE),"")</f>
        <v/>
      </c>
      <c r="BI187" t="str">
        <f>IF(VLOOKUP($B187,'Draft List'!$D$4:$AB$2598,BI$3,FALSE)&lt;&gt;0,VLOOKUP($B187,'Draft List'!$D$4:$AB$2598,BI$3,FALSE),"")</f>
        <v/>
      </c>
      <c r="BJ187" t="str">
        <f>IF(OR(C187="SP",C187="MR",C187="CL"),"P",VLOOKUP($A187,Bat!$A$4:$AP$1287,42,FALSE))</f>
        <v>P</v>
      </c>
    </row>
    <row r="188" spans="1:62">
      <c r="A188" t="str">
        <f>C188&amp;D188&amp;E188</f>
        <v>MRRob Lee21</v>
      </c>
      <c r="B188">
        <f>VLOOKUP($A188,draft_listing_pitchers_stats!$A$1:$B$1324,2,FALSE)</f>
        <v>3003</v>
      </c>
      <c r="C188" s="1" t="s">
        <v>2021</v>
      </c>
      <c r="D188" s="1" t="s">
        <v>1020</v>
      </c>
      <c r="E188" s="1">
        <v>21</v>
      </c>
      <c r="F188" s="1" t="s">
        <v>2038</v>
      </c>
      <c r="G188" s="1" t="s">
        <v>2038</v>
      </c>
      <c r="H188" s="1" t="s">
        <v>2033</v>
      </c>
      <c r="I188" s="31" t="s">
        <v>2033</v>
      </c>
      <c r="J188" s="1" t="s">
        <v>2026</v>
      </c>
      <c r="K188" s="31" t="s">
        <v>2025</v>
      </c>
      <c r="L188" s="1">
        <v>4</v>
      </c>
      <c r="M188" s="1">
        <v>3</v>
      </c>
      <c r="N188" s="31">
        <v>2</v>
      </c>
      <c r="O188" s="1">
        <v>5</v>
      </c>
      <c r="P188" s="1">
        <v>3</v>
      </c>
      <c r="Q188" s="31">
        <v>4</v>
      </c>
      <c r="R188" s="1">
        <v>4</v>
      </c>
      <c r="S188" s="1">
        <v>5</v>
      </c>
      <c r="T188" s="1">
        <v>1</v>
      </c>
      <c r="U188" s="1">
        <v>1</v>
      </c>
      <c r="V188" s="1" t="s">
        <v>2027</v>
      </c>
      <c r="W188" s="1" t="s">
        <v>2027</v>
      </c>
      <c r="X188" s="1">
        <v>4</v>
      </c>
      <c r="Y188" s="1">
        <v>6</v>
      </c>
      <c r="Z188" s="1" t="s">
        <v>2027</v>
      </c>
      <c r="AA188" s="1" t="s">
        <v>2027</v>
      </c>
      <c r="AB188" s="1" t="s">
        <v>2027</v>
      </c>
      <c r="AC188" s="1" t="s">
        <v>2027</v>
      </c>
      <c r="AD188" s="1" t="s">
        <v>2027</v>
      </c>
      <c r="AE188" s="1" t="s">
        <v>2027</v>
      </c>
      <c r="AF188" s="1" t="s">
        <v>2027</v>
      </c>
      <c r="AG188" s="1" t="s">
        <v>2027</v>
      </c>
      <c r="AH188" s="1" t="s">
        <v>2027</v>
      </c>
      <c r="AI188" s="1" t="s">
        <v>2027</v>
      </c>
      <c r="AJ188" s="1" t="s">
        <v>2027</v>
      </c>
      <c r="AK188" s="1" t="s">
        <v>2027</v>
      </c>
      <c r="AL188" s="1" t="s">
        <v>2027</v>
      </c>
      <c r="AM188" s="1" t="s">
        <v>2027</v>
      </c>
      <c r="AN188" s="1" t="s">
        <v>2027</v>
      </c>
      <c r="AO188" s="31" t="s">
        <v>2027</v>
      </c>
      <c r="AP188" s="1" t="s">
        <v>2042</v>
      </c>
      <c r="AQ188" s="1">
        <v>1</v>
      </c>
      <c r="AR188" s="32">
        <v>0.41</v>
      </c>
      <c r="AS188" s="45" t="s">
        <v>2029</v>
      </c>
      <c r="AT188" s="9">
        <f>($O$3*(L188-$O$1)/$O$2+$P$3*(M188-$P$1)/$P$2+$Q$3*(N188-$P$1)/$Q$2)/SUM($O$3:$Q$3)</f>
        <v>-1.4842262655258562</v>
      </c>
      <c r="AU188" s="9">
        <f>($O$3*(O188-$O$1)/$O$2+$P$3*(P188-$P$1)/$P$2+$Q$3*(Q188-$Q$1)/$Q$2)/SUM($O$3:$Q$3)</f>
        <v>-0.35939905817139028</v>
      </c>
      <c r="AV188">
        <f>COUNT(R188:AO188)/2</f>
        <v>3</v>
      </c>
      <c r="AW188">
        <f>COUNTIF(R188:AO188,"&gt;5")/2</f>
        <v>0.5</v>
      </c>
      <c r="AX188" s="6">
        <f>VLOOKUP(AP188,COND!$A$10:$B$31,2,FALSE)</f>
        <v>1</v>
      </c>
      <c r="AY188" s="9">
        <f>($AT$3*AT188+$AU$3*AU188+$AV$3*AV188+$AW$3*AW188)*AX188*IF(AQ188&lt;5,0.95,IF(AQ188&lt;7,0.975,1))+$J$3*VLOOKUP(J188,[1]Con!$A$2:$C$7,2,FALSE)+$K$3*VLOOKUP(K188,[1]Con!$A$2:$C$7,3,FALSE)+IF(BA188="SP",$BA$3,0)</f>
        <v>24.158164904293674</v>
      </c>
      <c r="AZ188" s="37">
        <f>STANDARDIZE(AY188,AVERAGE($AY$5:$AY$1116),STDEVP($AY$5:$AY$1116))</f>
        <v>-0.77505591262125162</v>
      </c>
      <c r="BA188" t="str">
        <f>IF(OR(AND(AQ188&gt;7,AW188&gt;1),AND(AQ188&gt;4,AV188&gt;2)),"SP","RP")</f>
        <v>RP</v>
      </c>
      <c r="BC188">
        <f>VLOOKUP($A188,'Draft List'!$A$4:$V$530,22,FALSE)</f>
        <v>0</v>
      </c>
      <c r="BE188" t="str">
        <f>IF(AVERAGE($O188:$Q188)&gt;=6,"Likely",IF(AVERAGE($O188:$Q188)&gt;=4,"Possible","Unlikely"))</f>
        <v>Possible</v>
      </c>
      <c r="BG188" t="str">
        <f>IF(VLOOKUP($B188,'Draft List'!$D$4:$AB$2598,BG$3,FALSE)&lt;&gt;0,VLOOKUP($B188,'Draft List'!$D$4:$AB$2598,BG$3,FALSE),"")</f>
        <v/>
      </c>
      <c r="BH188" t="str">
        <f>IF(VLOOKUP($B188,'Draft List'!$D$4:$AB$2598,BH$3,FALSE)&lt;&gt;0,VLOOKUP($B188,'Draft List'!$D$4:$AB$2598,BH$3,FALSE),"")</f>
        <v/>
      </c>
      <c r="BI188" t="str">
        <f>IF(VLOOKUP($B188,'Draft List'!$D$4:$AB$2598,BI$3,FALSE)&lt;&gt;0,VLOOKUP($B188,'Draft List'!$D$4:$AB$2598,BI$3,FALSE),"")</f>
        <v/>
      </c>
      <c r="BJ188" t="str">
        <f>IF(OR(C188="SP",C188="MR",C188="CL"),"P",VLOOKUP($A188,Bat!$A$4:$AP$1287,42,FALSE))</f>
        <v>P</v>
      </c>
    </row>
    <row r="189" spans="1:62">
      <c r="A189" t="str">
        <f>C189&amp;D189&amp;E189</f>
        <v>CLJorge Romero18</v>
      </c>
      <c r="B189">
        <f>VLOOKUP($A189,draft_listing_pitchers_stats!$A$1:$B$1324,2,FALSE)</f>
        <v>13804</v>
      </c>
      <c r="C189" s="1" t="s">
        <v>108</v>
      </c>
      <c r="D189" s="1" t="s">
        <v>1049</v>
      </c>
      <c r="E189" s="1">
        <v>18</v>
      </c>
      <c r="F189" s="1" t="s">
        <v>2022</v>
      </c>
      <c r="G189" s="1" t="s">
        <v>2038</v>
      </c>
      <c r="H189" s="1" t="s">
        <v>2033</v>
      </c>
      <c r="I189" s="31" t="s">
        <v>2033</v>
      </c>
      <c r="J189" s="1" t="s">
        <v>2040</v>
      </c>
      <c r="K189" s="31" t="s">
        <v>2036</v>
      </c>
      <c r="L189" s="1">
        <v>2</v>
      </c>
      <c r="M189" s="1">
        <v>4</v>
      </c>
      <c r="N189" s="31">
        <v>1</v>
      </c>
      <c r="O189" s="1">
        <v>4</v>
      </c>
      <c r="P189" s="1">
        <v>4</v>
      </c>
      <c r="Q189" s="31">
        <v>4</v>
      </c>
      <c r="R189" s="1">
        <v>4</v>
      </c>
      <c r="S189" s="1">
        <v>5</v>
      </c>
      <c r="T189" s="1">
        <v>2</v>
      </c>
      <c r="U189" s="1">
        <v>4</v>
      </c>
      <c r="V189" s="1" t="s">
        <v>2027</v>
      </c>
      <c r="W189" s="1" t="s">
        <v>2027</v>
      </c>
      <c r="X189" s="1" t="s">
        <v>2027</v>
      </c>
      <c r="Y189" s="1" t="s">
        <v>2027</v>
      </c>
      <c r="Z189" s="1" t="s">
        <v>2027</v>
      </c>
      <c r="AA189" s="1" t="s">
        <v>2027</v>
      </c>
      <c r="AB189" s="1">
        <v>4</v>
      </c>
      <c r="AC189" s="1">
        <v>5</v>
      </c>
      <c r="AD189" s="1" t="s">
        <v>2027</v>
      </c>
      <c r="AE189" s="1" t="s">
        <v>2027</v>
      </c>
      <c r="AF189" s="1" t="s">
        <v>2027</v>
      </c>
      <c r="AG189" s="1" t="s">
        <v>2027</v>
      </c>
      <c r="AH189" s="1" t="s">
        <v>2027</v>
      </c>
      <c r="AI189" s="1" t="s">
        <v>2027</v>
      </c>
      <c r="AJ189" s="1" t="s">
        <v>2027</v>
      </c>
      <c r="AK189" s="1" t="s">
        <v>2027</v>
      </c>
      <c r="AL189" s="1" t="s">
        <v>2027</v>
      </c>
      <c r="AM189" s="1" t="s">
        <v>2027</v>
      </c>
      <c r="AN189" s="1" t="s">
        <v>2027</v>
      </c>
      <c r="AO189" s="31" t="s">
        <v>2027</v>
      </c>
      <c r="AP189" s="1" t="s">
        <v>2041</v>
      </c>
      <c r="AQ189" s="1">
        <v>8</v>
      </c>
      <c r="AR189" s="32">
        <v>0.46</v>
      </c>
      <c r="AS189" s="45" t="s">
        <v>2029</v>
      </c>
      <c r="AT189" s="9">
        <f>($O$3*(L189-$O$1)/$O$2+$P$3*(M189-$P$1)/$P$2+$Q$3*(N189-$P$1)/$Q$2)/SUM($O$3:$Q$3)</f>
        <v>-1.9204977641682581</v>
      </c>
      <c r="AU189" s="9">
        <f>($O$3*(O189-$O$1)/$O$2+$P$3*(P189-$P$1)/$P$2+$Q$3*(Q189-$Q$1)/$Q$2)/SUM($O$3:$Q$3)</f>
        <v>-0.35865866625050846</v>
      </c>
      <c r="AV189">
        <f>COUNT(R189:AO189)/2</f>
        <v>3</v>
      </c>
      <c r="AW189">
        <f>COUNTIF(R189:AO189,"&gt;5")/2</f>
        <v>0</v>
      </c>
      <c r="AX189" s="6">
        <f>VLOOKUP(AP189,COND!$A$10:$B$31,2,FALSE)</f>
        <v>1</v>
      </c>
      <c r="AY189" s="9">
        <f>($AT$3*AT189+$AU$3*AU189+$AV$3*AV189+$AW$3*AW189)*AX189*IF(AQ189&lt;5,0.95,IF(AQ189&lt;7,0.975,1))+$J$3*VLOOKUP(J189,[1]Con!$A$2:$C$7,2,FALSE)+$K$3*VLOOKUP(K189,[1]Con!$A$2:$C$7,3,FALSE)+IF(BA189="SP",$BA$3,0)</f>
        <v>23.992727122156179</v>
      </c>
      <c r="AZ189" s="37">
        <f>STANDARDIZE(AY189,AVERAGE($AY$5:$AY$1116),STDEVP($AY$5:$AY$1116))</f>
        <v>-0.78818944579219985</v>
      </c>
      <c r="BA189" t="str">
        <f>IF(OR(AND(AQ189&gt;7,AW189&gt;1),AND(AQ189&gt;4,AV189&gt;2)),"SP","RP")</f>
        <v>SP</v>
      </c>
      <c r="BC189">
        <f>VLOOKUP($A189,'Draft List'!$A$4:$V$530,22,FALSE)</f>
        <v>0</v>
      </c>
      <c r="BE189" t="str">
        <f>IF(AVERAGE($O189:$Q189)&gt;=6,"Likely",IF(AVERAGE($O189:$Q189)&gt;=4,"Possible","Unlikely"))</f>
        <v>Possible</v>
      </c>
      <c r="BG189" t="str">
        <f>IF(VLOOKUP($B189,'Draft List'!$D$4:$AB$2598,BG$3,FALSE)&lt;&gt;0,VLOOKUP($B189,'Draft List'!$D$4:$AB$2598,BG$3,FALSE),"")</f>
        <v/>
      </c>
      <c r="BH189" t="str">
        <f>IF(VLOOKUP($B189,'Draft List'!$D$4:$AB$2598,BH$3,FALSE)&lt;&gt;0,VLOOKUP($B189,'Draft List'!$D$4:$AB$2598,BH$3,FALSE),"")</f>
        <v/>
      </c>
      <c r="BI189" t="str">
        <f>IF(VLOOKUP($B189,'Draft List'!$D$4:$AB$2598,BI$3,FALSE)&lt;&gt;0,VLOOKUP($B189,'Draft List'!$D$4:$AB$2598,BI$3,FALSE),"")</f>
        <v/>
      </c>
      <c r="BJ189" t="str">
        <f>IF(OR(C189="SP",C189="MR",C189="CL"),"P",VLOOKUP($A189,Bat!$A$4:$AP$1287,42,FALSE))</f>
        <v>P</v>
      </c>
    </row>
    <row r="190" spans="1:62">
      <c r="A190" t="str">
        <f>C190&amp;D190&amp;E190</f>
        <v>SPBob Larsen18</v>
      </c>
      <c r="B190">
        <f>VLOOKUP($A190,draft_listing_pitchers_stats!$A$1:$B$1324,2,FALSE)</f>
        <v>13850</v>
      </c>
      <c r="C190" s="1" t="s">
        <v>2003</v>
      </c>
      <c r="D190" s="1" t="s">
        <v>1017</v>
      </c>
      <c r="E190" s="1">
        <v>18</v>
      </c>
      <c r="F190" s="1" t="s">
        <v>2022</v>
      </c>
      <c r="G190" s="1" t="s">
        <v>2022</v>
      </c>
      <c r="H190" s="1" t="s">
        <v>2033</v>
      </c>
      <c r="I190" s="31" t="s">
        <v>2033</v>
      </c>
      <c r="J190" s="1" t="s">
        <v>2026</v>
      </c>
      <c r="K190" s="31" t="s">
        <v>2025</v>
      </c>
      <c r="L190" s="1">
        <v>2</v>
      </c>
      <c r="M190" s="1">
        <v>4</v>
      </c>
      <c r="N190" s="31">
        <v>1</v>
      </c>
      <c r="O190" s="1">
        <v>4</v>
      </c>
      <c r="P190" s="1">
        <v>4</v>
      </c>
      <c r="Q190" s="31">
        <v>4</v>
      </c>
      <c r="R190" s="1">
        <v>4</v>
      </c>
      <c r="S190" s="1">
        <v>5</v>
      </c>
      <c r="T190" s="1">
        <v>2</v>
      </c>
      <c r="U190" s="1">
        <v>4</v>
      </c>
      <c r="V190" s="1" t="s">
        <v>2027</v>
      </c>
      <c r="W190" s="1" t="s">
        <v>2027</v>
      </c>
      <c r="X190" s="1">
        <v>2</v>
      </c>
      <c r="Y190" s="1">
        <v>5</v>
      </c>
      <c r="Z190" s="1" t="s">
        <v>2027</v>
      </c>
      <c r="AA190" s="1" t="s">
        <v>2027</v>
      </c>
      <c r="AB190" s="1" t="s">
        <v>2027</v>
      </c>
      <c r="AC190" s="1" t="s">
        <v>2027</v>
      </c>
      <c r="AD190" s="1">
        <v>3</v>
      </c>
      <c r="AE190" s="1">
        <v>5</v>
      </c>
      <c r="AF190" s="1" t="s">
        <v>2027</v>
      </c>
      <c r="AG190" s="1" t="s">
        <v>2027</v>
      </c>
      <c r="AH190" s="1" t="s">
        <v>2027</v>
      </c>
      <c r="AI190" s="1" t="s">
        <v>2027</v>
      </c>
      <c r="AJ190" s="1" t="s">
        <v>2027</v>
      </c>
      <c r="AK190" s="1" t="s">
        <v>2027</v>
      </c>
      <c r="AL190" s="1" t="s">
        <v>2027</v>
      </c>
      <c r="AM190" s="1" t="s">
        <v>2027</v>
      </c>
      <c r="AN190" s="1" t="s">
        <v>2027</v>
      </c>
      <c r="AO190" s="31" t="s">
        <v>2027</v>
      </c>
      <c r="AP190" s="1" t="s">
        <v>2042</v>
      </c>
      <c r="AQ190" s="1">
        <v>3</v>
      </c>
      <c r="AR190" s="32">
        <v>0.48</v>
      </c>
      <c r="AS190" s="45">
        <v>2100000</v>
      </c>
      <c r="AT190" s="9">
        <f>($O$3*(L190-$O$1)/$O$2+$P$3*(M190-$P$1)/$P$2+$Q$3*(N190-$P$1)/$Q$2)/SUM($O$3:$Q$3)</f>
        <v>-1.9204977641682581</v>
      </c>
      <c r="AU190" s="9">
        <f>($O$3*(O190-$O$1)/$O$2+$P$3*(P190-$P$1)/$P$2+$Q$3*(Q190-$Q$1)/$Q$2)/SUM($O$3:$Q$3)</f>
        <v>-0.35865866625050846</v>
      </c>
      <c r="AV190">
        <f>COUNT(R190:AO190)/2</f>
        <v>4</v>
      </c>
      <c r="AW190">
        <f>COUNTIF(R190:AO190,"&gt;5")/2</f>
        <v>0</v>
      </c>
      <c r="AX190" s="6">
        <f>VLOOKUP(AP190,COND!$A$10:$B$31,2,FALSE)</f>
        <v>1</v>
      </c>
      <c r="AY190" s="9">
        <f>($AT$3*AT190+$AU$3*AU190+$AV$3*AV190+$AW$3*AW190)*AX190*IF(AQ190&lt;5,0.95,IF(AQ190&lt;7,0.975,1))+$J$3*VLOOKUP(J190,[1]Con!$A$2:$C$7,2,FALSE)+$K$3*VLOOKUP(K190,[1]Con!$A$2:$C$7,3,FALSE)+IF(BA190="SP",$BA$3,0)</f>
        <v>23.970590766048371</v>
      </c>
      <c r="AZ190" s="37">
        <f>STANDARDIZE(AY190,AVERAGE($AY$5:$AY$1116),STDEVP($AY$5:$AY$1116))</f>
        <v>-0.78994677452007289</v>
      </c>
      <c r="BA190" t="str">
        <f>IF(OR(AND(AQ190&gt;7,AW190&gt;1),AND(AQ190&gt;4,AV190&gt;2)),"SP","RP")</f>
        <v>RP</v>
      </c>
      <c r="BC190">
        <f>VLOOKUP($A190,'Draft List'!$A$4:$V$530,22,FALSE)</f>
        <v>0</v>
      </c>
      <c r="BD190" t="s">
        <v>6</v>
      </c>
      <c r="BE190" t="str">
        <f>IF(AVERAGE($O190:$Q190)&gt;=6,"Likely",IF(AVERAGE($O190:$Q190)&gt;=4,"Possible","Unlikely"))</f>
        <v>Possible</v>
      </c>
      <c r="BG190" t="str">
        <f>IF(VLOOKUP($B190,'Draft List'!$D$4:$AB$2598,BG$3,FALSE)&lt;&gt;0,VLOOKUP($B190,'Draft List'!$D$4:$AB$2598,BG$3,FALSE),"")</f>
        <v/>
      </c>
      <c r="BH190" t="str">
        <f>IF(VLOOKUP($B190,'Draft List'!$D$4:$AB$2598,BH$3,FALSE)&lt;&gt;0,VLOOKUP($B190,'Draft List'!$D$4:$AB$2598,BH$3,FALSE),"")</f>
        <v/>
      </c>
      <c r="BI190" t="str">
        <f>IF(VLOOKUP($B190,'Draft List'!$D$4:$AB$2598,BI$3,FALSE)&lt;&gt;0,VLOOKUP($B190,'Draft List'!$D$4:$AB$2598,BI$3,FALSE),"")</f>
        <v/>
      </c>
      <c r="BJ190" t="str">
        <f>IF(OR(C190="SP",C190="MR",C190="CL"),"P",VLOOKUP($A190,Bat!$A$4:$AP$1287,42,FALSE))</f>
        <v>P</v>
      </c>
    </row>
    <row r="191" spans="1:62">
      <c r="A191" t="str">
        <f>C191&amp;D191&amp;E191</f>
        <v>MRJuan Medina18</v>
      </c>
      <c r="B191">
        <f>VLOOKUP($A191,draft_listing_pitchers_stats!$A$1:$B$1324,2,FALSE)</f>
        <v>13789</v>
      </c>
      <c r="C191" s="1" t="s">
        <v>2021</v>
      </c>
      <c r="D191" s="1" t="s">
        <v>1027</v>
      </c>
      <c r="E191" s="1">
        <v>18</v>
      </c>
      <c r="F191" s="1" t="s">
        <v>2038</v>
      </c>
      <c r="G191" s="1" t="s">
        <v>2038</v>
      </c>
      <c r="H191" s="1" t="s">
        <v>2033</v>
      </c>
      <c r="I191" s="31" t="s">
        <v>2033</v>
      </c>
      <c r="J191" s="1" t="s">
        <v>2025</v>
      </c>
      <c r="K191" s="31" t="s">
        <v>2025</v>
      </c>
      <c r="L191" s="1">
        <v>1</v>
      </c>
      <c r="M191" s="1">
        <v>4</v>
      </c>
      <c r="N191" s="31">
        <v>1</v>
      </c>
      <c r="O191" s="1">
        <v>3</v>
      </c>
      <c r="P191" s="1">
        <v>4</v>
      </c>
      <c r="Q191" s="31">
        <v>4</v>
      </c>
      <c r="R191" s="1">
        <v>2</v>
      </c>
      <c r="S191" s="1">
        <v>2</v>
      </c>
      <c r="T191" s="1">
        <v>1</v>
      </c>
      <c r="U191" s="1">
        <v>4</v>
      </c>
      <c r="V191" s="1">
        <v>1</v>
      </c>
      <c r="W191" s="1">
        <v>2</v>
      </c>
      <c r="X191" s="1" t="s">
        <v>2027</v>
      </c>
      <c r="Y191" s="1" t="s">
        <v>2027</v>
      </c>
      <c r="Z191" s="1" t="s">
        <v>2027</v>
      </c>
      <c r="AA191" s="1" t="s">
        <v>2027</v>
      </c>
      <c r="AB191" s="1" t="s">
        <v>2027</v>
      </c>
      <c r="AC191" s="1" t="s">
        <v>2027</v>
      </c>
      <c r="AD191" s="1" t="s">
        <v>2027</v>
      </c>
      <c r="AE191" s="1" t="s">
        <v>2027</v>
      </c>
      <c r="AF191" s="1">
        <v>2</v>
      </c>
      <c r="AG191" s="1">
        <v>3</v>
      </c>
      <c r="AH191" s="1" t="s">
        <v>2027</v>
      </c>
      <c r="AI191" s="1" t="s">
        <v>2027</v>
      </c>
      <c r="AJ191" s="1" t="s">
        <v>2027</v>
      </c>
      <c r="AK191" s="1" t="s">
        <v>2027</v>
      </c>
      <c r="AL191" s="1" t="s">
        <v>2027</v>
      </c>
      <c r="AM191" s="1" t="s">
        <v>2027</v>
      </c>
      <c r="AN191" s="1" t="s">
        <v>2027</v>
      </c>
      <c r="AO191" s="31" t="s">
        <v>2027</v>
      </c>
      <c r="AP191" s="1" t="s">
        <v>2037</v>
      </c>
      <c r="AQ191" s="1">
        <v>7</v>
      </c>
      <c r="AR191" s="32">
        <v>0.49</v>
      </c>
      <c r="AS191" s="45" t="s">
        <v>2029</v>
      </c>
      <c r="AT191" s="9">
        <f>($O$3*(L191-$O$1)/$O$2+$P$3*(M191-$P$1)/$P$2+$Q$3*(N191-$P$1)/$Q$2)/SUM($O$3:$Q$3)</f>
        <v>-2.1151890886774316</v>
      </c>
      <c r="AU191" s="9">
        <f>($O$3*(O191-$O$1)/$O$2+$P$3*(P191-$P$1)/$P$2+$Q$3*(Q191-$Q$1)/$Q$2)/SUM($O$3:$Q$3)</f>
        <v>-0.55334999075968205</v>
      </c>
      <c r="AV191">
        <f>COUNT(R191:AO191)/2</f>
        <v>4</v>
      </c>
      <c r="AW191">
        <f>COUNTIF(R191:AO191,"&gt;5")/2</f>
        <v>0</v>
      </c>
      <c r="AX191" s="6">
        <f>VLOOKUP(AP191,COND!$A$10:$B$31,2,FALSE)</f>
        <v>0.85</v>
      </c>
      <c r="AY191" s="9">
        <f>($AT$3*AT191+$AU$3*AU191+$AV$3*AV191+$AW$3*AW191)*AX191*IF(AQ191&lt;5,0.95,IF(AQ191&lt;7,0.975,1))+$J$3*VLOOKUP(J191,[1]Con!$A$2:$C$7,2,FALSE)+$K$3*VLOOKUP(K191,[1]Con!$A$2:$C$7,3,FALSE)+IF(BA191="SP",$BA$3,0)</f>
        <v>23.933468012010245</v>
      </c>
      <c r="AZ191" s="37">
        <f>STANDARDIZE(AY191,AVERAGE($AY$5:$AY$1116),STDEVP($AY$5:$AY$1116))</f>
        <v>-0.79289382153229337</v>
      </c>
      <c r="BA191" t="str">
        <f>IF(OR(AND(AQ191&gt;7,AW191&gt;1),AND(AQ191&gt;4,AV191&gt;2)),"SP","RP")</f>
        <v>SP</v>
      </c>
      <c r="BC191">
        <f>VLOOKUP($A191,'Draft List'!$A$4:$V$530,22,FALSE)</f>
        <v>0</v>
      </c>
      <c r="BE191" t="str">
        <f>IF(AVERAGE($O191:$Q191)&gt;=6,"Likely",IF(AVERAGE($O191:$Q191)&gt;=4,"Possible","Unlikely"))</f>
        <v>Unlikely</v>
      </c>
      <c r="BG191" t="str">
        <f>IF(VLOOKUP($B191,'Draft List'!$D$4:$AB$2598,BG$3,FALSE)&lt;&gt;0,VLOOKUP($B191,'Draft List'!$D$4:$AB$2598,BG$3,FALSE),"")</f>
        <v/>
      </c>
      <c r="BH191" t="str">
        <f>IF(VLOOKUP($B191,'Draft List'!$D$4:$AB$2598,BH$3,FALSE)&lt;&gt;0,VLOOKUP($B191,'Draft List'!$D$4:$AB$2598,BH$3,FALSE),"")</f>
        <v/>
      </c>
      <c r="BI191" t="str">
        <f>IF(VLOOKUP($B191,'Draft List'!$D$4:$AB$2598,BI$3,FALSE)&lt;&gt;0,VLOOKUP($B191,'Draft List'!$D$4:$AB$2598,BI$3,FALSE),"")</f>
        <v/>
      </c>
      <c r="BJ191" t="str">
        <f>IF(OR(C191="SP",C191="MR",C191="CL"),"P",VLOOKUP($A191,Bat!$A$4:$AP$1287,42,FALSE))</f>
        <v>P</v>
      </c>
    </row>
    <row r="192" spans="1:62">
      <c r="A192" t="str">
        <f>C192&amp;D192&amp;E192</f>
        <v>MRKeith McAuley21</v>
      </c>
      <c r="B192">
        <f>VLOOKUP($A192,draft_listing_pitchers_stats!$A$1:$B$1324,2,FALSE)</f>
        <v>4099</v>
      </c>
      <c r="C192" s="1" t="s">
        <v>2021</v>
      </c>
      <c r="D192" s="1" t="s">
        <v>1026</v>
      </c>
      <c r="E192" s="1">
        <v>21</v>
      </c>
      <c r="F192" s="1" t="s">
        <v>2022</v>
      </c>
      <c r="G192" s="1" t="s">
        <v>2022</v>
      </c>
      <c r="H192" s="1" t="s">
        <v>2033</v>
      </c>
      <c r="I192" s="31" t="s">
        <v>2033</v>
      </c>
      <c r="J192" s="1" t="s">
        <v>2025</v>
      </c>
      <c r="K192" s="31" t="s">
        <v>2036</v>
      </c>
      <c r="L192" s="1">
        <v>3</v>
      </c>
      <c r="M192" s="1">
        <v>5</v>
      </c>
      <c r="N192" s="31">
        <v>1</v>
      </c>
      <c r="O192" s="1">
        <v>4</v>
      </c>
      <c r="P192" s="1">
        <v>5</v>
      </c>
      <c r="Q192" s="31">
        <v>3</v>
      </c>
      <c r="R192" s="1">
        <v>4</v>
      </c>
      <c r="S192" s="1">
        <v>5</v>
      </c>
      <c r="T192" s="1" t="s">
        <v>2027</v>
      </c>
      <c r="U192" s="1" t="s">
        <v>2027</v>
      </c>
      <c r="V192" s="1">
        <v>2</v>
      </c>
      <c r="W192" s="1">
        <v>4</v>
      </c>
      <c r="X192" s="1" t="s">
        <v>2027</v>
      </c>
      <c r="Y192" s="1" t="s">
        <v>2027</v>
      </c>
      <c r="Z192" s="1" t="s">
        <v>2027</v>
      </c>
      <c r="AA192" s="1" t="s">
        <v>2027</v>
      </c>
      <c r="AB192" s="1" t="s">
        <v>2027</v>
      </c>
      <c r="AC192" s="1" t="s">
        <v>2027</v>
      </c>
      <c r="AD192" s="1" t="s">
        <v>2027</v>
      </c>
      <c r="AE192" s="1" t="s">
        <v>2027</v>
      </c>
      <c r="AF192" s="1" t="s">
        <v>2027</v>
      </c>
      <c r="AG192" s="1" t="s">
        <v>2027</v>
      </c>
      <c r="AH192" s="1" t="s">
        <v>2027</v>
      </c>
      <c r="AI192" s="1" t="s">
        <v>2027</v>
      </c>
      <c r="AJ192" s="1" t="s">
        <v>2027</v>
      </c>
      <c r="AK192" s="1" t="s">
        <v>2027</v>
      </c>
      <c r="AL192" s="1" t="s">
        <v>2027</v>
      </c>
      <c r="AM192" s="1" t="s">
        <v>2027</v>
      </c>
      <c r="AN192" s="1" t="s">
        <v>2027</v>
      </c>
      <c r="AO192" s="31" t="s">
        <v>2027</v>
      </c>
      <c r="AP192" s="1" t="s">
        <v>2042</v>
      </c>
      <c r="AQ192" s="1">
        <v>5</v>
      </c>
      <c r="AR192" s="32">
        <v>0.56000000000000005</v>
      </c>
      <c r="AS192" s="45" t="s">
        <v>2029</v>
      </c>
      <c r="AT192" s="9">
        <f>($O$3*(L192-$O$1)/$O$2+$P$3*(M192-$P$1)/$P$2+$Q$3*(N192-$P$1)/$Q$2)/SUM($O$3:$Q$3)</f>
        <v>-1.5303747232290292</v>
      </c>
      <c r="AU192" s="9">
        <f>($O$3*(O192-$O$1)/$O$2+$P$3*(P192-$P$1)/$P$2+$Q$3*(Q192-$Q$1)/$Q$2)/SUM($O$3:$Q$3)</f>
        <v>-0.40554751587456339</v>
      </c>
      <c r="AV192">
        <f>COUNT(R192:AO192)/2</f>
        <v>2</v>
      </c>
      <c r="AW192">
        <f>COUNTIF(R192:AO192,"&gt;5")/2</f>
        <v>0</v>
      </c>
      <c r="AX192" s="6">
        <f>VLOOKUP(AP192,COND!$A$10:$B$31,2,FALSE)</f>
        <v>1</v>
      </c>
      <c r="AY192" s="9">
        <f>($AT$3*AT192+$AU$3*AU192+$AV$3*AV192+$AW$3*AW192)*AX192*IF(AQ192&lt;5,0.95,IF(AQ192&lt;7,0.975,1))+$J$3*VLOOKUP(J192,[1]Con!$A$2:$C$7,2,FALSE)+$K$3*VLOOKUP(K192,[1]Con!$A$2:$C$7,3,FALSE)+IF(BA192="SP",$BA$3,0)</f>
        <v>23.818400369416352</v>
      </c>
      <c r="AZ192" s="37">
        <f>STANDARDIZE(AY192,AVERAGE($AY$5:$AY$1116),STDEVP($AY$5:$AY$1116))</f>
        <v>-0.8020286435867483</v>
      </c>
      <c r="BA192" t="str">
        <f>IF(OR(AND(AQ192&gt;7,AW192&gt;1),AND(AQ192&gt;4,AV192&gt;2)),"SP","RP")</f>
        <v>RP</v>
      </c>
      <c r="BC192">
        <f>VLOOKUP($A192,'Draft List'!$A$4:$V$530,22,FALSE)</f>
        <v>0</v>
      </c>
      <c r="BE192" t="str">
        <f>IF(AVERAGE($O192:$Q192)&gt;=6,"Likely",IF(AVERAGE($O192:$Q192)&gt;=4,"Possible","Unlikely"))</f>
        <v>Possible</v>
      </c>
      <c r="BG192" t="str">
        <f>IF(VLOOKUP($B192,'Draft List'!$D$4:$AB$2598,BG$3,FALSE)&lt;&gt;0,VLOOKUP($B192,'Draft List'!$D$4:$AB$2598,BG$3,FALSE),"")</f>
        <v/>
      </c>
      <c r="BH192" t="str">
        <f>IF(VLOOKUP($B192,'Draft List'!$D$4:$AB$2598,BH$3,FALSE)&lt;&gt;0,VLOOKUP($B192,'Draft List'!$D$4:$AB$2598,BH$3,FALSE),"")</f>
        <v/>
      </c>
      <c r="BI192" t="str">
        <f>IF(VLOOKUP($B192,'Draft List'!$D$4:$AB$2598,BI$3,FALSE)&lt;&gt;0,VLOOKUP($B192,'Draft List'!$D$4:$AB$2598,BI$3,FALSE),"")</f>
        <v/>
      </c>
      <c r="BJ192" t="str">
        <f>IF(OR(C192="SP",C192="MR",C192="CL"),"P",VLOOKUP($A192,Bat!$A$4:$AP$1287,42,FALSE))</f>
        <v>P</v>
      </c>
    </row>
    <row r="193" spans="1:62">
      <c r="A193" t="str">
        <f>C193&amp;D193&amp;E193</f>
        <v>MRChris Stokes18</v>
      </c>
      <c r="B193">
        <f>VLOOKUP($A193,draft_listing_pitchers_stats!$A$1:$B$1324,2,FALSE)</f>
        <v>13774</v>
      </c>
      <c r="C193" s="1" t="s">
        <v>2021</v>
      </c>
      <c r="D193" s="1" t="s">
        <v>1056</v>
      </c>
      <c r="E193" s="1">
        <v>18</v>
      </c>
      <c r="F193" s="1" t="s">
        <v>2038</v>
      </c>
      <c r="G193" s="1" t="s">
        <v>2038</v>
      </c>
      <c r="H193" s="1" t="s">
        <v>2033</v>
      </c>
      <c r="I193" s="31" t="s">
        <v>2033</v>
      </c>
      <c r="J193" s="1" t="s">
        <v>2030</v>
      </c>
      <c r="K193" s="31" t="s">
        <v>2025</v>
      </c>
      <c r="L193" s="1">
        <v>1</v>
      </c>
      <c r="M193" s="1">
        <v>4</v>
      </c>
      <c r="N193" s="31">
        <v>1</v>
      </c>
      <c r="O193" s="1">
        <v>3</v>
      </c>
      <c r="P193" s="1">
        <v>4</v>
      </c>
      <c r="Q193" s="31">
        <v>4</v>
      </c>
      <c r="R193" s="1">
        <v>2</v>
      </c>
      <c r="S193" s="1">
        <v>3</v>
      </c>
      <c r="T193" s="1">
        <v>1</v>
      </c>
      <c r="U193" s="1">
        <v>3</v>
      </c>
      <c r="V193" s="1">
        <v>1</v>
      </c>
      <c r="W193" s="1">
        <v>3</v>
      </c>
      <c r="X193" s="1" t="s">
        <v>2027</v>
      </c>
      <c r="Y193" s="1" t="s">
        <v>2027</v>
      </c>
      <c r="Z193" s="1" t="s">
        <v>2027</v>
      </c>
      <c r="AA193" s="1" t="s">
        <v>2027</v>
      </c>
      <c r="AB193" s="1" t="s">
        <v>2027</v>
      </c>
      <c r="AC193" s="1" t="s">
        <v>2027</v>
      </c>
      <c r="AD193" s="1" t="s">
        <v>2027</v>
      </c>
      <c r="AE193" s="1" t="s">
        <v>2027</v>
      </c>
      <c r="AF193" s="1" t="s">
        <v>2027</v>
      </c>
      <c r="AG193" s="1" t="s">
        <v>2027</v>
      </c>
      <c r="AH193" s="1" t="s">
        <v>2027</v>
      </c>
      <c r="AI193" s="1" t="s">
        <v>2027</v>
      </c>
      <c r="AJ193" s="1" t="s">
        <v>2027</v>
      </c>
      <c r="AK193" s="1" t="s">
        <v>2027</v>
      </c>
      <c r="AL193" s="1" t="s">
        <v>2027</v>
      </c>
      <c r="AM193" s="1" t="s">
        <v>2027</v>
      </c>
      <c r="AN193" s="1" t="s">
        <v>2027</v>
      </c>
      <c r="AO193" s="31" t="s">
        <v>2027</v>
      </c>
      <c r="AP193" s="1" t="s">
        <v>2063</v>
      </c>
      <c r="AQ193" s="1">
        <v>10</v>
      </c>
      <c r="AR193" s="32">
        <v>0.55000000000000004</v>
      </c>
      <c r="AS193" s="45" t="s">
        <v>2029</v>
      </c>
      <c r="AT193" s="9">
        <f>($O$3*(L193-$O$1)/$O$2+$P$3*(M193-$P$1)/$P$2+$Q$3*(N193-$P$1)/$Q$2)/SUM($O$3:$Q$3)</f>
        <v>-2.1151890886774316</v>
      </c>
      <c r="AU193" s="9">
        <f>($O$3*(O193-$O$1)/$O$2+$P$3*(P193-$P$1)/$P$2+$Q$3*(Q193-$Q$1)/$Q$2)/SUM($O$3:$Q$3)</f>
        <v>-0.55334999075968205</v>
      </c>
      <c r="AV193">
        <f>COUNT(R193:AO193)/2</f>
        <v>3</v>
      </c>
      <c r="AW193">
        <f>COUNTIF(R193:AO193,"&gt;5")/2</f>
        <v>0</v>
      </c>
      <c r="AX193" s="6">
        <f>VLOOKUP(AP193,COND!$A$10:$B$31,2,FALSE)</f>
        <v>0.9</v>
      </c>
      <c r="AY193" s="9">
        <f>($AT$3*AT193+$AU$3*AU193+$AV$3*AV193+$AW$3*AW193)*AX193*IF(AQ193&lt;5,0.95,IF(AQ193&lt;7,0.975,1))+$J$3*VLOOKUP(J193,[1]Con!$A$2:$C$7,2,FALSE)+$K$3*VLOOKUP(K193,[1]Con!$A$2:$C$7,3,FALSE)+IF(BA193="SP",$BA$3,0)</f>
        <v>23.758966130363785</v>
      </c>
      <c r="AZ193" s="37">
        <f>STANDARDIZE(AY193,AVERAGE($AY$5:$AY$1116),STDEVP($AY$5:$AY$1116))</f>
        <v>-0.80674692220485877</v>
      </c>
      <c r="BA193" t="str">
        <f>IF(OR(AND(AQ193&gt;7,AW193&gt;1),AND(AQ193&gt;4,AV193&gt;2)),"SP","RP")</f>
        <v>SP</v>
      </c>
      <c r="BC193">
        <f>VLOOKUP($A193,'Draft List'!$A$4:$V$530,22,FALSE)</f>
        <v>0</v>
      </c>
      <c r="BE193" t="str">
        <f>IF(AVERAGE($O193:$Q193)&gt;=6,"Likely",IF(AVERAGE($O193:$Q193)&gt;=4,"Possible","Unlikely"))</f>
        <v>Unlikely</v>
      </c>
      <c r="BG193" t="str">
        <f>IF(VLOOKUP($B193,'Draft List'!$D$4:$AB$2598,BG$3,FALSE)&lt;&gt;0,VLOOKUP($B193,'Draft List'!$D$4:$AB$2598,BG$3,FALSE),"")</f>
        <v/>
      </c>
      <c r="BH193" t="str">
        <f>IF(VLOOKUP($B193,'Draft List'!$D$4:$AB$2598,BH$3,FALSE)&lt;&gt;0,VLOOKUP($B193,'Draft List'!$D$4:$AB$2598,BH$3,FALSE),"")</f>
        <v/>
      </c>
      <c r="BI193" t="str">
        <f>IF(VLOOKUP($B193,'Draft List'!$D$4:$AB$2598,BI$3,FALSE)&lt;&gt;0,VLOOKUP($B193,'Draft List'!$D$4:$AB$2598,BI$3,FALSE),"")</f>
        <v/>
      </c>
      <c r="BJ193" t="str">
        <f>IF(OR(C193="SP",C193="MR",C193="CL"),"P",VLOOKUP($A193,Bat!$A$4:$AP$1287,42,FALSE))</f>
        <v>P</v>
      </c>
    </row>
    <row r="194" spans="1:62">
      <c r="A194" t="str">
        <f>C194&amp;D194&amp;E194</f>
        <v>SPWilliam Gardner21</v>
      </c>
      <c r="B194">
        <f>VLOOKUP($A194,draft_listing_pitchers_stats!$A$1:$B$1324,2,FALSE)</f>
        <v>4160</v>
      </c>
      <c r="C194" s="1" t="s">
        <v>2003</v>
      </c>
      <c r="D194" s="1" t="s">
        <v>1113</v>
      </c>
      <c r="E194" s="1">
        <v>21</v>
      </c>
      <c r="F194" s="1" t="s">
        <v>2049</v>
      </c>
      <c r="G194" s="1" t="s">
        <v>2022</v>
      </c>
      <c r="H194" s="1" t="s">
        <v>2033</v>
      </c>
      <c r="I194" s="31" t="s">
        <v>2033</v>
      </c>
      <c r="J194" s="1" t="s">
        <v>2040</v>
      </c>
      <c r="K194" s="31" t="s">
        <v>2025</v>
      </c>
      <c r="L194" s="1">
        <v>3</v>
      </c>
      <c r="M194" s="1">
        <v>4</v>
      </c>
      <c r="N194" s="31">
        <v>1</v>
      </c>
      <c r="O194" s="1">
        <v>4</v>
      </c>
      <c r="P194" s="1">
        <v>4</v>
      </c>
      <c r="Q194" s="31">
        <v>4</v>
      </c>
      <c r="R194" s="1">
        <v>5</v>
      </c>
      <c r="S194" s="1">
        <v>6</v>
      </c>
      <c r="T194" s="1">
        <v>3</v>
      </c>
      <c r="U194" s="1">
        <v>4</v>
      </c>
      <c r="V194" s="1" t="s">
        <v>2027</v>
      </c>
      <c r="W194" s="1" t="s">
        <v>2027</v>
      </c>
      <c r="X194" s="1">
        <v>5</v>
      </c>
      <c r="Y194" s="1">
        <v>5</v>
      </c>
      <c r="Z194" s="1" t="s">
        <v>2027</v>
      </c>
      <c r="AA194" s="1" t="s">
        <v>2027</v>
      </c>
      <c r="AB194" s="1" t="s">
        <v>2027</v>
      </c>
      <c r="AC194" s="1" t="s">
        <v>2027</v>
      </c>
      <c r="AD194" s="1" t="s">
        <v>2027</v>
      </c>
      <c r="AE194" s="1" t="s">
        <v>2027</v>
      </c>
      <c r="AF194" s="1" t="s">
        <v>2027</v>
      </c>
      <c r="AG194" s="1" t="s">
        <v>2027</v>
      </c>
      <c r="AH194" s="1" t="s">
        <v>2027</v>
      </c>
      <c r="AI194" s="1" t="s">
        <v>2027</v>
      </c>
      <c r="AJ194" s="1" t="s">
        <v>2027</v>
      </c>
      <c r="AK194" s="1" t="s">
        <v>2027</v>
      </c>
      <c r="AL194" s="1" t="s">
        <v>2027</v>
      </c>
      <c r="AM194" s="1" t="s">
        <v>2027</v>
      </c>
      <c r="AN194" s="1" t="s">
        <v>2027</v>
      </c>
      <c r="AO194" s="31" t="s">
        <v>2027</v>
      </c>
      <c r="AP194" s="1" t="s">
        <v>2047</v>
      </c>
      <c r="AQ194" s="1">
        <v>7</v>
      </c>
      <c r="AR194" s="32">
        <v>0.52</v>
      </c>
      <c r="AS194" s="45" t="s">
        <v>2029</v>
      </c>
      <c r="AT194" s="9">
        <f>($O$3*(L194-$O$1)/$O$2+$P$3*(M194-$P$1)/$P$2+$Q$3*(N194-$P$1)/$Q$2)/SUM($O$3:$Q$3)</f>
        <v>-1.7258064396590846</v>
      </c>
      <c r="AU194" s="9">
        <f>($O$3*(O194-$O$1)/$O$2+$P$3*(P194-$P$1)/$P$2+$Q$3*(Q194-$Q$1)/$Q$2)/SUM($O$3:$Q$3)</f>
        <v>-0.35865866625050846</v>
      </c>
      <c r="AV194">
        <f>COUNT(R194:AO194)/2</f>
        <v>3</v>
      </c>
      <c r="AW194">
        <f>COUNTIF(R194:AO194,"&gt;5")/2</f>
        <v>0.5</v>
      </c>
      <c r="AX194" s="6">
        <f>VLOOKUP(AP194,COND!$A$10:$B$31,2,FALSE)</f>
        <v>1.0249999999999999</v>
      </c>
      <c r="AY194" s="9">
        <f>($AT$3*AT194+$AU$3*AU194+$AV$3*AV194+$AW$3*AW194)*AX194*IF(AQ194&lt;5,0.95,IF(AQ194&lt;7,0.975,1))+$J$3*VLOOKUP(J194,[1]Con!$A$2:$C$7,2,FALSE)+$K$3*VLOOKUP(K194,[1]Con!$A$2:$C$7,3,FALSE)+IF(BA194="SP",$BA$3,0)</f>
        <v>23.471832021734464</v>
      </c>
      <c r="AZ194" s="37">
        <f>STANDARDIZE(AY194,AVERAGE($AY$5:$AY$1116),STDEVP($AY$5:$AY$1116))</f>
        <v>-0.82954150571214802</v>
      </c>
      <c r="BA194" t="str">
        <f>IF(OR(AND(AQ194&gt;7,AW194&gt;1),AND(AQ194&gt;4,AV194&gt;2)),"SP","RP")</f>
        <v>SP</v>
      </c>
      <c r="BC194">
        <f>VLOOKUP($A194,'Draft List'!$A$4:$V$530,22,FALSE)</f>
        <v>0</v>
      </c>
      <c r="BE194" t="str">
        <f>IF(AVERAGE($O194:$Q194)&gt;=6,"Likely",IF(AVERAGE($O194:$Q194)&gt;=4,"Possible","Unlikely"))</f>
        <v>Possible</v>
      </c>
      <c r="BG194" t="str">
        <f>IF(VLOOKUP($B194,'Draft List'!$D$4:$AB$2598,BG$3,FALSE)&lt;&gt;0,VLOOKUP($B194,'Draft List'!$D$4:$AB$2598,BG$3,FALSE),"")</f>
        <v/>
      </c>
      <c r="BH194" t="str">
        <f>IF(VLOOKUP($B194,'Draft List'!$D$4:$AB$2598,BH$3,FALSE)&lt;&gt;0,VLOOKUP($B194,'Draft List'!$D$4:$AB$2598,BH$3,FALSE),"")</f>
        <v/>
      </c>
      <c r="BI194" t="str">
        <f>IF(VLOOKUP($B194,'Draft List'!$D$4:$AB$2598,BI$3,FALSE)&lt;&gt;0,VLOOKUP($B194,'Draft List'!$D$4:$AB$2598,BI$3,FALSE),"")</f>
        <v/>
      </c>
      <c r="BJ194" t="str">
        <f>IF(OR(C194="SP",C194="MR",C194="CL"),"P",VLOOKUP($A194,Bat!$A$4:$AP$1287,42,FALSE))</f>
        <v>P</v>
      </c>
    </row>
    <row r="195" spans="1:62">
      <c r="A195" t="str">
        <f>C195&amp;D195&amp;E195</f>
        <v>MRSteve Sheffield18</v>
      </c>
      <c r="B195">
        <f>VLOOKUP($A195,draft_listing_pitchers_stats!$A$1:$B$1324,2,FALSE)</f>
        <v>13769</v>
      </c>
      <c r="C195" s="1" t="s">
        <v>2021</v>
      </c>
      <c r="D195" s="1" t="s">
        <v>1054</v>
      </c>
      <c r="E195" s="1">
        <v>18</v>
      </c>
      <c r="F195" s="1" t="s">
        <v>2038</v>
      </c>
      <c r="G195" s="1" t="s">
        <v>2038</v>
      </c>
      <c r="H195" s="1" t="s">
        <v>2033</v>
      </c>
      <c r="I195" s="31" t="s">
        <v>2033</v>
      </c>
      <c r="J195" s="1" t="s">
        <v>2040</v>
      </c>
      <c r="K195" s="31" t="s">
        <v>2025</v>
      </c>
      <c r="L195" s="1">
        <v>2</v>
      </c>
      <c r="M195" s="1">
        <v>4</v>
      </c>
      <c r="N195" s="31">
        <v>1</v>
      </c>
      <c r="O195" s="1">
        <v>4</v>
      </c>
      <c r="P195" s="1">
        <v>4</v>
      </c>
      <c r="Q195" s="31">
        <v>4</v>
      </c>
      <c r="R195" s="1">
        <v>3</v>
      </c>
      <c r="S195" s="1">
        <v>4</v>
      </c>
      <c r="T195" s="1">
        <v>1</v>
      </c>
      <c r="U195" s="1">
        <v>3</v>
      </c>
      <c r="V195" s="1" t="s">
        <v>2027</v>
      </c>
      <c r="W195" s="1" t="s">
        <v>2027</v>
      </c>
      <c r="X195" s="1" t="s">
        <v>2027</v>
      </c>
      <c r="Y195" s="1" t="s">
        <v>2027</v>
      </c>
      <c r="Z195" s="1" t="s">
        <v>2027</v>
      </c>
      <c r="AA195" s="1" t="s">
        <v>2027</v>
      </c>
      <c r="AB195" s="1">
        <v>3</v>
      </c>
      <c r="AC195" s="1">
        <v>4</v>
      </c>
      <c r="AD195" s="1">
        <v>3</v>
      </c>
      <c r="AE195" s="1">
        <v>4</v>
      </c>
      <c r="AF195" s="1" t="s">
        <v>2027</v>
      </c>
      <c r="AG195" s="1" t="s">
        <v>2027</v>
      </c>
      <c r="AH195" s="1" t="s">
        <v>2027</v>
      </c>
      <c r="AI195" s="1" t="s">
        <v>2027</v>
      </c>
      <c r="AJ195" s="1" t="s">
        <v>2027</v>
      </c>
      <c r="AK195" s="1" t="s">
        <v>2027</v>
      </c>
      <c r="AL195" s="1" t="s">
        <v>2027</v>
      </c>
      <c r="AM195" s="1" t="s">
        <v>2027</v>
      </c>
      <c r="AN195" s="1" t="s">
        <v>2027</v>
      </c>
      <c r="AO195" s="31" t="s">
        <v>2027</v>
      </c>
      <c r="AP195" s="1" t="s">
        <v>2034</v>
      </c>
      <c r="AQ195" s="1">
        <v>8</v>
      </c>
      <c r="AR195" s="32">
        <v>0.5</v>
      </c>
      <c r="AS195" s="45">
        <v>1900000</v>
      </c>
      <c r="AT195" s="9">
        <f>($O$3*(L195-$O$1)/$O$2+$P$3*(M195-$P$1)/$P$2+$Q$3*(N195-$P$1)/$Q$2)/SUM($O$3:$Q$3)</f>
        <v>-1.9204977641682581</v>
      </c>
      <c r="AU195" s="9">
        <f>($O$3*(O195-$O$1)/$O$2+$P$3*(P195-$P$1)/$P$2+$Q$3*(Q195-$Q$1)/$Q$2)/SUM($O$3:$Q$3)</f>
        <v>-0.35865866625050846</v>
      </c>
      <c r="AV195">
        <f>COUNT(R195:AO195)/2</f>
        <v>4</v>
      </c>
      <c r="AW195">
        <f>COUNTIF(R195:AO195,"&gt;5")/2</f>
        <v>0</v>
      </c>
      <c r="AX195" s="6">
        <f>VLOOKUP(AP195,COND!$A$10:$B$31,2,FALSE)</f>
        <v>1</v>
      </c>
      <c r="AY195" s="9">
        <f>($AT$3*AT195+$AU$3*AU195+$AV$3*AV195+$AW$3*AW195)*AX195*IF(AQ195&lt;5,0.95,IF(AQ195&lt;7,0.975,1))+$J$3*VLOOKUP(J195,[1]Con!$A$2:$C$7,2,FALSE)+$K$3*VLOOKUP(K195,[1]Con!$A$2:$C$7,3,FALSE)+IF(BA195="SP",$BA$3,0)</f>
        <v>23.442727122156178</v>
      </c>
      <c r="AZ195" s="37">
        <f>STANDARDIZE(AY195,AVERAGE($AY$5:$AY$1116),STDEVP($AY$5:$AY$1116))</f>
        <v>-0.83185204299758408</v>
      </c>
      <c r="BA195" t="str">
        <f>IF(OR(AND(AQ195&gt;7,AW195&gt;1),AND(AQ195&gt;4,AV195&gt;2)),"SP","RP")</f>
        <v>SP</v>
      </c>
      <c r="BC195">
        <f>VLOOKUP($A195,'Draft List'!$A$4:$V$530,22,FALSE)</f>
        <v>0</v>
      </c>
      <c r="BD195" t="s">
        <v>11</v>
      </c>
      <c r="BE195" t="str">
        <f>IF(AVERAGE($O195:$Q195)&gt;=6,"Likely",IF(AVERAGE($O195:$Q195)&gt;=4,"Possible","Unlikely"))</f>
        <v>Possible</v>
      </c>
      <c r="BG195" t="str">
        <f>IF(VLOOKUP($B195,'Draft List'!$D$4:$AB$2598,BG$3,FALSE)&lt;&gt;0,VLOOKUP($B195,'Draft List'!$D$4:$AB$2598,BG$3,FALSE),"")</f>
        <v/>
      </c>
      <c r="BH195" t="str">
        <f>IF(VLOOKUP($B195,'Draft List'!$D$4:$AB$2598,BH$3,FALSE)&lt;&gt;0,VLOOKUP($B195,'Draft List'!$D$4:$AB$2598,BH$3,FALSE),"")</f>
        <v/>
      </c>
      <c r="BI195" t="str">
        <f>IF(VLOOKUP($B195,'Draft List'!$D$4:$AB$2598,BI$3,FALSE)&lt;&gt;0,VLOOKUP($B195,'Draft List'!$D$4:$AB$2598,BI$3,FALSE),"")</f>
        <v/>
      </c>
      <c r="BJ195" t="str">
        <f>IF(OR(C195="SP",C195="MR",C195="CL"),"P",VLOOKUP($A195,Bat!$A$4:$AP$1287,42,FALSE))</f>
        <v>P</v>
      </c>
    </row>
    <row r="196" spans="1:62">
      <c r="A196" t="str">
        <f>C196&amp;D196&amp;E196</f>
        <v>MRMiguel Hernández18</v>
      </c>
      <c r="B196">
        <f>VLOOKUP($A196,draft_listing_pitchers_stats!$A$1:$B$1324,2,FALSE)</f>
        <v>13793</v>
      </c>
      <c r="C196" s="1" t="s">
        <v>2021</v>
      </c>
      <c r="D196" s="1" t="s">
        <v>1002</v>
      </c>
      <c r="E196" s="1">
        <v>18</v>
      </c>
      <c r="F196" s="1" t="s">
        <v>2038</v>
      </c>
      <c r="G196" s="1" t="s">
        <v>2038</v>
      </c>
      <c r="H196" s="1" t="s">
        <v>2033</v>
      </c>
      <c r="I196" s="31" t="s">
        <v>2033</v>
      </c>
      <c r="J196" s="1" t="s">
        <v>2036</v>
      </c>
      <c r="K196" s="31" t="s">
        <v>2026</v>
      </c>
      <c r="L196" s="1">
        <v>1</v>
      </c>
      <c r="M196" s="1">
        <v>3</v>
      </c>
      <c r="N196" s="31">
        <v>1</v>
      </c>
      <c r="O196" s="1">
        <v>3</v>
      </c>
      <c r="P196" s="1">
        <v>3</v>
      </c>
      <c r="Q196" s="31">
        <v>5</v>
      </c>
      <c r="R196" s="1">
        <v>2</v>
      </c>
      <c r="S196" s="1">
        <v>3</v>
      </c>
      <c r="T196" s="1">
        <v>1</v>
      </c>
      <c r="U196" s="1">
        <v>4</v>
      </c>
      <c r="V196" s="1">
        <v>1</v>
      </c>
      <c r="W196" s="1">
        <v>3</v>
      </c>
      <c r="X196" s="1">
        <v>1</v>
      </c>
      <c r="Y196" s="1">
        <v>1</v>
      </c>
      <c r="Z196" s="1" t="s">
        <v>2027</v>
      </c>
      <c r="AA196" s="1" t="s">
        <v>2027</v>
      </c>
      <c r="AB196" s="1" t="s">
        <v>2027</v>
      </c>
      <c r="AC196" s="1" t="s">
        <v>2027</v>
      </c>
      <c r="AD196" s="1" t="s">
        <v>2027</v>
      </c>
      <c r="AE196" s="1" t="s">
        <v>2027</v>
      </c>
      <c r="AF196" s="1" t="s">
        <v>2027</v>
      </c>
      <c r="AG196" s="1" t="s">
        <v>2027</v>
      </c>
      <c r="AH196" s="1" t="s">
        <v>2027</v>
      </c>
      <c r="AI196" s="1" t="s">
        <v>2027</v>
      </c>
      <c r="AJ196" s="1" t="s">
        <v>2027</v>
      </c>
      <c r="AK196" s="1" t="s">
        <v>2027</v>
      </c>
      <c r="AL196" s="1" t="s">
        <v>2027</v>
      </c>
      <c r="AM196" s="1" t="s">
        <v>2027</v>
      </c>
      <c r="AN196" s="1" t="s">
        <v>2027</v>
      </c>
      <c r="AO196" s="31" t="s">
        <v>2027</v>
      </c>
      <c r="AP196" s="1" t="s">
        <v>2037</v>
      </c>
      <c r="AQ196" s="1">
        <v>4</v>
      </c>
      <c r="AR196" s="32">
        <v>0.42</v>
      </c>
      <c r="AS196" s="45" t="s">
        <v>2029</v>
      </c>
      <c r="AT196" s="9">
        <f>($O$3*(L196-$O$1)/$O$2+$P$3*(M196-$P$1)/$P$2+$Q$3*(N196-$P$1)/$Q$2)/SUM($O$3:$Q$3)</f>
        <v>-2.310620805107487</v>
      </c>
      <c r="AU196" s="9">
        <f>($O$3*(O196-$O$1)/$O$2+$P$3*(P196-$P$1)/$P$2+$Q$3*(Q196-$Q$1)/$Q$2)/SUM($O$3:$Q$3)</f>
        <v>-0.5064611411356269</v>
      </c>
      <c r="AV196">
        <f>COUNT(R196:AO196)/2</f>
        <v>4</v>
      </c>
      <c r="AW196">
        <f>COUNTIF(R196:AO196,"&gt;5")/2</f>
        <v>0</v>
      </c>
      <c r="AX196" s="6">
        <f>VLOOKUP(AP196,COND!$A$10:$B$31,2,FALSE)</f>
        <v>0.85</v>
      </c>
      <c r="AY196" s="9">
        <f>($AT$3*AT196+$AU$3*AU196+$AV$3*AV196+$AW$3*AW196)*AX196*IF(AQ196&lt;5,0.95,IF(AQ196&lt;7,0.975,1))+$J$3*VLOOKUP(J196,[1]Con!$A$2:$C$7,2,FALSE)+$K$3*VLOOKUP(K196,[1]Con!$A$2:$C$7,3,FALSE)+IF(BA196="SP",$BA$3,0)</f>
        <v>23.362487310634769</v>
      </c>
      <c r="AZ196" s="37">
        <f>STANDARDIZE(AY196,AVERAGE($AY$5:$AY$1116),STDEVP($AY$5:$AY$1116))</f>
        <v>-0.83822200403448444</v>
      </c>
      <c r="BA196" t="str">
        <f>IF(OR(AND(AQ196&gt;7,AW196&gt;1),AND(AQ196&gt;4,AV196&gt;2)),"SP","RP")</f>
        <v>RP</v>
      </c>
      <c r="BC196">
        <f>VLOOKUP($A196,'Draft List'!$A$4:$V$530,22,FALSE)</f>
        <v>0</v>
      </c>
      <c r="BE196" t="str">
        <f>IF(AVERAGE($O196:$Q196)&gt;=6,"Likely",IF(AVERAGE($O196:$Q196)&gt;=4,"Possible","Unlikely"))</f>
        <v>Unlikely</v>
      </c>
      <c r="BG196" t="str">
        <f>IF(VLOOKUP($B196,'Draft List'!$D$4:$AB$2598,BG$3,FALSE)&lt;&gt;0,VLOOKUP($B196,'Draft List'!$D$4:$AB$2598,BG$3,FALSE),"")</f>
        <v/>
      </c>
      <c r="BH196" t="str">
        <f>IF(VLOOKUP($B196,'Draft List'!$D$4:$AB$2598,BH$3,FALSE)&lt;&gt;0,VLOOKUP($B196,'Draft List'!$D$4:$AB$2598,BH$3,FALSE),"")</f>
        <v/>
      </c>
      <c r="BI196" t="str">
        <f>IF(VLOOKUP($B196,'Draft List'!$D$4:$AB$2598,BI$3,FALSE)&lt;&gt;0,VLOOKUP($B196,'Draft List'!$D$4:$AB$2598,BI$3,FALSE),"")</f>
        <v/>
      </c>
      <c r="BJ196" t="str">
        <f>IF(OR(C196="SP",C196="MR",C196="CL"),"P",VLOOKUP($A196,Bat!$A$4:$AP$1287,42,FALSE))</f>
        <v>P</v>
      </c>
    </row>
    <row r="197" spans="1:62">
      <c r="A197" t="str">
        <f>C197&amp;D197&amp;E197</f>
        <v>MRCarlton Morris18</v>
      </c>
      <c r="B197">
        <f>VLOOKUP($A197,draft_listing_pitchers_stats!$A$1:$B$1324,2,FALSE)</f>
        <v>1836</v>
      </c>
      <c r="C197" s="1" t="s">
        <v>2021</v>
      </c>
      <c r="D197" s="1" t="s">
        <v>1031</v>
      </c>
      <c r="E197" s="1">
        <v>18</v>
      </c>
      <c r="F197" s="1" t="s">
        <v>2022</v>
      </c>
      <c r="G197" s="1" t="s">
        <v>2022</v>
      </c>
      <c r="H197" s="1" t="s">
        <v>2033</v>
      </c>
      <c r="I197" s="31" t="s">
        <v>2033</v>
      </c>
      <c r="J197" s="1" t="s">
        <v>2026</v>
      </c>
      <c r="K197" s="31" t="s">
        <v>2040</v>
      </c>
      <c r="L197" s="1">
        <v>2</v>
      </c>
      <c r="M197" s="1">
        <v>4</v>
      </c>
      <c r="N197" s="31">
        <v>1</v>
      </c>
      <c r="O197" s="1">
        <v>4</v>
      </c>
      <c r="P197" s="1">
        <v>4</v>
      </c>
      <c r="Q197" s="31">
        <v>4</v>
      </c>
      <c r="R197" s="1">
        <v>2</v>
      </c>
      <c r="S197" s="1">
        <v>3</v>
      </c>
      <c r="T197" s="1">
        <v>2</v>
      </c>
      <c r="U197" s="1">
        <v>7</v>
      </c>
      <c r="V197" s="1">
        <v>1</v>
      </c>
      <c r="W197" s="1">
        <v>2</v>
      </c>
      <c r="X197" s="1" t="s">
        <v>2027</v>
      </c>
      <c r="Y197" s="1" t="s">
        <v>2027</v>
      </c>
      <c r="Z197" s="1" t="s">
        <v>2027</v>
      </c>
      <c r="AA197" s="1" t="s">
        <v>2027</v>
      </c>
      <c r="AB197" s="1" t="s">
        <v>2027</v>
      </c>
      <c r="AC197" s="1" t="s">
        <v>2027</v>
      </c>
      <c r="AD197" s="1" t="s">
        <v>2027</v>
      </c>
      <c r="AE197" s="1" t="s">
        <v>2027</v>
      </c>
      <c r="AF197" s="1" t="s">
        <v>2027</v>
      </c>
      <c r="AG197" s="1" t="s">
        <v>2027</v>
      </c>
      <c r="AH197" s="1" t="s">
        <v>2027</v>
      </c>
      <c r="AI197" s="1" t="s">
        <v>2027</v>
      </c>
      <c r="AJ197" s="1" t="s">
        <v>2027</v>
      </c>
      <c r="AK197" s="1" t="s">
        <v>2027</v>
      </c>
      <c r="AL197" s="1" t="s">
        <v>2027</v>
      </c>
      <c r="AM197" s="1" t="s">
        <v>2027</v>
      </c>
      <c r="AN197" s="1" t="s">
        <v>2027</v>
      </c>
      <c r="AO197" s="31" t="s">
        <v>2027</v>
      </c>
      <c r="AP197" s="1" t="s">
        <v>2063</v>
      </c>
      <c r="AQ197" s="1">
        <v>9</v>
      </c>
      <c r="AR197" s="32">
        <v>0.47</v>
      </c>
      <c r="AS197" s="45" t="s">
        <v>2029</v>
      </c>
      <c r="AT197" s="9">
        <f>($O$3*(L197-$O$1)/$O$2+$P$3*(M197-$P$1)/$P$2+$Q$3*(N197-$P$1)/$Q$2)/SUM($O$3:$Q$3)</f>
        <v>-1.9204977641682581</v>
      </c>
      <c r="AU197" s="9">
        <f>($O$3*(O197-$O$1)/$O$2+$P$3*(P197-$P$1)/$P$2+$Q$3*(Q197-$Q$1)/$Q$2)/SUM($O$3:$Q$3)</f>
        <v>-0.35865866625050846</v>
      </c>
      <c r="AV197">
        <f>COUNT(R197:AO197)/2</f>
        <v>3</v>
      </c>
      <c r="AW197">
        <f>COUNTIF(R197:AO197,"&gt;5")/2</f>
        <v>0.5</v>
      </c>
      <c r="AX197" s="6">
        <f>VLOOKUP(AP197,COND!$A$10:$B$31,2,FALSE)</f>
        <v>0.9</v>
      </c>
      <c r="AY197" s="9">
        <f>($AT$3*AT197+$AU$3*AU197+$AV$3*AV197+$AW$3*AW197)*AX197*IF(AQ197&lt;5,0.95,IF(AQ197&lt;7,0.975,1))+$J$3*VLOOKUP(J197,[1]Con!$A$2:$C$7,2,FALSE)+$K$3*VLOOKUP(K197,[1]Con!$A$2:$C$7,3,FALSE)+IF(BA197="SP",$BA$3,0)</f>
        <v>23.360954409940561</v>
      </c>
      <c r="AZ197" s="37">
        <f>STANDARDIZE(AY197,AVERAGE($AY$5:$AY$1116),STDEVP($AY$5:$AY$1116))</f>
        <v>-0.83834369571733369</v>
      </c>
      <c r="BA197" t="str">
        <f>IF(OR(AND(AQ197&gt;7,AW197&gt;1),AND(AQ197&gt;4,AV197&gt;2)),"SP","RP")</f>
        <v>SP</v>
      </c>
      <c r="BC197">
        <f>VLOOKUP($A197,'Draft List'!$A$4:$V$530,22,FALSE)</f>
        <v>0</v>
      </c>
      <c r="BE197" t="str">
        <f>IF(AVERAGE($O197:$Q197)&gt;=6,"Likely",IF(AVERAGE($O197:$Q197)&gt;=4,"Possible","Unlikely"))</f>
        <v>Possible</v>
      </c>
      <c r="BG197" t="str">
        <f>IF(VLOOKUP($B197,'Draft List'!$D$4:$AB$2598,BG$3,FALSE)&lt;&gt;0,VLOOKUP($B197,'Draft List'!$D$4:$AB$2598,BG$3,FALSE),"")</f>
        <v/>
      </c>
      <c r="BH197" t="str">
        <f>IF(VLOOKUP($B197,'Draft List'!$D$4:$AB$2598,BH$3,FALSE)&lt;&gt;0,VLOOKUP($B197,'Draft List'!$D$4:$AB$2598,BH$3,FALSE),"")</f>
        <v/>
      </c>
      <c r="BI197" t="str">
        <f>IF(VLOOKUP($B197,'Draft List'!$D$4:$AB$2598,BI$3,FALSE)&lt;&gt;0,VLOOKUP($B197,'Draft List'!$D$4:$AB$2598,BI$3,FALSE),"")</f>
        <v/>
      </c>
      <c r="BJ197" t="str">
        <f>IF(OR(C197="SP",C197="MR",C197="CL"),"P",VLOOKUP($A197,Bat!$A$4:$AP$1287,42,FALSE))</f>
        <v>P</v>
      </c>
    </row>
    <row r="198" spans="1:62">
      <c r="A198" t="str">
        <f>C198&amp;D198&amp;E198</f>
        <v>MRBrooks Bates21</v>
      </c>
      <c r="B198">
        <f>VLOOKUP($A198,draft_listing_pitchers_stats!$A$1:$B$1324,2,FALSE)</f>
        <v>4159</v>
      </c>
      <c r="C198" s="1" t="s">
        <v>2021</v>
      </c>
      <c r="D198" s="1" t="s">
        <v>1172</v>
      </c>
      <c r="E198" s="1">
        <v>21</v>
      </c>
      <c r="F198" s="1" t="s">
        <v>2022</v>
      </c>
      <c r="G198" s="1" t="s">
        <v>2022</v>
      </c>
      <c r="H198" s="1" t="s">
        <v>2033</v>
      </c>
      <c r="I198" s="31" t="s">
        <v>2033</v>
      </c>
      <c r="J198" s="1" t="s">
        <v>2026</v>
      </c>
      <c r="K198" s="31" t="s">
        <v>2026</v>
      </c>
      <c r="L198" s="1">
        <v>4</v>
      </c>
      <c r="M198" s="1">
        <v>4</v>
      </c>
      <c r="N198" s="31">
        <v>2</v>
      </c>
      <c r="O198" s="1">
        <v>4</v>
      </c>
      <c r="P198" s="1">
        <v>4</v>
      </c>
      <c r="Q198" s="31">
        <v>4</v>
      </c>
      <c r="R198" s="1">
        <v>5</v>
      </c>
      <c r="S198" s="1">
        <v>5</v>
      </c>
      <c r="T198" s="1">
        <v>2</v>
      </c>
      <c r="U198" s="1">
        <v>3</v>
      </c>
      <c r="V198" s="1" t="s">
        <v>2027</v>
      </c>
      <c r="W198" s="1" t="s">
        <v>2027</v>
      </c>
      <c r="X198" s="1">
        <v>3</v>
      </c>
      <c r="Y198" s="1">
        <v>3</v>
      </c>
      <c r="Z198" s="1" t="s">
        <v>2027</v>
      </c>
      <c r="AA198" s="1" t="s">
        <v>2027</v>
      </c>
      <c r="AB198" s="1" t="s">
        <v>2027</v>
      </c>
      <c r="AC198" s="1" t="s">
        <v>2027</v>
      </c>
      <c r="AD198" s="1" t="s">
        <v>2027</v>
      </c>
      <c r="AE198" s="1" t="s">
        <v>2027</v>
      </c>
      <c r="AF198" s="1" t="s">
        <v>2027</v>
      </c>
      <c r="AG198" s="1" t="s">
        <v>2027</v>
      </c>
      <c r="AH198" s="1">
        <v>3</v>
      </c>
      <c r="AI198" s="1">
        <v>3</v>
      </c>
      <c r="AJ198" s="1" t="s">
        <v>2027</v>
      </c>
      <c r="AK198" s="1" t="s">
        <v>2027</v>
      </c>
      <c r="AL198" s="1" t="s">
        <v>2027</v>
      </c>
      <c r="AM198" s="1" t="s">
        <v>2027</v>
      </c>
      <c r="AN198" s="1" t="s">
        <v>2027</v>
      </c>
      <c r="AO198" s="31" t="s">
        <v>2027</v>
      </c>
      <c r="AP198" s="1" t="s">
        <v>2044</v>
      </c>
      <c r="AQ198" s="1">
        <v>3</v>
      </c>
      <c r="AR198" s="32">
        <v>0.49</v>
      </c>
      <c r="AS198" s="45" t="s">
        <v>2029</v>
      </c>
      <c r="AT198" s="9">
        <f>($O$3*(L198-$O$1)/$O$2+$P$3*(M198-$P$1)/$P$2+$Q$3*(N198-$P$1)/$Q$2)/SUM($O$3:$Q$3)</f>
        <v>-1.288794549095801</v>
      </c>
      <c r="AU198" s="9">
        <f>($O$3*(O198-$O$1)/$O$2+$P$3*(P198-$P$1)/$P$2+$Q$3*(Q198-$Q$1)/$Q$2)/SUM($O$3:$Q$3)</f>
        <v>-0.35865866625050846</v>
      </c>
      <c r="AV198">
        <f>COUNT(R198:AO198)/2</f>
        <v>4</v>
      </c>
      <c r="AW198">
        <f>COUNTIF(R198:AO198,"&gt;5")/2</f>
        <v>0</v>
      </c>
      <c r="AX198" s="6">
        <f>VLOOKUP(AP198,COND!$A$10:$B$31,2,FALSE)</f>
        <v>1</v>
      </c>
      <c r="AY198" s="9">
        <f>($AT$3*AT198+$AU$3*AU198+$AV$3*AV198+$AW$3*AW198)*AX198*IF(AQ198&lt;5,0.95,IF(AQ198&lt;7,0.975,1))+$J$3*VLOOKUP(J198,[1]Con!$A$2:$C$7,2,FALSE)+$K$3*VLOOKUP(K198,[1]Con!$A$2:$C$7,3,FALSE)+IF(BA198="SP",$BA$3,0)</f>
        <v>23.340614376912136</v>
      </c>
      <c r="AZ198" s="37">
        <f>STANDARDIZE(AY198,AVERAGE($AY$5:$AY$1116),STDEVP($AY$5:$AY$1116))</f>
        <v>-0.8399584205705416</v>
      </c>
      <c r="BA198" t="str">
        <f>IF(OR(AND(AQ198&gt;7,AW198&gt;1),AND(AQ198&gt;4,AV198&gt;2)),"SP","RP")</f>
        <v>RP</v>
      </c>
      <c r="BC198">
        <f>VLOOKUP($A198,'Draft List'!$A$4:$V$530,22,FALSE)</f>
        <v>0</v>
      </c>
      <c r="BE198" t="str">
        <f>IF(AVERAGE($O198:$Q198)&gt;=6,"Likely",IF(AVERAGE($O198:$Q198)&gt;=4,"Possible","Unlikely"))</f>
        <v>Possible</v>
      </c>
      <c r="BG198" t="str">
        <f>IF(VLOOKUP($B198,'Draft List'!$D$4:$AB$2598,BG$3,FALSE)&lt;&gt;0,VLOOKUP($B198,'Draft List'!$D$4:$AB$2598,BG$3,FALSE),"")</f>
        <v/>
      </c>
      <c r="BH198" t="str">
        <f>IF(VLOOKUP($B198,'Draft List'!$D$4:$AB$2598,BH$3,FALSE)&lt;&gt;0,VLOOKUP($B198,'Draft List'!$D$4:$AB$2598,BH$3,FALSE),"")</f>
        <v/>
      </c>
      <c r="BI198" t="str">
        <f>IF(VLOOKUP($B198,'Draft List'!$D$4:$AB$2598,BI$3,FALSE)&lt;&gt;0,VLOOKUP($B198,'Draft List'!$D$4:$AB$2598,BI$3,FALSE),"")</f>
        <v/>
      </c>
      <c r="BJ198" t="str">
        <f>IF(OR(C198="SP",C198="MR",C198="CL"),"P",VLOOKUP($A198,Bat!$A$4:$AP$1287,42,FALSE))</f>
        <v>P</v>
      </c>
    </row>
    <row r="199" spans="1:62">
      <c r="A199" t="str">
        <f>C199&amp;D199&amp;E199</f>
        <v>MRRick Wilson18</v>
      </c>
      <c r="B199">
        <f>VLOOKUP($A199,draft_listing_pitchers_stats!$A$1:$B$1324,2,FALSE)</f>
        <v>13802</v>
      </c>
      <c r="C199" s="1" t="s">
        <v>2021</v>
      </c>
      <c r="D199" s="1" t="s">
        <v>1260</v>
      </c>
      <c r="E199" s="1">
        <v>18</v>
      </c>
      <c r="F199" s="1" t="s">
        <v>2022</v>
      </c>
      <c r="G199" s="1" t="s">
        <v>2022</v>
      </c>
      <c r="H199" s="1" t="s">
        <v>2033</v>
      </c>
      <c r="I199" s="31" t="s">
        <v>2033</v>
      </c>
      <c r="J199" s="1" t="s">
        <v>2026</v>
      </c>
      <c r="K199" s="31" t="s">
        <v>2040</v>
      </c>
      <c r="L199" s="1">
        <v>2</v>
      </c>
      <c r="M199" s="1">
        <v>4</v>
      </c>
      <c r="N199" s="31">
        <v>1</v>
      </c>
      <c r="O199" s="1">
        <v>3</v>
      </c>
      <c r="P199" s="1">
        <v>5</v>
      </c>
      <c r="Q199" s="31">
        <v>4</v>
      </c>
      <c r="R199" s="1" t="s">
        <v>2027</v>
      </c>
      <c r="S199" s="1" t="s">
        <v>2027</v>
      </c>
      <c r="T199" s="1">
        <v>1</v>
      </c>
      <c r="U199" s="1">
        <v>1</v>
      </c>
      <c r="V199" s="1" t="s">
        <v>2027</v>
      </c>
      <c r="W199" s="1" t="s">
        <v>2027</v>
      </c>
      <c r="X199" s="1">
        <v>2</v>
      </c>
      <c r="Y199" s="1">
        <v>5</v>
      </c>
      <c r="Z199" s="1" t="s">
        <v>2027</v>
      </c>
      <c r="AA199" s="1" t="s">
        <v>2027</v>
      </c>
      <c r="AB199" s="1" t="s">
        <v>2027</v>
      </c>
      <c r="AC199" s="1" t="s">
        <v>2027</v>
      </c>
      <c r="AD199" s="1">
        <v>2</v>
      </c>
      <c r="AE199" s="1">
        <v>4</v>
      </c>
      <c r="AF199" s="1" t="s">
        <v>2027</v>
      </c>
      <c r="AG199" s="1" t="s">
        <v>2027</v>
      </c>
      <c r="AH199" s="1" t="s">
        <v>2027</v>
      </c>
      <c r="AI199" s="1" t="s">
        <v>2027</v>
      </c>
      <c r="AJ199" s="1" t="s">
        <v>2027</v>
      </c>
      <c r="AK199" s="1" t="s">
        <v>2027</v>
      </c>
      <c r="AL199" s="1" t="s">
        <v>2027</v>
      </c>
      <c r="AM199" s="1" t="s">
        <v>2027</v>
      </c>
      <c r="AN199" s="1" t="s">
        <v>2027</v>
      </c>
      <c r="AO199" s="31" t="s">
        <v>2027</v>
      </c>
      <c r="AP199" s="1" t="s">
        <v>2037</v>
      </c>
      <c r="AQ199" s="1">
        <v>6</v>
      </c>
      <c r="AR199" s="32">
        <v>0.45</v>
      </c>
      <c r="AS199" s="45" t="s">
        <v>2029</v>
      </c>
      <c r="AT199" s="9">
        <f>($O$3*(L199-$O$1)/$O$2+$P$3*(M199-$P$1)/$P$2+$Q$3*(N199-$P$1)/$Q$2)/SUM($O$3:$Q$3)</f>
        <v>-1.9204977641682581</v>
      </c>
      <c r="AU199" s="9">
        <f>($O$3*(O199-$O$1)/$O$2+$P$3*(P199-$P$1)/$P$2+$Q$3*(Q199-$Q$1)/$Q$2)/SUM($O$3:$Q$3)</f>
        <v>-0.35791827432962653</v>
      </c>
      <c r="AV199">
        <f>COUNT(R199:AO199)/2</f>
        <v>3</v>
      </c>
      <c r="AW199">
        <f>COUNTIF(R199:AO199,"&gt;5")/2</f>
        <v>0</v>
      </c>
      <c r="AX199" s="6">
        <f>VLOOKUP(AP199,COND!$A$10:$B$31,2,FALSE)</f>
        <v>0.85</v>
      </c>
      <c r="AY199" s="9">
        <f>($AT$3*AT199+$AU$3*AU199+$AV$3*AV199+$AW$3*AW199)*AX199*IF(AQ199&lt;5,0.95,IF(AQ199&lt;7,0.975,1))+$J$3*VLOOKUP(J199,[1]Con!$A$2:$C$7,2,FALSE)+$K$3*VLOOKUP(K199,[1]Con!$A$2:$C$7,3,FALSE)+IF(BA199="SP",$BA$3,0)</f>
        <v>23.242307098575552</v>
      </c>
      <c r="AZ199" s="37">
        <f>STANDARDIZE(AY199,AVERAGE($AY$5:$AY$1116),STDEVP($AY$5:$AY$1116))</f>
        <v>-0.8477626952912104</v>
      </c>
      <c r="BA199" t="str">
        <f>IF(OR(AND(AQ199&gt;7,AW199&gt;1),AND(AQ199&gt;4,AV199&gt;2)),"SP","RP")</f>
        <v>SP</v>
      </c>
      <c r="BC199">
        <f>VLOOKUP($A199,'Draft List'!$A$4:$V$530,22,FALSE)</f>
        <v>0</v>
      </c>
      <c r="BE199" t="str">
        <f>IF(AVERAGE($O199:$Q199)&gt;=6,"Likely",IF(AVERAGE($O199:$Q199)&gt;=4,"Possible","Unlikely"))</f>
        <v>Possible</v>
      </c>
      <c r="BG199" t="str">
        <f>IF(VLOOKUP($B199,'Draft List'!$D$4:$AB$2598,BG$3,FALSE)&lt;&gt;0,VLOOKUP($B199,'Draft List'!$D$4:$AB$2598,BG$3,FALSE),"")</f>
        <v/>
      </c>
      <c r="BH199" t="str">
        <f>IF(VLOOKUP($B199,'Draft List'!$D$4:$AB$2598,BH$3,FALSE)&lt;&gt;0,VLOOKUP($B199,'Draft List'!$D$4:$AB$2598,BH$3,FALSE),"")</f>
        <v/>
      </c>
      <c r="BI199" t="str">
        <f>IF(VLOOKUP($B199,'Draft List'!$D$4:$AB$2598,BI$3,FALSE)&lt;&gt;0,VLOOKUP($B199,'Draft List'!$D$4:$AB$2598,BI$3,FALSE),"")</f>
        <v/>
      </c>
      <c r="BJ199" t="str">
        <f>IF(OR(C199="SP",C199="MR",C199="CL"),"P",VLOOKUP($A199,Bat!$A$4:$AP$1287,42,FALSE))</f>
        <v>P</v>
      </c>
    </row>
    <row r="200" spans="1:62">
      <c r="A200" t="str">
        <f>C200&amp;D200&amp;E200</f>
        <v>MRDarwin Miller18</v>
      </c>
      <c r="B200">
        <f>VLOOKUP($A200,draft_listing_pitchers_stats!$A$1:$B$1324,2,FALSE)</f>
        <v>13842</v>
      </c>
      <c r="C200" s="1" t="s">
        <v>2021</v>
      </c>
      <c r="D200" s="1" t="s">
        <v>1028</v>
      </c>
      <c r="E200" s="1">
        <v>18</v>
      </c>
      <c r="F200" s="1" t="s">
        <v>2022</v>
      </c>
      <c r="G200" s="1" t="s">
        <v>2038</v>
      </c>
      <c r="H200" s="1" t="s">
        <v>2033</v>
      </c>
      <c r="I200" s="31" t="s">
        <v>2033</v>
      </c>
      <c r="J200" s="1" t="s">
        <v>2026</v>
      </c>
      <c r="K200" s="31" t="s">
        <v>2025</v>
      </c>
      <c r="L200" s="1">
        <v>1</v>
      </c>
      <c r="M200" s="1">
        <v>4</v>
      </c>
      <c r="N200" s="31">
        <v>1</v>
      </c>
      <c r="O200" s="1">
        <v>3</v>
      </c>
      <c r="P200" s="1">
        <v>4</v>
      </c>
      <c r="Q200" s="31">
        <v>4</v>
      </c>
      <c r="R200" s="1">
        <v>2</v>
      </c>
      <c r="S200" s="1">
        <v>3</v>
      </c>
      <c r="T200" s="1">
        <v>1</v>
      </c>
      <c r="U200" s="1">
        <v>4</v>
      </c>
      <c r="V200" s="1">
        <v>1</v>
      </c>
      <c r="W200" s="1">
        <v>4</v>
      </c>
      <c r="X200" s="1" t="s">
        <v>2027</v>
      </c>
      <c r="Y200" s="1" t="s">
        <v>2027</v>
      </c>
      <c r="Z200" s="1" t="s">
        <v>2027</v>
      </c>
      <c r="AA200" s="1" t="s">
        <v>2027</v>
      </c>
      <c r="AB200" s="1" t="s">
        <v>2027</v>
      </c>
      <c r="AC200" s="1" t="s">
        <v>2027</v>
      </c>
      <c r="AD200" s="1" t="s">
        <v>2027</v>
      </c>
      <c r="AE200" s="1" t="s">
        <v>2027</v>
      </c>
      <c r="AF200" s="1">
        <v>2</v>
      </c>
      <c r="AG200" s="1">
        <v>2</v>
      </c>
      <c r="AH200" s="1" t="s">
        <v>2027</v>
      </c>
      <c r="AI200" s="1" t="s">
        <v>2027</v>
      </c>
      <c r="AJ200" s="1" t="s">
        <v>2027</v>
      </c>
      <c r="AK200" s="1" t="s">
        <v>2027</v>
      </c>
      <c r="AL200" s="1" t="s">
        <v>2027</v>
      </c>
      <c r="AM200" s="1" t="s">
        <v>2027</v>
      </c>
      <c r="AN200" s="1" t="s">
        <v>2027</v>
      </c>
      <c r="AO200" s="31" t="s">
        <v>2027</v>
      </c>
      <c r="AP200" s="1" t="s">
        <v>2037</v>
      </c>
      <c r="AQ200" s="1">
        <v>7</v>
      </c>
      <c r="AR200" s="32">
        <v>0.5</v>
      </c>
      <c r="AS200" s="45" t="s">
        <v>2029</v>
      </c>
      <c r="AT200" s="9">
        <f>($O$3*(L200-$O$1)/$O$2+$P$3*(M200-$P$1)/$P$2+$Q$3*(N200-$P$1)/$Q$2)/SUM($O$3:$Q$3)</f>
        <v>-2.1151890886774316</v>
      </c>
      <c r="AU200" s="9">
        <f>($O$3*(O200-$O$1)/$O$2+$P$3*(P200-$P$1)/$P$2+$Q$3*(Q200-$Q$1)/$Q$2)/SUM($O$3:$Q$3)</f>
        <v>-0.55334999075968205</v>
      </c>
      <c r="AV200">
        <f>COUNT(R200:AO200)/2</f>
        <v>4</v>
      </c>
      <c r="AW200">
        <f>COUNTIF(R200:AO200,"&gt;5")/2</f>
        <v>0</v>
      </c>
      <c r="AX200" s="6">
        <f>VLOOKUP(AP200,COND!$A$10:$B$31,2,FALSE)</f>
        <v>0.85</v>
      </c>
      <c r="AY200" s="9">
        <f>($AT$3*AT200+$AU$3*AU200+$AV$3*AV200+$AW$3*AW200)*AX200*IF(AQ200&lt;5,0.95,IF(AQ200&lt;7,0.975,1))+$J$3*VLOOKUP(J200,[1]Con!$A$2:$C$7,2,FALSE)+$K$3*VLOOKUP(K200,[1]Con!$A$2:$C$7,3,FALSE)+IF(BA200="SP",$BA$3,0)</f>
        <v>23.183468012010245</v>
      </c>
      <c r="AZ200" s="37">
        <f>STANDARDIZE(AY200,AVERAGE($AY$5:$AY$1116),STDEVP($AY$5:$AY$1116))</f>
        <v>-0.85243372681236262</v>
      </c>
      <c r="BA200" t="str">
        <f>IF(OR(AND(AQ200&gt;7,AW200&gt;1),AND(AQ200&gt;4,AV200&gt;2)),"SP","RP")</f>
        <v>SP</v>
      </c>
      <c r="BC200">
        <f>VLOOKUP($A200,'Draft List'!$A$4:$V$530,22,FALSE)</f>
        <v>0</v>
      </c>
      <c r="BE200" t="str">
        <f>IF(AVERAGE($O200:$Q200)&gt;=6,"Likely",IF(AVERAGE($O200:$Q200)&gt;=4,"Possible","Unlikely"))</f>
        <v>Unlikely</v>
      </c>
      <c r="BG200" t="str">
        <f>IF(VLOOKUP($B200,'Draft List'!$D$4:$AB$2598,BG$3,FALSE)&lt;&gt;0,VLOOKUP($B200,'Draft List'!$D$4:$AB$2598,BG$3,FALSE),"")</f>
        <v/>
      </c>
      <c r="BH200" t="str">
        <f>IF(VLOOKUP($B200,'Draft List'!$D$4:$AB$2598,BH$3,FALSE)&lt;&gt;0,VLOOKUP($B200,'Draft List'!$D$4:$AB$2598,BH$3,FALSE),"")</f>
        <v/>
      </c>
      <c r="BI200" t="str">
        <f>IF(VLOOKUP($B200,'Draft List'!$D$4:$AB$2598,BI$3,FALSE)&lt;&gt;0,VLOOKUP($B200,'Draft List'!$D$4:$AB$2598,BI$3,FALSE),"")</f>
        <v/>
      </c>
      <c r="BJ200" t="str">
        <f>IF(OR(C200="SP",C200="MR",C200="CL"),"P",VLOOKUP($A200,Bat!$A$4:$AP$1287,42,FALSE))</f>
        <v>P</v>
      </c>
    </row>
    <row r="201" spans="1:62">
      <c r="A201" t="str">
        <f>C201&amp;D201&amp;E201</f>
        <v>SPJudd Alexander21</v>
      </c>
      <c r="B201">
        <f>VLOOKUP($A201,draft_listing_pitchers_stats!$A$1:$B$1324,2,FALSE)</f>
        <v>9377</v>
      </c>
      <c r="C201" s="1" t="s">
        <v>2003</v>
      </c>
      <c r="D201" s="1" t="s">
        <v>1167</v>
      </c>
      <c r="E201" s="1">
        <v>21</v>
      </c>
      <c r="F201" s="1" t="s">
        <v>2038</v>
      </c>
      <c r="G201" s="1" t="s">
        <v>2038</v>
      </c>
      <c r="H201" s="1" t="s">
        <v>2033</v>
      </c>
      <c r="I201" s="31" t="s">
        <v>2033</v>
      </c>
      <c r="J201" s="1" t="s">
        <v>2036</v>
      </c>
      <c r="K201" s="31" t="s">
        <v>2025</v>
      </c>
      <c r="L201" s="1">
        <v>3</v>
      </c>
      <c r="M201" s="1">
        <v>3</v>
      </c>
      <c r="N201" s="31">
        <v>2</v>
      </c>
      <c r="O201" s="1">
        <v>4</v>
      </c>
      <c r="P201" s="1">
        <v>3</v>
      </c>
      <c r="Q201" s="31">
        <v>4</v>
      </c>
      <c r="R201" s="1">
        <v>5</v>
      </c>
      <c r="S201" s="1">
        <v>5</v>
      </c>
      <c r="T201" s="1">
        <v>3</v>
      </c>
      <c r="U201" s="1">
        <v>4</v>
      </c>
      <c r="V201" s="1" t="s">
        <v>2027</v>
      </c>
      <c r="W201" s="1" t="s">
        <v>2027</v>
      </c>
      <c r="X201" s="1">
        <v>4</v>
      </c>
      <c r="Y201" s="1">
        <v>4</v>
      </c>
      <c r="Z201" s="1" t="s">
        <v>2027</v>
      </c>
      <c r="AA201" s="1" t="s">
        <v>2027</v>
      </c>
      <c r="AB201" s="1" t="s">
        <v>2027</v>
      </c>
      <c r="AC201" s="1" t="s">
        <v>2027</v>
      </c>
      <c r="AD201" s="1" t="s">
        <v>2027</v>
      </c>
      <c r="AE201" s="1" t="s">
        <v>2027</v>
      </c>
      <c r="AF201" s="1" t="s">
        <v>2027</v>
      </c>
      <c r="AG201" s="1" t="s">
        <v>2027</v>
      </c>
      <c r="AH201" s="1" t="s">
        <v>2027</v>
      </c>
      <c r="AI201" s="1" t="s">
        <v>2027</v>
      </c>
      <c r="AJ201" s="1" t="s">
        <v>2027</v>
      </c>
      <c r="AK201" s="1" t="s">
        <v>2027</v>
      </c>
      <c r="AL201" s="1" t="s">
        <v>2027</v>
      </c>
      <c r="AM201" s="1" t="s">
        <v>2027</v>
      </c>
      <c r="AN201" s="1" t="s">
        <v>2027</v>
      </c>
      <c r="AO201" s="31" t="s">
        <v>2027</v>
      </c>
      <c r="AP201" s="1" t="s">
        <v>2044</v>
      </c>
      <c r="AQ201" s="1">
        <v>7</v>
      </c>
      <c r="AR201" s="32">
        <v>0.41</v>
      </c>
      <c r="AS201" s="45" t="s">
        <v>2029</v>
      </c>
      <c r="AT201" s="9">
        <f>($O$3*(L201-$O$1)/$O$2+$P$3*(M201-$P$1)/$P$2+$Q$3*(N201-$P$1)/$Q$2)/SUM($O$3:$Q$3)</f>
        <v>-1.6789175900350299</v>
      </c>
      <c r="AU201" s="9">
        <f>($O$3*(O201-$O$1)/$O$2+$P$3*(P201-$P$1)/$P$2+$Q$3*(Q201-$Q$1)/$Q$2)/SUM($O$3:$Q$3)</f>
        <v>-0.55409038268056388</v>
      </c>
      <c r="AV201">
        <f>COUNT(R201:AO201)/2</f>
        <v>3</v>
      </c>
      <c r="AW201">
        <f>COUNTIF(R201:AO201,"&gt;5")/2</f>
        <v>0</v>
      </c>
      <c r="AX201" s="6">
        <f>VLOOKUP(AP201,COND!$A$10:$B$31,2,FALSE)</f>
        <v>1</v>
      </c>
      <c r="AY201" s="9">
        <f>($AT$3*AT201+$AU$3*AU201+$AV$3*AV201+$AW$3*AW201)*AX201*IF(AQ201&lt;5,0.95,IF(AQ201&lt;7,0.975,1))+$J$3*VLOOKUP(J201,[1]Con!$A$2:$C$7,2,FALSE)+$K$3*VLOOKUP(K201,[1]Con!$A$2:$C$7,3,FALSE)+IF(BA201="SP",$BA$3,0)</f>
        <v>23.132408828381717</v>
      </c>
      <c r="AZ201" s="37">
        <f>STANDARDIZE(AY201,AVERAGE($AY$5:$AY$1116),STDEVP($AY$5:$AY$1116))</f>
        <v>-0.85648713875492288</v>
      </c>
      <c r="BA201" t="str">
        <f>IF(OR(AND(AQ201&gt;7,AW201&gt;1),AND(AQ201&gt;4,AV201&gt;2)),"SP","RP")</f>
        <v>SP</v>
      </c>
      <c r="BC201">
        <f>VLOOKUP($A201,'Draft List'!$A$4:$V$530,22,FALSE)</f>
        <v>0</v>
      </c>
      <c r="BE201" t="str">
        <f>IF(AVERAGE($O201:$Q201)&gt;=6,"Likely",IF(AVERAGE($O201:$Q201)&gt;=4,"Possible","Unlikely"))</f>
        <v>Unlikely</v>
      </c>
      <c r="BG201" t="str">
        <f>IF(VLOOKUP($B201,'Draft List'!$D$4:$AB$2598,BG$3,FALSE)&lt;&gt;0,VLOOKUP($B201,'Draft List'!$D$4:$AB$2598,BG$3,FALSE),"")</f>
        <v/>
      </c>
      <c r="BH201" t="str">
        <f>IF(VLOOKUP($B201,'Draft List'!$D$4:$AB$2598,BH$3,FALSE)&lt;&gt;0,VLOOKUP($B201,'Draft List'!$D$4:$AB$2598,BH$3,FALSE),"")</f>
        <v/>
      </c>
      <c r="BI201" t="str">
        <f>IF(VLOOKUP($B201,'Draft List'!$D$4:$AB$2598,BI$3,FALSE)&lt;&gt;0,VLOOKUP($B201,'Draft List'!$D$4:$AB$2598,BI$3,FALSE),"")</f>
        <v/>
      </c>
      <c r="BJ201" t="str">
        <f>IF(OR(C201="SP",C201="MR",C201="CL"),"P",VLOOKUP($A201,Bat!$A$4:$AP$1287,42,FALSE))</f>
        <v>P</v>
      </c>
    </row>
    <row r="202" spans="1:62">
      <c r="A202" t="str">
        <f>C202&amp;D202&amp;E202</f>
        <v>SPJosé Bautista18</v>
      </c>
      <c r="B202">
        <f>VLOOKUP($A202,draft_listing_pitchers_stats!$A$1:$B$1324,2,FALSE)</f>
        <v>211</v>
      </c>
      <c r="C202" s="1" t="s">
        <v>2003</v>
      </c>
      <c r="D202" s="1" t="s">
        <v>1173</v>
      </c>
      <c r="E202" s="1">
        <v>18</v>
      </c>
      <c r="F202" s="1" t="s">
        <v>2049</v>
      </c>
      <c r="G202" s="1" t="s">
        <v>2022</v>
      </c>
      <c r="H202" s="1" t="s">
        <v>2033</v>
      </c>
      <c r="I202" s="31" t="s">
        <v>2033</v>
      </c>
      <c r="J202" s="1" t="s">
        <v>2040</v>
      </c>
      <c r="K202" s="31" t="s">
        <v>2025</v>
      </c>
      <c r="L202" s="1">
        <v>2</v>
      </c>
      <c r="M202" s="1">
        <v>4</v>
      </c>
      <c r="N202" s="31">
        <v>1</v>
      </c>
      <c r="O202" s="1">
        <v>4</v>
      </c>
      <c r="P202" s="1">
        <v>4</v>
      </c>
      <c r="Q202" s="31">
        <v>4</v>
      </c>
      <c r="R202" s="1">
        <v>3</v>
      </c>
      <c r="S202" s="1">
        <v>4</v>
      </c>
      <c r="T202" s="1">
        <v>1</v>
      </c>
      <c r="U202" s="1">
        <v>3</v>
      </c>
      <c r="V202" s="1" t="s">
        <v>2027</v>
      </c>
      <c r="W202" s="1" t="s">
        <v>2027</v>
      </c>
      <c r="X202" s="1" t="s">
        <v>2027</v>
      </c>
      <c r="Y202" s="1" t="s">
        <v>2027</v>
      </c>
      <c r="Z202" s="1" t="s">
        <v>2027</v>
      </c>
      <c r="AA202" s="1" t="s">
        <v>2027</v>
      </c>
      <c r="AB202" s="1" t="s">
        <v>2027</v>
      </c>
      <c r="AC202" s="1" t="s">
        <v>2027</v>
      </c>
      <c r="AD202" s="1">
        <v>3</v>
      </c>
      <c r="AE202" s="1">
        <v>4</v>
      </c>
      <c r="AF202" s="1" t="s">
        <v>2027</v>
      </c>
      <c r="AG202" s="1" t="s">
        <v>2027</v>
      </c>
      <c r="AH202" s="1" t="s">
        <v>2027</v>
      </c>
      <c r="AI202" s="1" t="s">
        <v>2027</v>
      </c>
      <c r="AJ202" s="1" t="s">
        <v>2027</v>
      </c>
      <c r="AK202" s="1" t="s">
        <v>2027</v>
      </c>
      <c r="AL202" s="1" t="s">
        <v>2027</v>
      </c>
      <c r="AM202" s="1" t="s">
        <v>2027</v>
      </c>
      <c r="AN202" s="1" t="s">
        <v>2027</v>
      </c>
      <c r="AO202" s="31" t="s">
        <v>2027</v>
      </c>
      <c r="AP202" s="1" t="s">
        <v>2034</v>
      </c>
      <c r="AQ202" s="1">
        <v>6</v>
      </c>
      <c r="AR202" s="32">
        <v>0.48</v>
      </c>
      <c r="AS202" s="45" t="s">
        <v>2029</v>
      </c>
      <c r="AT202" s="9">
        <f>($O$3*(L202-$O$1)/$O$2+$P$3*(M202-$P$1)/$P$2+$Q$3*(N202-$P$1)/$Q$2)/SUM($O$3:$Q$3)</f>
        <v>-1.9204977641682581</v>
      </c>
      <c r="AU202" s="9">
        <f>($O$3*(O202-$O$1)/$O$2+$P$3*(P202-$P$1)/$P$2+$Q$3*(Q202-$Q$1)/$Q$2)/SUM($O$3:$Q$3)</f>
        <v>-0.35865866625050846</v>
      </c>
      <c r="AV202">
        <f>COUNT(R202:AO202)/2</f>
        <v>3</v>
      </c>
      <c r="AW202">
        <f>COUNTIF(R202:AO202,"&gt;5")/2</f>
        <v>0</v>
      </c>
      <c r="AX202" s="6">
        <f>VLOOKUP(AP202,COND!$A$10:$B$31,2,FALSE)</f>
        <v>1</v>
      </c>
      <c r="AY202" s="9">
        <f>($AT$3*AT202+$AU$3*AU202+$AV$3*AV202+$AW$3*AW202)*AX202*IF(AQ202&lt;5,0.95,IF(AQ202&lt;7,0.975,1))+$J$3*VLOOKUP(J202,[1]Con!$A$2:$C$7,2,FALSE)+$K$3*VLOOKUP(K202,[1]Con!$A$2:$C$7,3,FALSE)+IF(BA202="SP",$BA$3,0)</f>
        <v>23.094158944102276</v>
      </c>
      <c r="AZ202" s="37">
        <f>STANDARDIZE(AY202,AVERAGE($AY$5:$AY$1116),STDEVP($AY$5:$AY$1116))</f>
        <v>-0.8595236647375516</v>
      </c>
      <c r="BA202" t="str">
        <f>IF(OR(AND(AQ202&gt;7,AW202&gt;1),AND(AQ202&gt;4,AV202&gt;2)),"SP","RP")</f>
        <v>SP</v>
      </c>
      <c r="BC202">
        <f>VLOOKUP($A202,'Draft List'!$A$4:$V$530,22,FALSE)</f>
        <v>0</v>
      </c>
      <c r="BE202" t="str">
        <f>IF(AVERAGE($O202:$Q202)&gt;=6,"Likely",IF(AVERAGE($O202:$Q202)&gt;=4,"Possible","Unlikely"))</f>
        <v>Possible</v>
      </c>
      <c r="BG202" t="str">
        <f>IF(VLOOKUP($B202,'Draft List'!$D$4:$AB$2598,BG$3,FALSE)&lt;&gt;0,VLOOKUP($B202,'Draft List'!$D$4:$AB$2598,BG$3,FALSE),"")</f>
        <v/>
      </c>
      <c r="BH202" t="str">
        <f>IF(VLOOKUP($B202,'Draft List'!$D$4:$AB$2598,BH$3,FALSE)&lt;&gt;0,VLOOKUP($B202,'Draft List'!$D$4:$AB$2598,BH$3,FALSE),"")</f>
        <v/>
      </c>
      <c r="BI202" t="str">
        <f>IF(VLOOKUP($B202,'Draft List'!$D$4:$AB$2598,BI$3,FALSE)&lt;&gt;0,VLOOKUP($B202,'Draft List'!$D$4:$AB$2598,BI$3,FALSE),"")</f>
        <v/>
      </c>
      <c r="BJ202" t="str">
        <f>IF(OR(C202="SP",C202="MR",C202="CL"),"P",VLOOKUP($A202,Bat!$A$4:$AP$1287,42,FALSE))</f>
        <v>P</v>
      </c>
    </row>
    <row r="203" spans="1:62">
      <c r="A203" t="str">
        <f>C203&amp;D203&amp;E203</f>
        <v>SPRobbie Lowe18</v>
      </c>
      <c r="B203">
        <f>VLOOKUP($A203,draft_listing_pitchers_stats!$A$1:$B$1324,2,FALSE)</f>
        <v>13845</v>
      </c>
      <c r="C203" s="1" t="s">
        <v>2003</v>
      </c>
      <c r="D203" s="1" t="s">
        <v>1024</v>
      </c>
      <c r="E203" s="1">
        <v>18</v>
      </c>
      <c r="F203" s="1" t="s">
        <v>2049</v>
      </c>
      <c r="G203" s="1" t="s">
        <v>2022</v>
      </c>
      <c r="H203" s="1" t="s">
        <v>2033</v>
      </c>
      <c r="I203" s="31" t="s">
        <v>2033</v>
      </c>
      <c r="J203" s="1" t="s">
        <v>2025</v>
      </c>
      <c r="K203" s="31" t="s">
        <v>2036</v>
      </c>
      <c r="L203" s="1">
        <v>2</v>
      </c>
      <c r="M203" s="1">
        <v>3</v>
      </c>
      <c r="N203" s="31">
        <v>1</v>
      </c>
      <c r="O203" s="1">
        <v>4</v>
      </c>
      <c r="P203" s="1">
        <v>3</v>
      </c>
      <c r="Q203" s="31">
        <v>4</v>
      </c>
      <c r="R203" s="1">
        <v>3</v>
      </c>
      <c r="S203" s="1">
        <v>4</v>
      </c>
      <c r="T203" s="1">
        <v>1</v>
      </c>
      <c r="U203" s="1">
        <v>4</v>
      </c>
      <c r="V203" s="1" t="s">
        <v>2027</v>
      </c>
      <c r="W203" s="1" t="s">
        <v>2027</v>
      </c>
      <c r="X203" s="1" t="s">
        <v>2027</v>
      </c>
      <c r="Y203" s="1" t="s">
        <v>2027</v>
      </c>
      <c r="Z203" s="1" t="s">
        <v>2027</v>
      </c>
      <c r="AA203" s="1" t="s">
        <v>2027</v>
      </c>
      <c r="AB203" s="1" t="s">
        <v>2027</v>
      </c>
      <c r="AC203" s="1" t="s">
        <v>2027</v>
      </c>
      <c r="AD203" s="1">
        <v>3</v>
      </c>
      <c r="AE203" s="1">
        <v>4</v>
      </c>
      <c r="AF203" s="1" t="s">
        <v>2027</v>
      </c>
      <c r="AG203" s="1" t="s">
        <v>2027</v>
      </c>
      <c r="AH203" s="1" t="s">
        <v>2027</v>
      </c>
      <c r="AI203" s="1" t="s">
        <v>2027</v>
      </c>
      <c r="AJ203" s="1" t="s">
        <v>2027</v>
      </c>
      <c r="AK203" s="1" t="s">
        <v>2027</v>
      </c>
      <c r="AL203" s="1" t="s">
        <v>2027</v>
      </c>
      <c r="AM203" s="1" t="s">
        <v>2027</v>
      </c>
      <c r="AN203" s="1" t="s">
        <v>2027</v>
      </c>
      <c r="AO203" s="31" t="s">
        <v>2027</v>
      </c>
      <c r="AP203" s="1" t="s">
        <v>2054</v>
      </c>
      <c r="AQ203" s="1">
        <v>9</v>
      </c>
      <c r="AR203" s="32">
        <v>0.43</v>
      </c>
      <c r="AS203" s="45" t="s">
        <v>2029</v>
      </c>
      <c r="AT203" s="9">
        <f>($O$3*(L203-$O$1)/$O$2+$P$3*(M203-$P$1)/$P$2+$Q$3*(N203-$P$1)/$Q$2)/SUM($O$3:$Q$3)</f>
        <v>-2.1159294805983135</v>
      </c>
      <c r="AU203" s="9">
        <f>($O$3*(O203-$O$1)/$O$2+$P$3*(P203-$P$1)/$P$2+$Q$3*(Q203-$Q$1)/$Q$2)/SUM($O$3:$Q$3)</f>
        <v>-0.55409038268056388</v>
      </c>
      <c r="AV203">
        <f>COUNT(R203:AO203)/2</f>
        <v>3</v>
      </c>
      <c r="AW203">
        <f>COUNTIF(R203:AO203,"&gt;5")/2</f>
        <v>0</v>
      </c>
      <c r="AX203" s="6">
        <f>VLOOKUP(AP203,COND!$A$10:$B$31,2,FALSE)</f>
        <v>1</v>
      </c>
      <c r="AY203" s="9">
        <f>($AT$3*AT203+$AU$3*AU203+$AV$3*AV203+$AW$3*AW203)*AX203*IF(AQ203&lt;5,0.95,IF(AQ203&lt;7,0.975,1))+$J$3*VLOOKUP(J203,[1]Con!$A$2:$C$7,2,FALSE)+$K$3*VLOOKUP(K203,[1]Con!$A$2:$C$7,3,FALSE)+IF(BA203="SP",$BA$3,0)</f>
        <v>23.04500645026906</v>
      </c>
      <c r="AZ203" s="37">
        <f>STANDARDIZE(AY203,AVERAGE($AY$5:$AY$1116),STDEVP($AY$5:$AY$1116))</f>
        <v>-0.86342571117369671</v>
      </c>
      <c r="BA203" t="str">
        <f>IF(OR(AND(AQ203&gt;7,AW203&gt;1),AND(AQ203&gt;4,AV203&gt;2)),"SP","RP")</f>
        <v>SP</v>
      </c>
      <c r="BC203">
        <f>VLOOKUP($A203,'Draft List'!$A$4:$V$530,22,FALSE)</f>
        <v>0</v>
      </c>
      <c r="BE203" t="str">
        <f>IF(AVERAGE($O203:$Q203)&gt;=6,"Likely",IF(AVERAGE($O203:$Q203)&gt;=4,"Possible","Unlikely"))</f>
        <v>Unlikely</v>
      </c>
      <c r="BG203" t="str">
        <f>IF(VLOOKUP($B203,'Draft List'!$D$4:$AB$2598,BG$3,FALSE)&lt;&gt;0,VLOOKUP($B203,'Draft List'!$D$4:$AB$2598,BG$3,FALSE),"")</f>
        <v/>
      </c>
      <c r="BH203" t="str">
        <f>IF(VLOOKUP($B203,'Draft List'!$D$4:$AB$2598,BH$3,FALSE)&lt;&gt;0,VLOOKUP($B203,'Draft List'!$D$4:$AB$2598,BH$3,FALSE),"")</f>
        <v/>
      </c>
      <c r="BI203" t="str">
        <f>IF(VLOOKUP($B203,'Draft List'!$D$4:$AB$2598,BI$3,FALSE)&lt;&gt;0,VLOOKUP($B203,'Draft List'!$D$4:$AB$2598,BI$3,FALSE),"")</f>
        <v/>
      </c>
      <c r="BJ203" t="str">
        <f>IF(OR(C203="SP",C203="MR",C203="CL"),"P",VLOOKUP($A203,Bat!$A$4:$AP$1287,42,FALSE))</f>
        <v>P</v>
      </c>
    </row>
    <row r="204" spans="1:62">
      <c r="A204" t="str">
        <f>C204&amp;D204&amp;E204</f>
        <v>MRBrennan Woodward21</v>
      </c>
      <c r="B204">
        <f>VLOOKUP($A204,draft_listing_pitchers_stats!$A$1:$B$1324,2,FALSE)</f>
        <v>4089</v>
      </c>
      <c r="C204" s="1" t="s">
        <v>2021</v>
      </c>
      <c r="D204" s="1" t="s">
        <v>1066</v>
      </c>
      <c r="E204" s="1">
        <v>21</v>
      </c>
      <c r="F204" s="1" t="s">
        <v>2022</v>
      </c>
      <c r="G204" s="1" t="s">
        <v>2022</v>
      </c>
      <c r="H204" s="1" t="s">
        <v>2033</v>
      </c>
      <c r="I204" s="31" t="s">
        <v>2033</v>
      </c>
      <c r="J204" s="1" t="s">
        <v>2025</v>
      </c>
      <c r="K204" s="31" t="s">
        <v>2025</v>
      </c>
      <c r="L204" s="1">
        <v>4</v>
      </c>
      <c r="M204" s="1">
        <v>3</v>
      </c>
      <c r="N204" s="31">
        <v>2</v>
      </c>
      <c r="O204" s="1">
        <v>4</v>
      </c>
      <c r="P204" s="1">
        <v>3</v>
      </c>
      <c r="Q204" s="31">
        <v>4</v>
      </c>
      <c r="R204" s="1">
        <v>5</v>
      </c>
      <c r="S204" s="1">
        <v>5</v>
      </c>
      <c r="T204" s="1">
        <v>3</v>
      </c>
      <c r="U204" s="1">
        <v>3</v>
      </c>
      <c r="V204" s="1" t="s">
        <v>2027</v>
      </c>
      <c r="W204" s="1" t="s">
        <v>2027</v>
      </c>
      <c r="X204" s="1" t="s">
        <v>2027</v>
      </c>
      <c r="Y204" s="1" t="s">
        <v>2027</v>
      </c>
      <c r="Z204" s="1" t="s">
        <v>2027</v>
      </c>
      <c r="AA204" s="1" t="s">
        <v>2027</v>
      </c>
      <c r="AB204" s="1" t="s">
        <v>2027</v>
      </c>
      <c r="AC204" s="1" t="s">
        <v>2027</v>
      </c>
      <c r="AD204" s="1">
        <v>4</v>
      </c>
      <c r="AE204" s="1">
        <v>4</v>
      </c>
      <c r="AF204" s="1">
        <v>4</v>
      </c>
      <c r="AG204" s="1">
        <v>4</v>
      </c>
      <c r="AH204" s="1" t="s">
        <v>2027</v>
      </c>
      <c r="AI204" s="1" t="s">
        <v>2027</v>
      </c>
      <c r="AJ204" s="1" t="s">
        <v>2027</v>
      </c>
      <c r="AK204" s="1" t="s">
        <v>2027</v>
      </c>
      <c r="AL204" s="1" t="s">
        <v>2027</v>
      </c>
      <c r="AM204" s="1" t="s">
        <v>2027</v>
      </c>
      <c r="AN204" s="1" t="s">
        <v>2027</v>
      </c>
      <c r="AO204" s="31" t="s">
        <v>2027</v>
      </c>
      <c r="AP204" s="1" t="s">
        <v>2044</v>
      </c>
      <c r="AQ204" s="1">
        <v>8</v>
      </c>
      <c r="AR204" s="32">
        <v>0.43</v>
      </c>
      <c r="AS204" s="45" t="s">
        <v>2029</v>
      </c>
      <c r="AT204" s="9">
        <f>($O$3*(L204-$O$1)/$O$2+$P$3*(M204-$P$1)/$P$2+$Q$3*(N204-$P$1)/$Q$2)/SUM($O$3:$Q$3)</f>
        <v>-1.4842262655258562</v>
      </c>
      <c r="AU204" s="9">
        <f>($O$3*(O204-$O$1)/$O$2+$P$3*(P204-$P$1)/$P$2+$Q$3*(Q204-$Q$1)/$Q$2)/SUM($O$3:$Q$3)</f>
        <v>-0.55409038268056388</v>
      </c>
      <c r="AV204">
        <f>COUNT(R204:AO204)/2</f>
        <v>4</v>
      </c>
      <c r="AW204">
        <f>COUNTIF(R204:AO204,"&gt;5")/2</f>
        <v>0</v>
      </c>
      <c r="AX204" s="6">
        <f>VLOOKUP(AP204,COND!$A$10:$B$31,2,FALSE)</f>
        <v>1</v>
      </c>
      <c r="AY204" s="9">
        <f>($AT$3*AT204+$AU$3*AU204+$AV$3*AV204+$AW$3*AW204)*AX204*IF(AQ204&lt;5,0.95,IF(AQ204&lt;7,0.975,1))+$J$3*VLOOKUP(J204,[1]Con!$A$2:$C$7,2,FALSE)+$K$3*VLOOKUP(K204,[1]Con!$A$2:$C$7,3,FALSE)+IF(BA204="SP",$BA$3,0)</f>
        <v>22.62134709328355</v>
      </c>
      <c r="AZ204" s="37">
        <f>STANDARDIZE(AY204,AVERAGE($AY$5:$AY$1116),STDEVP($AY$5:$AY$1116))</f>
        <v>-0.89705856182160648</v>
      </c>
      <c r="BA204" t="str">
        <f>IF(OR(AND(AQ204&gt;7,AW204&gt;1),AND(AQ204&gt;4,AV204&gt;2)),"SP","RP")</f>
        <v>SP</v>
      </c>
      <c r="BC204">
        <f>VLOOKUP($A204,'Draft List'!$A$4:$V$530,22,FALSE)</f>
        <v>0</v>
      </c>
      <c r="BE204" t="str">
        <f>IF(AVERAGE($O204:$Q204)&gt;=6,"Likely",IF(AVERAGE($O204:$Q204)&gt;=4,"Possible","Unlikely"))</f>
        <v>Unlikely</v>
      </c>
      <c r="BG204" t="str">
        <f>IF(VLOOKUP($B204,'Draft List'!$D$4:$AB$2598,BG$3,FALSE)&lt;&gt;0,VLOOKUP($B204,'Draft List'!$D$4:$AB$2598,BG$3,FALSE),"")</f>
        <v/>
      </c>
      <c r="BH204" t="str">
        <f>IF(VLOOKUP($B204,'Draft List'!$D$4:$AB$2598,BH$3,FALSE)&lt;&gt;0,VLOOKUP($B204,'Draft List'!$D$4:$AB$2598,BH$3,FALSE),"")</f>
        <v/>
      </c>
      <c r="BI204" t="str">
        <f>IF(VLOOKUP($B204,'Draft List'!$D$4:$AB$2598,BI$3,FALSE)&lt;&gt;0,VLOOKUP($B204,'Draft List'!$D$4:$AB$2598,BI$3,FALSE),"")</f>
        <v/>
      </c>
      <c r="BJ204" t="str">
        <f>IF(OR(C204="SP",C204="MR",C204="CL"),"P",VLOOKUP($A204,Bat!$A$4:$AP$1287,42,FALSE))</f>
        <v>P</v>
      </c>
    </row>
    <row r="205" spans="1:62">
      <c r="A205" t="str">
        <f>C205&amp;D205&amp;E205</f>
        <v>MRMike Landry21</v>
      </c>
      <c r="B205">
        <f>VLOOKUP($A205,draft_listing_pitchers_stats!$A$1:$B$1324,2,FALSE)</f>
        <v>5805</v>
      </c>
      <c r="C205" s="1" t="s">
        <v>2021</v>
      </c>
      <c r="D205" s="1" t="s">
        <v>1016</v>
      </c>
      <c r="E205" s="1">
        <v>21</v>
      </c>
      <c r="F205" s="1" t="s">
        <v>2038</v>
      </c>
      <c r="G205" s="1" t="s">
        <v>2038</v>
      </c>
      <c r="H205" s="1" t="s">
        <v>2033</v>
      </c>
      <c r="I205" s="31" t="s">
        <v>2033</v>
      </c>
      <c r="J205" s="1" t="s">
        <v>2040</v>
      </c>
      <c r="K205" s="31" t="s">
        <v>2026</v>
      </c>
      <c r="L205" s="1">
        <v>4</v>
      </c>
      <c r="M205" s="1">
        <v>4</v>
      </c>
      <c r="N205" s="31">
        <v>1</v>
      </c>
      <c r="O205" s="1">
        <v>4</v>
      </c>
      <c r="P205" s="1">
        <v>4</v>
      </c>
      <c r="Q205" s="31">
        <v>4</v>
      </c>
      <c r="R205" s="1">
        <v>4</v>
      </c>
      <c r="S205" s="1">
        <v>4</v>
      </c>
      <c r="T205" s="1">
        <v>4</v>
      </c>
      <c r="U205" s="1">
        <v>4</v>
      </c>
      <c r="V205" s="1" t="s">
        <v>2027</v>
      </c>
      <c r="W205" s="1" t="s">
        <v>2027</v>
      </c>
      <c r="X205" s="1" t="s">
        <v>2027</v>
      </c>
      <c r="Y205" s="1" t="s">
        <v>2027</v>
      </c>
      <c r="Z205" s="1" t="s">
        <v>2027</v>
      </c>
      <c r="AA205" s="1" t="s">
        <v>2027</v>
      </c>
      <c r="AB205" s="1" t="s">
        <v>2027</v>
      </c>
      <c r="AC205" s="1" t="s">
        <v>2027</v>
      </c>
      <c r="AD205" s="1" t="s">
        <v>2027</v>
      </c>
      <c r="AE205" s="1" t="s">
        <v>2027</v>
      </c>
      <c r="AF205" s="1" t="s">
        <v>2027</v>
      </c>
      <c r="AG205" s="1" t="s">
        <v>2027</v>
      </c>
      <c r="AH205" s="1" t="s">
        <v>2027</v>
      </c>
      <c r="AI205" s="1" t="s">
        <v>2027</v>
      </c>
      <c r="AJ205" s="1" t="s">
        <v>2027</v>
      </c>
      <c r="AK205" s="1" t="s">
        <v>2027</v>
      </c>
      <c r="AL205" s="1">
        <v>2</v>
      </c>
      <c r="AM205" s="1">
        <v>4</v>
      </c>
      <c r="AN205" s="1" t="s">
        <v>2027</v>
      </c>
      <c r="AO205" s="31" t="s">
        <v>2027</v>
      </c>
      <c r="AP205" s="1" t="s">
        <v>2060</v>
      </c>
      <c r="AQ205" s="1">
        <v>8</v>
      </c>
      <c r="AR205" s="32">
        <v>0.45</v>
      </c>
      <c r="AS205" s="45" t="s">
        <v>2029</v>
      </c>
      <c r="AT205" s="9">
        <f>($O$3*(L205-$O$1)/$O$2+$P$3*(M205-$P$1)/$P$2+$Q$3*(N205-$P$1)/$Q$2)/SUM($O$3:$Q$3)</f>
        <v>-1.5311151151499114</v>
      </c>
      <c r="AU205" s="9">
        <f>($O$3*(O205-$O$1)/$O$2+$P$3*(P205-$P$1)/$P$2+$Q$3*(Q205-$Q$1)/$Q$2)/SUM($O$3:$Q$3)</f>
        <v>-0.35865866625050846</v>
      </c>
      <c r="AV205">
        <f>COUNT(R205:AO205)/2</f>
        <v>3</v>
      </c>
      <c r="AW205">
        <f>COUNTIF(R205:AO205,"&gt;5")/2</f>
        <v>0</v>
      </c>
      <c r="AX205" s="6">
        <f>VLOOKUP(AP205,COND!$A$10:$B$31,2,FALSE)</f>
        <v>0.95</v>
      </c>
      <c r="AY205" s="9">
        <f>($AT$3*AT205+$AU$3*AU205+$AV$3*AV205+$AW$3*AW205)*AX205*IF(AQ205&lt;5,0.95,IF(AQ205&lt;7,0.975,1))+$J$3*VLOOKUP(J205,[1]Con!$A$2:$C$7,2,FALSE)+$K$3*VLOOKUP(K205,[1]Con!$A$2:$C$7,3,FALSE)+IF(BA205="SP",$BA$3,0)</f>
        <v>22.569573469361856</v>
      </c>
      <c r="AZ205" s="37">
        <f>STANDARDIZE(AY205,AVERAGE($AY$5:$AY$1116),STDEVP($AY$5:$AY$1116))</f>
        <v>-0.90116869070734462</v>
      </c>
      <c r="BA205" t="str">
        <f>IF(OR(AND(AQ205&gt;7,AW205&gt;1),AND(AQ205&gt;4,AV205&gt;2)),"SP","RP")</f>
        <v>SP</v>
      </c>
      <c r="BC205">
        <f>VLOOKUP($A205,'Draft List'!$A$4:$V$530,22,FALSE)</f>
        <v>0</v>
      </c>
      <c r="BE205" t="str">
        <f>IF(AVERAGE($O205:$Q205)&gt;=6,"Likely",IF(AVERAGE($O205:$Q205)&gt;=4,"Possible","Unlikely"))</f>
        <v>Possible</v>
      </c>
      <c r="BG205" t="str">
        <f>IF(VLOOKUP($B205,'Draft List'!$D$4:$AB$2598,BG$3,FALSE)&lt;&gt;0,VLOOKUP($B205,'Draft List'!$D$4:$AB$2598,BG$3,FALSE),"")</f>
        <v/>
      </c>
      <c r="BH205" t="str">
        <f>IF(VLOOKUP($B205,'Draft List'!$D$4:$AB$2598,BH$3,FALSE)&lt;&gt;0,VLOOKUP($B205,'Draft List'!$D$4:$AB$2598,BH$3,FALSE),"")</f>
        <v/>
      </c>
      <c r="BI205" t="str">
        <f>IF(VLOOKUP($B205,'Draft List'!$D$4:$AB$2598,BI$3,FALSE)&lt;&gt;0,VLOOKUP($B205,'Draft List'!$D$4:$AB$2598,BI$3,FALSE),"")</f>
        <v/>
      </c>
      <c r="BJ205" t="str">
        <f>IF(OR(C205="SP",C205="MR",C205="CL"),"P",VLOOKUP($A205,Bat!$A$4:$AP$1287,42,FALSE))</f>
        <v>P</v>
      </c>
    </row>
    <row r="206" spans="1:62">
      <c r="A206" t="str">
        <f>C206&amp;D206&amp;E206</f>
        <v>MRÁlex Ramos18</v>
      </c>
      <c r="B206">
        <f>VLOOKUP($A206,draft_listing_pitchers_stats!$A$1:$B$1324,2,FALSE)</f>
        <v>674</v>
      </c>
      <c r="C206" s="1" t="s">
        <v>2021</v>
      </c>
      <c r="D206" s="1" t="s">
        <v>1041</v>
      </c>
      <c r="E206" s="1">
        <v>18</v>
      </c>
      <c r="F206" s="1" t="s">
        <v>2022</v>
      </c>
      <c r="G206" s="1" t="s">
        <v>2022</v>
      </c>
      <c r="H206" s="1" t="s">
        <v>2033</v>
      </c>
      <c r="I206" s="31" t="s">
        <v>2033</v>
      </c>
      <c r="J206" s="1" t="s">
        <v>2026</v>
      </c>
      <c r="K206" s="31" t="s">
        <v>2026</v>
      </c>
      <c r="L206" s="1">
        <v>1</v>
      </c>
      <c r="M206" s="1">
        <v>4</v>
      </c>
      <c r="N206" s="31">
        <v>1</v>
      </c>
      <c r="O206" s="1">
        <v>3</v>
      </c>
      <c r="P206" s="1">
        <v>4</v>
      </c>
      <c r="Q206" s="31">
        <v>4</v>
      </c>
      <c r="R206" s="1">
        <v>1</v>
      </c>
      <c r="S206" s="1">
        <v>2</v>
      </c>
      <c r="T206" s="1">
        <v>1</v>
      </c>
      <c r="U206" s="1">
        <v>4</v>
      </c>
      <c r="V206" s="1">
        <v>1</v>
      </c>
      <c r="W206" s="1">
        <v>3</v>
      </c>
      <c r="X206" s="1" t="s">
        <v>2027</v>
      </c>
      <c r="Y206" s="1" t="s">
        <v>2027</v>
      </c>
      <c r="Z206" s="1" t="s">
        <v>2027</v>
      </c>
      <c r="AA206" s="1" t="s">
        <v>2027</v>
      </c>
      <c r="AB206" s="1">
        <v>2</v>
      </c>
      <c r="AC206" s="1">
        <v>3</v>
      </c>
      <c r="AD206" s="1" t="s">
        <v>2027</v>
      </c>
      <c r="AE206" s="1" t="s">
        <v>2027</v>
      </c>
      <c r="AF206" s="1" t="s">
        <v>2027</v>
      </c>
      <c r="AG206" s="1" t="s">
        <v>2027</v>
      </c>
      <c r="AH206" s="1" t="s">
        <v>2027</v>
      </c>
      <c r="AI206" s="1" t="s">
        <v>2027</v>
      </c>
      <c r="AJ206" s="1" t="s">
        <v>2027</v>
      </c>
      <c r="AK206" s="1" t="s">
        <v>2027</v>
      </c>
      <c r="AL206" s="1" t="s">
        <v>2027</v>
      </c>
      <c r="AM206" s="1" t="s">
        <v>2027</v>
      </c>
      <c r="AN206" s="1" t="s">
        <v>2027</v>
      </c>
      <c r="AO206" s="31" t="s">
        <v>2027</v>
      </c>
      <c r="AP206" s="1" t="s">
        <v>2077</v>
      </c>
      <c r="AQ206" s="1">
        <v>10</v>
      </c>
      <c r="AR206" s="32">
        <v>0.52</v>
      </c>
      <c r="AS206" s="45" t="s">
        <v>2029</v>
      </c>
      <c r="AT206" s="9">
        <f>($O$3*(L206-$O$1)/$O$2+$P$3*(M206-$P$1)/$P$2+$Q$3*(N206-$P$1)/$Q$2)/SUM($O$3:$Q$3)</f>
        <v>-2.1151890886774316</v>
      </c>
      <c r="AU206" s="9">
        <f>($O$3*(O206-$O$1)/$O$2+$P$3*(P206-$P$1)/$P$2+$Q$3*(Q206-$Q$1)/$Q$2)/SUM($O$3:$Q$3)</f>
        <v>-0.55334999075968205</v>
      </c>
      <c r="AV206">
        <f>COUNT(R206:AO206)/2</f>
        <v>4</v>
      </c>
      <c r="AW206">
        <f>COUNTIF(R206:AO206,"&gt;5")/2</f>
        <v>0</v>
      </c>
      <c r="AX206" s="6">
        <f>VLOOKUP(AP206,COND!$A$10:$B$31,2,FALSE)</f>
        <v>0.85</v>
      </c>
      <c r="AY206" s="9">
        <f>($AT$3*AT206+$AU$3*AU206+$AV$3*AV206+$AW$3*AW206)*AX206*IF(AQ206&lt;5,0.95,IF(AQ206&lt;7,0.975,1))+$J$3*VLOOKUP(J206,[1]Con!$A$2:$C$7,2,FALSE)+$K$3*VLOOKUP(K206,[1]Con!$A$2:$C$7,3,FALSE)+IF(BA206="SP",$BA$3,0)</f>
        <v>22.433468012010245</v>
      </c>
      <c r="AZ206" s="37">
        <f>STANDARDIZE(AY206,AVERAGE($AY$5:$AY$1116),STDEVP($AY$5:$AY$1116))</f>
        <v>-0.91197363209243187</v>
      </c>
      <c r="BA206" t="str">
        <f>IF(OR(AND(AQ206&gt;7,AW206&gt;1),AND(AQ206&gt;4,AV206&gt;2)),"SP","RP")</f>
        <v>SP</v>
      </c>
      <c r="BC206">
        <f>VLOOKUP($A206,'Draft List'!$A$4:$V$530,22,FALSE)</f>
        <v>0</v>
      </c>
      <c r="BE206" t="str">
        <f>IF(AVERAGE($O206:$Q206)&gt;=6,"Likely",IF(AVERAGE($O206:$Q206)&gt;=4,"Possible","Unlikely"))</f>
        <v>Unlikely</v>
      </c>
      <c r="BG206" t="str">
        <f>IF(VLOOKUP($B206,'Draft List'!$D$4:$AB$2598,BG$3,FALSE)&lt;&gt;0,VLOOKUP($B206,'Draft List'!$D$4:$AB$2598,BG$3,FALSE),"")</f>
        <v/>
      </c>
      <c r="BH206" t="str">
        <f>IF(VLOOKUP($B206,'Draft List'!$D$4:$AB$2598,BH$3,FALSE)&lt;&gt;0,VLOOKUP($B206,'Draft List'!$D$4:$AB$2598,BH$3,FALSE),"")</f>
        <v/>
      </c>
      <c r="BI206" t="str">
        <f>IF(VLOOKUP($B206,'Draft List'!$D$4:$AB$2598,BI$3,FALSE)&lt;&gt;0,VLOOKUP($B206,'Draft List'!$D$4:$AB$2598,BI$3,FALSE),"")</f>
        <v/>
      </c>
      <c r="BJ206" t="str">
        <f>IF(OR(C206="SP",C206="MR",C206="CL"),"P",VLOOKUP($A206,Bat!$A$4:$AP$1287,42,FALSE))</f>
        <v>P</v>
      </c>
    </row>
    <row r="207" spans="1:62">
      <c r="A207" t="str">
        <f>C207&amp;D207&amp;E207</f>
        <v>MRMatt Barnes21</v>
      </c>
      <c r="B207">
        <f>VLOOKUP($A207,draft_listing_pitchers_stats!$A$1:$B$1324,2,FALSE)</f>
        <v>8085</v>
      </c>
      <c r="C207" s="1" t="s">
        <v>2021</v>
      </c>
      <c r="D207" s="1" t="s">
        <v>1170</v>
      </c>
      <c r="E207" s="1">
        <v>21</v>
      </c>
      <c r="F207" s="1" t="s">
        <v>2038</v>
      </c>
      <c r="G207" s="1" t="s">
        <v>2022</v>
      </c>
      <c r="H207" s="1" t="s">
        <v>2033</v>
      </c>
      <c r="I207" s="31" t="s">
        <v>2033</v>
      </c>
      <c r="J207" s="1" t="s">
        <v>2040</v>
      </c>
      <c r="K207" s="31" t="s">
        <v>2040</v>
      </c>
      <c r="L207" s="1">
        <v>3</v>
      </c>
      <c r="M207" s="1">
        <v>4</v>
      </c>
      <c r="N207" s="31">
        <v>2</v>
      </c>
      <c r="O207" s="1">
        <v>4</v>
      </c>
      <c r="P207" s="1">
        <v>4</v>
      </c>
      <c r="Q207" s="31">
        <v>5</v>
      </c>
      <c r="R207" s="1">
        <v>4</v>
      </c>
      <c r="S207" s="1">
        <v>5</v>
      </c>
      <c r="T207" s="1" t="s">
        <v>2027</v>
      </c>
      <c r="U207" s="1" t="s">
        <v>2027</v>
      </c>
      <c r="V207" s="1" t="s">
        <v>2027</v>
      </c>
      <c r="W207" s="1" t="s">
        <v>2027</v>
      </c>
      <c r="X207" s="1">
        <v>3</v>
      </c>
      <c r="Y207" s="1">
        <v>3</v>
      </c>
      <c r="Z207" s="1" t="s">
        <v>2027</v>
      </c>
      <c r="AA207" s="1" t="s">
        <v>2027</v>
      </c>
      <c r="AB207" s="1" t="s">
        <v>2027</v>
      </c>
      <c r="AC207" s="1" t="s">
        <v>2027</v>
      </c>
      <c r="AD207" s="1" t="s">
        <v>2027</v>
      </c>
      <c r="AE207" s="1" t="s">
        <v>2027</v>
      </c>
      <c r="AF207" s="1" t="s">
        <v>2027</v>
      </c>
      <c r="AG207" s="1" t="s">
        <v>2027</v>
      </c>
      <c r="AH207" s="1" t="s">
        <v>2027</v>
      </c>
      <c r="AI207" s="1" t="s">
        <v>2027</v>
      </c>
      <c r="AJ207" s="1" t="s">
        <v>2027</v>
      </c>
      <c r="AK207" s="1" t="s">
        <v>2027</v>
      </c>
      <c r="AL207" s="1" t="s">
        <v>2027</v>
      </c>
      <c r="AM207" s="1" t="s">
        <v>2027</v>
      </c>
      <c r="AN207" s="1" t="s">
        <v>2027</v>
      </c>
      <c r="AO207" s="31" t="s">
        <v>2027</v>
      </c>
      <c r="AP207" s="1" t="s">
        <v>2042</v>
      </c>
      <c r="AQ207" s="1">
        <v>8</v>
      </c>
      <c r="AR207" s="32">
        <v>0.47</v>
      </c>
      <c r="AS207" s="45" t="s">
        <v>2029</v>
      </c>
      <c r="AT207" s="9">
        <f>($O$3*(L207-$O$1)/$O$2+$P$3*(M207-$P$1)/$P$2+$Q$3*(N207-$P$1)/$Q$2)/SUM($O$3:$Q$3)</f>
        <v>-1.4834858736049745</v>
      </c>
      <c r="AU207" s="9">
        <f>($O$3*(O207-$O$1)/$O$2+$P$3*(P207-$P$1)/$P$2+$Q$3*(Q207-$Q$1)/$Q$2)/SUM($O$3:$Q$3)</f>
        <v>-0.11633810019639811</v>
      </c>
      <c r="AV207">
        <f>COUNT(R207:AO207)/2</f>
        <v>2</v>
      </c>
      <c r="AW207">
        <f>COUNTIF(R207:AO207,"&gt;5")/2</f>
        <v>0</v>
      </c>
      <c r="AX207" s="6">
        <f>VLOOKUP(AP207,COND!$A$10:$B$31,2,FALSE)</f>
        <v>1</v>
      </c>
      <c r="AY207" s="9">
        <f>($AT$3*AT207+$AU$3*AU207+$AV$3*AV207+$AW$3*AW207)*AX207*IF(AQ207&lt;5,0.95,IF(AQ207&lt;7,0.975,1))+$J$3*VLOOKUP(J207,[1]Con!$A$2:$C$7,2,FALSE)+$K$3*VLOOKUP(K207,[1]Con!$A$2:$C$7,3,FALSE)+IF(BA207="SP",$BA$3,0)</f>
        <v>22.376540821351043</v>
      </c>
      <c r="AZ207" s="37">
        <f>STANDARDIZE(AY207,AVERAGE($AY$5:$AY$1116),STDEVP($AY$5:$AY$1116))</f>
        <v>-0.91649288481204438</v>
      </c>
      <c r="BA207" t="str">
        <f>IF(OR(AND(AQ207&gt;7,AW207&gt;1),AND(AQ207&gt;4,AV207&gt;2)),"SP","RP")</f>
        <v>RP</v>
      </c>
      <c r="BC207">
        <f>VLOOKUP($A207,'Draft List'!$A$4:$V$530,22,FALSE)</f>
        <v>0</v>
      </c>
      <c r="BE207" t="str">
        <f>IF(AVERAGE($O207:$Q207)&gt;=6,"Likely",IF(AVERAGE($O207:$Q207)&gt;=4,"Possible","Unlikely"))</f>
        <v>Possible</v>
      </c>
      <c r="BG207" t="str">
        <f>IF(VLOOKUP($B207,'Draft List'!$D$4:$AB$2598,BG$3,FALSE)&lt;&gt;0,VLOOKUP($B207,'Draft List'!$D$4:$AB$2598,BG$3,FALSE),"")</f>
        <v/>
      </c>
      <c r="BH207" t="str">
        <f>IF(VLOOKUP($B207,'Draft List'!$D$4:$AB$2598,BH$3,FALSE)&lt;&gt;0,VLOOKUP($B207,'Draft List'!$D$4:$AB$2598,BH$3,FALSE),"")</f>
        <v/>
      </c>
      <c r="BI207" t="str">
        <f>IF(VLOOKUP($B207,'Draft List'!$D$4:$AB$2598,BI$3,FALSE)&lt;&gt;0,VLOOKUP($B207,'Draft List'!$D$4:$AB$2598,BI$3,FALSE),"")</f>
        <v/>
      </c>
      <c r="BJ207" t="str">
        <f>IF(OR(C207="SP",C207="MR",C207="CL"),"P",VLOOKUP($A207,Bat!$A$4:$AP$1287,42,FALSE))</f>
        <v>P</v>
      </c>
    </row>
    <row r="208" spans="1:62">
      <c r="A208" t="str">
        <f>C208&amp;D208&amp;E208</f>
        <v>MRRamón Aguirre18</v>
      </c>
      <c r="B208">
        <f>VLOOKUP($A208,draft_listing_pitchers_stats!$A$1:$B$1324,2,FALSE)</f>
        <v>13762</v>
      </c>
      <c r="C208" s="1" t="s">
        <v>2021</v>
      </c>
      <c r="D208" s="1" t="s">
        <v>1166</v>
      </c>
      <c r="E208" s="1">
        <v>18</v>
      </c>
      <c r="F208" s="1" t="s">
        <v>2022</v>
      </c>
      <c r="G208" s="1" t="s">
        <v>2038</v>
      </c>
      <c r="H208" s="1" t="s">
        <v>2033</v>
      </c>
      <c r="I208" s="31" t="s">
        <v>2033</v>
      </c>
      <c r="J208" s="1" t="s">
        <v>2036</v>
      </c>
      <c r="K208" s="31" t="s">
        <v>2026</v>
      </c>
      <c r="L208" s="1">
        <v>4</v>
      </c>
      <c r="M208" s="1">
        <v>3</v>
      </c>
      <c r="N208" s="31">
        <v>1</v>
      </c>
      <c r="O208" s="1">
        <v>4</v>
      </c>
      <c r="P208" s="1">
        <v>3</v>
      </c>
      <c r="Q208" s="31">
        <v>4</v>
      </c>
      <c r="R208" s="1">
        <v>4</v>
      </c>
      <c r="S208" s="1">
        <v>5</v>
      </c>
      <c r="T208" s="1">
        <v>1</v>
      </c>
      <c r="U208" s="1">
        <v>4</v>
      </c>
      <c r="V208" s="1" t="s">
        <v>2027</v>
      </c>
      <c r="W208" s="1" t="s">
        <v>2027</v>
      </c>
      <c r="X208" s="1" t="s">
        <v>2027</v>
      </c>
      <c r="Y208" s="1" t="s">
        <v>2027</v>
      </c>
      <c r="Z208" s="1" t="s">
        <v>2027</v>
      </c>
      <c r="AA208" s="1" t="s">
        <v>2027</v>
      </c>
      <c r="AB208" s="1" t="s">
        <v>2027</v>
      </c>
      <c r="AC208" s="1" t="s">
        <v>2027</v>
      </c>
      <c r="AD208" s="1">
        <v>3</v>
      </c>
      <c r="AE208" s="1">
        <v>4</v>
      </c>
      <c r="AF208" s="1" t="s">
        <v>2027</v>
      </c>
      <c r="AG208" s="1" t="s">
        <v>2027</v>
      </c>
      <c r="AH208" s="1" t="s">
        <v>2027</v>
      </c>
      <c r="AI208" s="1" t="s">
        <v>2027</v>
      </c>
      <c r="AJ208" s="1" t="s">
        <v>2027</v>
      </c>
      <c r="AK208" s="1" t="s">
        <v>2027</v>
      </c>
      <c r="AL208" s="1" t="s">
        <v>2027</v>
      </c>
      <c r="AM208" s="1" t="s">
        <v>2027</v>
      </c>
      <c r="AN208" s="1" t="s">
        <v>2027</v>
      </c>
      <c r="AO208" s="31" t="s">
        <v>2027</v>
      </c>
      <c r="AP208" s="1" t="s">
        <v>2041</v>
      </c>
      <c r="AQ208" s="1">
        <v>9</v>
      </c>
      <c r="AR208" s="32">
        <v>0.37</v>
      </c>
      <c r="AS208" s="45" t="s">
        <v>2029</v>
      </c>
      <c r="AT208" s="9">
        <f>($O$3*(L208-$O$1)/$O$2+$P$3*(M208-$P$1)/$P$2+$Q$3*(N208-$P$1)/$Q$2)/SUM($O$3:$Q$3)</f>
        <v>-1.7265468315799666</v>
      </c>
      <c r="AU208" s="9">
        <f>($O$3*(O208-$O$1)/$O$2+$P$3*(P208-$P$1)/$P$2+$Q$3*(Q208-$Q$1)/$Q$2)/SUM($O$3:$Q$3)</f>
        <v>-0.55409038268056388</v>
      </c>
      <c r="AV208">
        <f>COUNT(R208:AO208)/2</f>
        <v>3</v>
      </c>
      <c r="AW208">
        <f>COUNTIF(R208:AO208,"&gt;5")/2</f>
        <v>0</v>
      </c>
      <c r="AX208" s="6">
        <f>VLOOKUP(AP208,COND!$A$10:$B$31,2,FALSE)</f>
        <v>1</v>
      </c>
      <c r="AY208" s="9">
        <f>($AT$3*AT208+$AU$3*AU208+$AV$3*AV208+$AW$3*AW208)*AX208*IF(AQ208&lt;5,0.95,IF(AQ208&lt;7,0.975,1))+$J$3*VLOOKUP(J208,[1]Con!$A$2:$C$7,2,FALSE)+$K$3*VLOOKUP(K208,[1]Con!$A$2:$C$7,3,FALSE)+IF(BA208="SP",$BA$3,0)</f>
        <v>22.372882980072731</v>
      </c>
      <c r="AZ208" s="37">
        <f>STANDARDIZE(AY208,AVERAGE($AY$5:$AY$1116),STDEVP($AY$5:$AY$1116))</f>
        <v>-0.91678326817636457</v>
      </c>
      <c r="BA208" t="str">
        <f>IF(OR(AND(AQ208&gt;7,AW208&gt;1),AND(AQ208&gt;4,AV208&gt;2)),"SP","RP")</f>
        <v>SP</v>
      </c>
      <c r="BC208">
        <f>VLOOKUP($A208,'Draft List'!$A$4:$V$530,22,FALSE)</f>
        <v>0</v>
      </c>
      <c r="BE208" t="str">
        <f>IF(AVERAGE($O208:$Q208)&gt;=6,"Likely",IF(AVERAGE($O208:$Q208)&gt;=4,"Possible","Unlikely"))</f>
        <v>Unlikely</v>
      </c>
      <c r="BG208" t="str">
        <f>IF(VLOOKUP($B208,'Draft List'!$D$4:$AB$2598,BG$3,FALSE)&lt;&gt;0,VLOOKUP($B208,'Draft List'!$D$4:$AB$2598,BG$3,FALSE),"")</f>
        <v/>
      </c>
      <c r="BH208" t="str">
        <f>IF(VLOOKUP($B208,'Draft List'!$D$4:$AB$2598,BH$3,FALSE)&lt;&gt;0,VLOOKUP($B208,'Draft List'!$D$4:$AB$2598,BH$3,FALSE),"")</f>
        <v/>
      </c>
      <c r="BI208" t="str">
        <f>IF(VLOOKUP($B208,'Draft List'!$D$4:$AB$2598,BI$3,FALSE)&lt;&gt;0,VLOOKUP($B208,'Draft List'!$D$4:$AB$2598,BI$3,FALSE),"")</f>
        <v/>
      </c>
      <c r="BJ208" t="str">
        <f>IF(OR(C208="SP",C208="MR",C208="CL"),"P",VLOOKUP($A208,Bat!$A$4:$AP$1287,42,FALSE))</f>
        <v>P</v>
      </c>
    </row>
    <row r="209" spans="1:62">
      <c r="A209" t="str">
        <f>C209&amp;D209&amp;E209</f>
        <v>MRDave Bass21</v>
      </c>
      <c r="B209">
        <f>VLOOKUP($A209,draft_listing_pitchers_stats!$A$1:$B$1324,2,FALSE)</f>
        <v>2135</v>
      </c>
      <c r="C209" s="1" t="s">
        <v>2021</v>
      </c>
      <c r="D209" s="1" t="s">
        <v>1171</v>
      </c>
      <c r="E209" s="1">
        <v>21</v>
      </c>
      <c r="F209" s="1" t="s">
        <v>2038</v>
      </c>
      <c r="G209" s="1" t="s">
        <v>2038</v>
      </c>
      <c r="H209" s="1" t="s">
        <v>2033</v>
      </c>
      <c r="I209" s="31" t="s">
        <v>2033</v>
      </c>
      <c r="J209" s="1" t="s">
        <v>2040</v>
      </c>
      <c r="K209" s="31" t="s">
        <v>2025</v>
      </c>
      <c r="L209" s="1">
        <v>5</v>
      </c>
      <c r="M209" s="1">
        <v>3</v>
      </c>
      <c r="N209" s="31">
        <v>2</v>
      </c>
      <c r="O209" s="1">
        <v>5</v>
      </c>
      <c r="P209" s="1">
        <v>3</v>
      </c>
      <c r="Q209" s="31">
        <v>4</v>
      </c>
      <c r="R209" s="1">
        <v>6</v>
      </c>
      <c r="S209" s="1">
        <v>6</v>
      </c>
      <c r="T209" s="1">
        <v>4</v>
      </c>
      <c r="U209" s="1">
        <v>4</v>
      </c>
      <c r="V209" s="1" t="s">
        <v>2027</v>
      </c>
      <c r="W209" s="1" t="s">
        <v>2027</v>
      </c>
      <c r="X209" s="1" t="s">
        <v>2027</v>
      </c>
      <c r="Y209" s="1" t="s">
        <v>2027</v>
      </c>
      <c r="Z209" s="1" t="s">
        <v>2027</v>
      </c>
      <c r="AA209" s="1" t="s">
        <v>2027</v>
      </c>
      <c r="AB209" s="1" t="s">
        <v>2027</v>
      </c>
      <c r="AC209" s="1" t="s">
        <v>2027</v>
      </c>
      <c r="AD209" s="1">
        <v>5</v>
      </c>
      <c r="AE209" s="1">
        <v>5</v>
      </c>
      <c r="AF209" s="1" t="s">
        <v>2027</v>
      </c>
      <c r="AG209" s="1" t="s">
        <v>2027</v>
      </c>
      <c r="AH209" s="1" t="s">
        <v>2027</v>
      </c>
      <c r="AI209" s="1" t="s">
        <v>2027</v>
      </c>
      <c r="AJ209" s="1" t="s">
        <v>2027</v>
      </c>
      <c r="AK209" s="1" t="s">
        <v>2027</v>
      </c>
      <c r="AL209" s="1" t="s">
        <v>2027</v>
      </c>
      <c r="AM209" s="1" t="s">
        <v>2027</v>
      </c>
      <c r="AN209" s="1" t="s">
        <v>2027</v>
      </c>
      <c r="AO209" s="31" t="s">
        <v>2027</v>
      </c>
      <c r="AP209" s="1" t="s">
        <v>2031</v>
      </c>
      <c r="AQ209" s="1">
        <v>4</v>
      </c>
      <c r="AR209" s="32">
        <v>0.37</v>
      </c>
      <c r="AS209" s="45" t="s">
        <v>2029</v>
      </c>
      <c r="AT209" s="9">
        <f>($O$3*(L209-$O$1)/$O$2+$P$3*(M209-$P$1)/$P$2+$Q$3*(N209-$P$1)/$Q$2)/SUM($O$3:$Q$3)</f>
        <v>-1.2895349410166828</v>
      </c>
      <c r="AU209" s="9">
        <f>($O$3*(O209-$O$1)/$O$2+$P$3*(P209-$P$1)/$P$2+$Q$3*(Q209-$Q$1)/$Q$2)/SUM($O$3:$Q$3)</f>
        <v>-0.35939905817139028</v>
      </c>
      <c r="AV209">
        <f>COUNT(R209:AO209)/2</f>
        <v>3</v>
      </c>
      <c r="AW209">
        <f>COUNTIF(R209:AO209,"&gt;5")/2</f>
        <v>1</v>
      </c>
      <c r="AX209" s="6">
        <f>VLOOKUP(AP209,COND!$A$10:$B$31,2,FALSE)</f>
        <v>1.05</v>
      </c>
      <c r="AY209" s="9">
        <f>($AT$3*AT209+$AU$3*AU209+$AV$3*AV209+$AW$3*AW209)*AX209*IF(AQ209&lt;5,0.95,IF(AQ209&lt;7,0.975,1))+$J$3*VLOOKUP(J209,[1]Con!$A$2:$C$7,2,FALSE)+$K$3*VLOOKUP(K209,[1]Con!$A$2:$C$7,3,FALSE)+IF(BA209="SP",$BA$3,0)</f>
        <v>22.315851568747938</v>
      </c>
      <c r="AZ209" s="37">
        <f>STANDARDIZE(AY209,AVERAGE($AY$5:$AY$1116),STDEVP($AY$5:$AY$1116))</f>
        <v>-0.92131079461405374</v>
      </c>
      <c r="BA209" t="str">
        <f>IF(OR(AND(AQ209&gt;7,AW209&gt;1),AND(AQ209&gt;4,AV209&gt;2)),"SP","RP")</f>
        <v>RP</v>
      </c>
      <c r="BC209">
        <f>VLOOKUP($A209,'Draft List'!$A$4:$V$530,22,FALSE)</f>
        <v>0</v>
      </c>
      <c r="BE209" t="str">
        <f>IF(AVERAGE($O209:$Q209)&gt;=6,"Likely",IF(AVERAGE($O209:$Q209)&gt;=4,"Possible","Unlikely"))</f>
        <v>Possible</v>
      </c>
      <c r="BG209" t="str">
        <f>IF(VLOOKUP($B209,'Draft List'!$D$4:$AB$2598,BG$3,FALSE)&lt;&gt;0,VLOOKUP($B209,'Draft List'!$D$4:$AB$2598,BG$3,FALSE),"")</f>
        <v/>
      </c>
      <c r="BH209" t="str">
        <f>IF(VLOOKUP($B209,'Draft List'!$D$4:$AB$2598,BH$3,FALSE)&lt;&gt;0,VLOOKUP($B209,'Draft List'!$D$4:$AB$2598,BH$3,FALSE),"")</f>
        <v/>
      </c>
      <c r="BI209" t="str">
        <f>IF(VLOOKUP($B209,'Draft List'!$D$4:$AB$2598,BI$3,FALSE)&lt;&gt;0,VLOOKUP($B209,'Draft List'!$D$4:$AB$2598,BI$3,FALSE),"")</f>
        <v/>
      </c>
      <c r="BJ209" t="str">
        <f>IF(OR(C209="SP",C209="MR",C209="CL"),"P",VLOOKUP($A209,Bat!$A$4:$AP$1287,42,FALSE))</f>
        <v>P</v>
      </c>
    </row>
    <row r="210" spans="1:62">
      <c r="A210" t="str">
        <f>C210&amp;D210&amp;E210</f>
        <v>MRCris Hernández18</v>
      </c>
      <c r="B210">
        <f>VLOOKUP($A210,draft_listing_pitchers_stats!$A$1:$B$1324,2,FALSE)</f>
        <v>13788</v>
      </c>
      <c r="C210" s="1" t="s">
        <v>2021</v>
      </c>
      <c r="D210" s="1" t="s">
        <v>1001</v>
      </c>
      <c r="E210" s="1">
        <v>18</v>
      </c>
      <c r="F210" s="1" t="s">
        <v>2038</v>
      </c>
      <c r="G210" s="1" t="s">
        <v>2022</v>
      </c>
      <c r="H210" s="1" t="s">
        <v>2033</v>
      </c>
      <c r="I210" s="31" t="s">
        <v>2033</v>
      </c>
      <c r="J210" s="1" t="s">
        <v>2026</v>
      </c>
      <c r="K210" s="31" t="s">
        <v>2030</v>
      </c>
      <c r="L210" s="1">
        <v>2</v>
      </c>
      <c r="M210" s="1">
        <v>3</v>
      </c>
      <c r="N210" s="31">
        <v>1</v>
      </c>
      <c r="O210" s="1">
        <v>4</v>
      </c>
      <c r="P210" s="1">
        <v>3</v>
      </c>
      <c r="Q210" s="31">
        <v>4</v>
      </c>
      <c r="R210" s="1">
        <v>4</v>
      </c>
      <c r="S210" s="1">
        <v>5</v>
      </c>
      <c r="T210" s="1">
        <v>1</v>
      </c>
      <c r="U210" s="1">
        <v>4</v>
      </c>
      <c r="V210" s="1" t="s">
        <v>2027</v>
      </c>
      <c r="W210" s="1" t="s">
        <v>2027</v>
      </c>
      <c r="X210" s="1" t="s">
        <v>2027</v>
      </c>
      <c r="Y210" s="1" t="s">
        <v>2027</v>
      </c>
      <c r="Z210" s="1" t="s">
        <v>2027</v>
      </c>
      <c r="AA210" s="1" t="s">
        <v>2027</v>
      </c>
      <c r="AB210" s="1" t="s">
        <v>2027</v>
      </c>
      <c r="AC210" s="1" t="s">
        <v>2027</v>
      </c>
      <c r="AD210" s="1">
        <v>3</v>
      </c>
      <c r="AE210" s="1">
        <v>5</v>
      </c>
      <c r="AF210" s="1" t="s">
        <v>2027</v>
      </c>
      <c r="AG210" s="1" t="s">
        <v>2027</v>
      </c>
      <c r="AH210" s="1" t="s">
        <v>2027</v>
      </c>
      <c r="AI210" s="1" t="s">
        <v>2027</v>
      </c>
      <c r="AJ210" s="1" t="s">
        <v>2027</v>
      </c>
      <c r="AK210" s="1" t="s">
        <v>2027</v>
      </c>
      <c r="AL210" s="1" t="s">
        <v>2027</v>
      </c>
      <c r="AM210" s="1" t="s">
        <v>2027</v>
      </c>
      <c r="AN210" s="1" t="s">
        <v>2027</v>
      </c>
      <c r="AO210" s="31" t="s">
        <v>2027</v>
      </c>
      <c r="AP210" s="1" t="s">
        <v>2041</v>
      </c>
      <c r="AQ210" s="1">
        <v>5</v>
      </c>
      <c r="AR210" s="32">
        <v>0.45</v>
      </c>
      <c r="AS210" s="45" t="s">
        <v>2029</v>
      </c>
      <c r="AT210" s="9">
        <f>($O$3*(L210-$O$1)/$O$2+$P$3*(M210-$P$1)/$P$2+$Q$3*(N210-$P$1)/$Q$2)/SUM($O$3:$Q$3)</f>
        <v>-2.1159294805983135</v>
      </c>
      <c r="AU210" s="9">
        <f>($O$3*(O210-$O$1)/$O$2+$P$3*(P210-$P$1)/$P$2+$Q$3*(Q210-$Q$1)/$Q$2)/SUM($O$3:$Q$3)</f>
        <v>-0.55409038268056388</v>
      </c>
      <c r="AV210">
        <f>COUNT(R210:AO210)/2</f>
        <v>3</v>
      </c>
      <c r="AW210">
        <f>COUNTIF(R210:AO210,"&gt;5")/2</f>
        <v>0</v>
      </c>
      <c r="AX210" s="6">
        <f>VLOOKUP(AP210,COND!$A$10:$B$31,2,FALSE)</f>
        <v>1</v>
      </c>
      <c r="AY210" s="9">
        <f>($AT$3*AT210+$AU$3*AU210+$AV$3*AV210+$AW$3*AW210)*AX210*IF(AQ210&lt;5,0.95,IF(AQ210&lt;7,0.975,1))+$J$3*VLOOKUP(J210,[1]Con!$A$2:$C$7,2,FALSE)+$K$3*VLOOKUP(K210,[1]Con!$A$2:$C$7,3,FALSE)+IF(BA210="SP",$BA$3,0)</f>
        <v>22.245131289012335</v>
      </c>
      <c r="AZ210" s="37">
        <f>STANDARDIZE(AY210,AVERAGE($AY$5:$AY$1116),STDEVP($AY$5:$AY$1116))</f>
        <v>-0.92692503295650419</v>
      </c>
      <c r="BA210" t="str">
        <f>IF(OR(AND(AQ210&gt;7,AW210&gt;1),AND(AQ210&gt;4,AV210&gt;2)),"SP","RP")</f>
        <v>SP</v>
      </c>
      <c r="BC210">
        <f>VLOOKUP($A210,'Draft List'!$A$4:$V$530,22,FALSE)</f>
        <v>0</v>
      </c>
      <c r="BE210" t="str">
        <f>IF(AVERAGE($O210:$Q210)&gt;=6,"Likely",IF(AVERAGE($O210:$Q210)&gt;=4,"Possible","Unlikely"))</f>
        <v>Unlikely</v>
      </c>
      <c r="BG210" t="str">
        <f>IF(VLOOKUP($B210,'Draft List'!$D$4:$AB$2598,BG$3,FALSE)&lt;&gt;0,VLOOKUP($B210,'Draft List'!$D$4:$AB$2598,BG$3,FALSE),"")</f>
        <v/>
      </c>
      <c r="BH210" t="str">
        <f>IF(VLOOKUP($B210,'Draft List'!$D$4:$AB$2598,BH$3,FALSE)&lt;&gt;0,VLOOKUP($B210,'Draft List'!$D$4:$AB$2598,BH$3,FALSE),"")</f>
        <v/>
      </c>
      <c r="BI210" t="str">
        <f>IF(VLOOKUP($B210,'Draft List'!$D$4:$AB$2598,BI$3,FALSE)&lt;&gt;0,VLOOKUP($B210,'Draft List'!$D$4:$AB$2598,BI$3,FALSE),"")</f>
        <v/>
      </c>
      <c r="BJ210" t="str">
        <f>IF(OR(C210="SP",C210="MR",C210="CL"),"P",VLOOKUP($A210,Bat!$A$4:$AP$1287,42,FALSE))</f>
        <v>P</v>
      </c>
    </row>
    <row r="211" spans="1:62">
      <c r="A211" t="str">
        <f>C211&amp;D211&amp;E211</f>
        <v>MRDennis Wright18</v>
      </c>
      <c r="B211">
        <f>VLOOKUP($A211,draft_listing_pitchers_stats!$A$1:$B$1324,2,FALSE)</f>
        <v>13834</v>
      </c>
      <c r="C211" s="1" t="s">
        <v>2021</v>
      </c>
      <c r="D211" s="1" t="s">
        <v>1067</v>
      </c>
      <c r="E211" s="1">
        <v>18</v>
      </c>
      <c r="F211" s="1" t="s">
        <v>2022</v>
      </c>
      <c r="G211" s="1" t="s">
        <v>2022</v>
      </c>
      <c r="H211" s="1" t="s">
        <v>2033</v>
      </c>
      <c r="I211" s="31" t="s">
        <v>2033</v>
      </c>
      <c r="J211" s="1" t="s">
        <v>2040</v>
      </c>
      <c r="K211" s="31" t="s">
        <v>2025</v>
      </c>
      <c r="L211" s="1">
        <v>2</v>
      </c>
      <c r="M211" s="1">
        <v>3</v>
      </c>
      <c r="N211" s="31">
        <v>1</v>
      </c>
      <c r="O211" s="1">
        <v>4</v>
      </c>
      <c r="P211" s="1">
        <v>4</v>
      </c>
      <c r="Q211" s="31">
        <v>4</v>
      </c>
      <c r="R211" s="1">
        <v>2</v>
      </c>
      <c r="S211" s="1">
        <v>4</v>
      </c>
      <c r="T211" s="1" t="s">
        <v>2027</v>
      </c>
      <c r="U211" s="1" t="s">
        <v>2027</v>
      </c>
      <c r="V211" s="1">
        <v>2</v>
      </c>
      <c r="W211" s="1">
        <v>6</v>
      </c>
      <c r="X211" s="1" t="s">
        <v>2027</v>
      </c>
      <c r="Y211" s="1" t="s">
        <v>2027</v>
      </c>
      <c r="Z211" s="1" t="s">
        <v>2027</v>
      </c>
      <c r="AA211" s="1" t="s">
        <v>2027</v>
      </c>
      <c r="AB211" s="1" t="s">
        <v>2027</v>
      </c>
      <c r="AC211" s="1" t="s">
        <v>2027</v>
      </c>
      <c r="AD211" s="1" t="s">
        <v>2027</v>
      </c>
      <c r="AE211" s="1" t="s">
        <v>2027</v>
      </c>
      <c r="AF211" s="1" t="s">
        <v>2027</v>
      </c>
      <c r="AG211" s="1" t="s">
        <v>2027</v>
      </c>
      <c r="AH211" s="1" t="s">
        <v>2027</v>
      </c>
      <c r="AI211" s="1" t="s">
        <v>2027</v>
      </c>
      <c r="AJ211" s="1" t="s">
        <v>2027</v>
      </c>
      <c r="AK211" s="1" t="s">
        <v>2027</v>
      </c>
      <c r="AL211" s="1" t="s">
        <v>2027</v>
      </c>
      <c r="AM211" s="1" t="s">
        <v>2027</v>
      </c>
      <c r="AN211" s="1" t="s">
        <v>2027</v>
      </c>
      <c r="AO211" s="31" t="s">
        <v>2027</v>
      </c>
      <c r="AP211" s="1" t="s">
        <v>2037</v>
      </c>
      <c r="AQ211" s="1">
        <v>3</v>
      </c>
      <c r="AR211" s="32">
        <v>0.45</v>
      </c>
      <c r="AS211" s="45" t="s">
        <v>2029</v>
      </c>
      <c r="AT211" s="9">
        <f>($O$3*(L211-$O$1)/$O$2+$P$3*(M211-$P$1)/$P$2+$Q$3*(N211-$P$1)/$Q$2)/SUM($O$3:$Q$3)</f>
        <v>-2.1159294805983135</v>
      </c>
      <c r="AU211" s="9">
        <f>($O$3*(O211-$O$1)/$O$2+$P$3*(P211-$P$1)/$P$2+$Q$3*(Q211-$Q$1)/$Q$2)/SUM($O$3:$Q$3)</f>
        <v>-0.35865866625050846</v>
      </c>
      <c r="AV211">
        <f>COUNT(R211:AO211)/2</f>
        <v>2</v>
      </c>
      <c r="AW211">
        <f>COUNTIF(R211:AO211,"&gt;5")/2</f>
        <v>0.5</v>
      </c>
      <c r="AX211" s="6">
        <f>VLOOKUP(AP211,COND!$A$10:$B$31,2,FALSE)</f>
        <v>0.85</v>
      </c>
      <c r="AY211" s="9">
        <f>($AT$3*AT211+$AU$3*AU211+$AV$3*AV211+$AW$3*AW211)*AX211*IF(AQ211&lt;5,0.95,IF(AQ211&lt;7,0.975,1))+$J$3*VLOOKUP(J211,[1]Con!$A$2:$C$7,2,FALSE)+$K$3*VLOOKUP(K211,[1]Con!$A$2:$C$7,3,FALSE)+IF(BA211="SP",$BA$3,0)</f>
        <v>22.17812742893766</v>
      </c>
      <c r="AZ211" s="37">
        <f>STANDARDIZE(AY211,AVERAGE($AY$5:$AY$1116),STDEVP($AY$5:$AY$1116))</f>
        <v>-0.9322442375994977</v>
      </c>
      <c r="BA211" t="str">
        <f>IF(OR(AND(AQ211&gt;7,AW211&gt;1),AND(AQ211&gt;4,AV211&gt;2)),"SP","RP")</f>
        <v>RP</v>
      </c>
      <c r="BC211">
        <f>VLOOKUP($A211,'Draft List'!$A$4:$V$530,22,FALSE)</f>
        <v>0</v>
      </c>
      <c r="BE211" t="str">
        <f>IF(AVERAGE($O211:$Q211)&gt;=6,"Likely",IF(AVERAGE($O211:$Q211)&gt;=4,"Possible","Unlikely"))</f>
        <v>Possible</v>
      </c>
      <c r="BG211" t="str">
        <f>IF(VLOOKUP($B211,'Draft List'!$D$4:$AB$2598,BG$3,FALSE)&lt;&gt;0,VLOOKUP($B211,'Draft List'!$D$4:$AB$2598,BG$3,FALSE),"")</f>
        <v/>
      </c>
      <c r="BH211" t="str">
        <f>IF(VLOOKUP($B211,'Draft List'!$D$4:$AB$2598,BH$3,FALSE)&lt;&gt;0,VLOOKUP($B211,'Draft List'!$D$4:$AB$2598,BH$3,FALSE),"")</f>
        <v/>
      </c>
      <c r="BI211" t="str">
        <f>IF(VLOOKUP($B211,'Draft List'!$D$4:$AB$2598,BI$3,FALSE)&lt;&gt;0,VLOOKUP($B211,'Draft List'!$D$4:$AB$2598,BI$3,FALSE),"")</f>
        <v/>
      </c>
      <c r="BJ211" t="str">
        <f>IF(OR(C211="SP",C211="MR",C211="CL"),"P",VLOOKUP($A211,Bat!$A$4:$AP$1287,42,FALSE))</f>
        <v>P</v>
      </c>
    </row>
    <row r="212" spans="1:62">
      <c r="A212" t="str">
        <f>C212&amp;D212&amp;E212</f>
        <v>MRSergio Sandoval18</v>
      </c>
      <c r="B212">
        <f>VLOOKUP($A212,draft_listing_pitchers_stats!$A$1:$B$1324,2,FALSE)</f>
        <v>13799</v>
      </c>
      <c r="C212" s="1" t="s">
        <v>2021</v>
      </c>
      <c r="D212" s="1" t="s">
        <v>1052</v>
      </c>
      <c r="E212" s="1">
        <v>18</v>
      </c>
      <c r="F212" s="1" t="s">
        <v>2022</v>
      </c>
      <c r="G212" s="1" t="s">
        <v>2022</v>
      </c>
      <c r="H212" s="1" t="s">
        <v>2033</v>
      </c>
      <c r="I212" s="31" t="s">
        <v>2033</v>
      </c>
      <c r="J212" s="1" t="s">
        <v>2026</v>
      </c>
      <c r="K212" s="31" t="s">
        <v>2025</v>
      </c>
      <c r="L212" s="1">
        <v>3</v>
      </c>
      <c r="M212" s="1">
        <v>4</v>
      </c>
      <c r="N212" s="31">
        <v>1</v>
      </c>
      <c r="O212" s="1">
        <v>3</v>
      </c>
      <c r="P212" s="1">
        <v>4</v>
      </c>
      <c r="Q212" s="31">
        <v>4</v>
      </c>
      <c r="R212" s="1">
        <v>3</v>
      </c>
      <c r="S212" s="1">
        <v>4</v>
      </c>
      <c r="T212" s="1">
        <v>1</v>
      </c>
      <c r="U212" s="1">
        <v>3</v>
      </c>
      <c r="V212" s="1">
        <v>2</v>
      </c>
      <c r="W212" s="1">
        <v>3</v>
      </c>
      <c r="X212" s="1" t="s">
        <v>2027</v>
      </c>
      <c r="Y212" s="1" t="s">
        <v>2027</v>
      </c>
      <c r="Z212" s="1" t="s">
        <v>2027</v>
      </c>
      <c r="AA212" s="1" t="s">
        <v>2027</v>
      </c>
      <c r="AB212" s="1" t="s">
        <v>2027</v>
      </c>
      <c r="AC212" s="1" t="s">
        <v>2027</v>
      </c>
      <c r="AD212" s="1" t="s">
        <v>2027</v>
      </c>
      <c r="AE212" s="1" t="s">
        <v>2027</v>
      </c>
      <c r="AF212" s="1">
        <v>3</v>
      </c>
      <c r="AG212" s="1">
        <v>4</v>
      </c>
      <c r="AH212" s="1" t="s">
        <v>2027</v>
      </c>
      <c r="AI212" s="1" t="s">
        <v>2027</v>
      </c>
      <c r="AJ212" s="1" t="s">
        <v>2027</v>
      </c>
      <c r="AK212" s="1" t="s">
        <v>2027</v>
      </c>
      <c r="AL212" s="1" t="s">
        <v>2027</v>
      </c>
      <c r="AM212" s="1" t="s">
        <v>2027</v>
      </c>
      <c r="AN212" s="1" t="s">
        <v>2027</v>
      </c>
      <c r="AO212" s="31" t="s">
        <v>2027</v>
      </c>
      <c r="AP212" s="1" t="s">
        <v>2034</v>
      </c>
      <c r="AQ212" s="1">
        <v>6</v>
      </c>
      <c r="AR212" s="32">
        <v>0.46</v>
      </c>
      <c r="AS212" s="45" t="s">
        <v>2029</v>
      </c>
      <c r="AT212" s="9">
        <f>($O$3*(L212-$O$1)/$O$2+$P$3*(M212-$P$1)/$P$2+$Q$3*(N212-$P$1)/$Q$2)/SUM($O$3:$Q$3)</f>
        <v>-1.7258064396590846</v>
      </c>
      <c r="AU212" s="9">
        <f>($O$3*(O212-$O$1)/$O$2+$P$3*(P212-$P$1)/$P$2+$Q$3*(Q212-$Q$1)/$Q$2)/SUM($O$3:$Q$3)</f>
        <v>-0.55334999075968205</v>
      </c>
      <c r="AV212">
        <f>COUNT(R212:AO212)/2</f>
        <v>4</v>
      </c>
      <c r="AW212">
        <f>COUNTIF(R212:AO212,"&gt;5")/2</f>
        <v>0</v>
      </c>
      <c r="AX212" s="6">
        <f>VLOOKUP(AP212,COND!$A$10:$B$31,2,FALSE)</f>
        <v>1</v>
      </c>
      <c r="AY212" s="9">
        <f>($AT$3*AT212+$AU$3*AU212+$AV$3*AV212+$AW$3*AW212)*AX212*IF(AQ212&lt;5,0.95,IF(AQ212&lt;7,0.975,1))+$J$3*VLOOKUP(J212,[1]Con!$A$2:$C$7,2,FALSE)+$K$3*VLOOKUP(K212,[1]Con!$A$2:$C$7,3,FALSE)+IF(BA212="SP",$BA$3,0)</f>
        <v>22.073142924452679</v>
      </c>
      <c r="AZ212" s="37">
        <f>STANDARDIZE(AY212,AVERAGE($AY$5:$AY$1116),STDEVP($AY$5:$AY$1116))</f>
        <v>-0.94057859420337875</v>
      </c>
      <c r="BA212" t="str">
        <f>IF(OR(AND(AQ212&gt;7,AW212&gt;1),AND(AQ212&gt;4,AV212&gt;2)),"SP","RP")</f>
        <v>SP</v>
      </c>
      <c r="BC212">
        <f>VLOOKUP($A212,'Draft List'!$A$4:$V$530,22,FALSE)</f>
        <v>0</v>
      </c>
      <c r="BE212" t="str">
        <f>IF(AVERAGE($O212:$Q212)&gt;=6,"Likely",IF(AVERAGE($O212:$Q212)&gt;=4,"Possible","Unlikely"))</f>
        <v>Unlikely</v>
      </c>
      <c r="BG212" t="str">
        <f>IF(VLOOKUP($B212,'Draft List'!$D$4:$AB$2598,BG$3,FALSE)&lt;&gt;0,VLOOKUP($B212,'Draft List'!$D$4:$AB$2598,BG$3,FALSE),"")</f>
        <v/>
      </c>
      <c r="BH212" t="str">
        <f>IF(VLOOKUP($B212,'Draft List'!$D$4:$AB$2598,BH$3,FALSE)&lt;&gt;0,VLOOKUP($B212,'Draft List'!$D$4:$AB$2598,BH$3,FALSE),"")</f>
        <v/>
      </c>
      <c r="BI212" t="str">
        <f>IF(VLOOKUP($B212,'Draft List'!$D$4:$AB$2598,BI$3,FALSE)&lt;&gt;0,VLOOKUP($B212,'Draft List'!$D$4:$AB$2598,BI$3,FALSE),"")</f>
        <v/>
      </c>
      <c r="BJ212" t="str">
        <f>IF(OR(C212="SP",C212="MR",C212="CL"),"P",VLOOKUP($A212,Bat!$A$4:$AP$1287,42,FALSE))</f>
        <v>P</v>
      </c>
    </row>
    <row r="213" spans="1:62">
      <c r="A213" t="str">
        <f>C213&amp;D213&amp;E213</f>
        <v>SPAurelio Salazar21</v>
      </c>
      <c r="B213">
        <f>VLOOKUP($A213,draft_listing_pitchers_stats!$A$1:$B$1324,2,FALSE)</f>
        <v>7429</v>
      </c>
      <c r="C213" s="1" t="s">
        <v>2003</v>
      </c>
      <c r="D213" s="1" t="s">
        <v>1050</v>
      </c>
      <c r="E213" s="1">
        <v>21</v>
      </c>
      <c r="F213" s="1" t="s">
        <v>2038</v>
      </c>
      <c r="G213" s="1" t="s">
        <v>2022</v>
      </c>
      <c r="H213" s="1" t="s">
        <v>2033</v>
      </c>
      <c r="I213" s="31" t="s">
        <v>2033</v>
      </c>
      <c r="J213" s="1" t="s">
        <v>2026</v>
      </c>
      <c r="K213" s="31" t="s">
        <v>2025</v>
      </c>
      <c r="L213" s="1">
        <v>4</v>
      </c>
      <c r="M213" s="1">
        <v>3</v>
      </c>
      <c r="N213" s="31">
        <v>1</v>
      </c>
      <c r="O213" s="1">
        <v>4</v>
      </c>
      <c r="P213" s="1">
        <v>3</v>
      </c>
      <c r="Q213" s="31">
        <v>4</v>
      </c>
      <c r="R213" s="1">
        <v>4</v>
      </c>
      <c r="S213" s="1">
        <v>5</v>
      </c>
      <c r="T213" s="1">
        <v>4</v>
      </c>
      <c r="U213" s="1">
        <v>4</v>
      </c>
      <c r="V213" s="1" t="s">
        <v>2027</v>
      </c>
      <c r="W213" s="1" t="s">
        <v>2027</v>
      </c>
      <c r="X213" s="1" t="s">
        <v>2027</v>
      </c>
      <c r="Y213" s="1" t="s">
        <v>2027</v>
      </c>
      <c r="Z213" s="1" t="s">
        <v>2027</v>
      </c>
      <c r="AA213" s="1" t="s">
        <v>2027</v>
      </c>
      <c r="AB213" s="1" t="s">
        <v>2027</v>
      </c>
      <c r="AC213" s="1" t="s">
        <v>2027</v>
      </c>
      <c r="AD213" s="1">
        <v>4</v>
      </c>
      <c r="AE213" s="1">
        <v>4</v>
      </c>
      <c r="AF213" s="1" t="s">
        <v>2027</v>
      </c>
      <c r="AG213" s="1" t="s">
        <v>2027</v>
      </c>
      <c r="AH213" s="1">
        <v>5</v>
      </c>
      <c r="AI213" s="1">
        <v>5</v>
      </c>
      <c r="AJ213" s="1" t="s">
        <v>2027</v>
      </c>
      <c r="AK213" s="1" t="s">
        <v>2027</v>
      </c>
      <c r="AL213" s="1" t="s">
        <v>2027</v>
      </c>
      <c r="AM213" s="1" t="s">
        <v>2027</v>
      </c>
      <c r="AN213" s="1" t="s">
        <v>2027</v>
      </c>
      <c r="AO213" s="31" t="s">
        <v>2027</v>
      </c>
      <c r="AP213" s="1" t="s">
        <v>2042</v>
      </c>
      <c r="AQ213" s="1">
        <v>5</v>
      </c>
      <c r="AR213" s="32">
        <v>0.43</v>
      </c>
      <c r="AS213" s="45" t="s">
        <v>2029</v>
      </c>
      <c r="AT213" s="9">
        <f>($O$3*(L213-$O$1)/$O$2+$P$3*(M213-$P$1)/$P$2+$Q$3*(N213-$P$1)/$Q$2)/SUM($O$3:$Q$3)</f>
        <v>-1.7265468315799666</v>
      </c>
      <c r="AU213" s="9">
        <f>($O$3*(O213-$O$1)/$O$2+$P$3*(P213-$P$1)/$P$2+$Q$3*(Q213-$Q$1)/$Q$2)/SUM($O$3:$Q$3)</f>
        <v>-0.55409038268056388</v>
      </c>
      <c r="AV213">
        <f>COUNT(R213:AO213)/2</f>
        <v>4</v>
      </c>
      <c r="AW213">
        <f>COUNTIF(R213:AO213,"&gt;5")/2</f>
        <v>0</v>
      </c>
      <c r="AX213" s="6">
        <f>VLOOKUP(AP213,COND!$A$10:$B$31,2,FALSE)</f>
        <v>1</v>
      </c>
      <c r="AY213" s="9">
        <f>($AT$3*AT213+$AU$3*AU213+$AV$3*AV213+$AW$3*AW213)*AX213*IF(AQ213&lt;5,0.95,IF(AQ213&lt;7,0.975,1))+$J$3*VLOOKUP(J213,[1]Con!$A$2:$C$7,2,FALSE)+$K$3*VLOOKUP(K213,[1]Con!$A$2:$C$7,3,FALSE)+IF(BA213="SP",$BA$3,0)</f>
        <v>22.058560905570911</v>
      </c>
      <c r="AZ213" s="37">
        <f>STANDARDIZE(AY213,AVERAGE($AY$5:$AY$1116),STDEVP($AY$5:$AY$1116))</f>
        <v>-0.94173621023406229</v>
      </c>
      <c r="BA213" t="str">
        <f>IF(OR(AND(AQ213&gt;7,AW213&gt;1),AND(AQ213&gt;4,AV213&gt;2)),"SP","RP")</f>
        <v>SP</v>
      </c>
      <c r="BC213">
        <f>VLOOKUP($A213,'Draft List'!$A$4:$V$530,22,FALSE)</f>
        <v>0</v>
      </c>
      <c r="BE213" t="str">
        <f>IF(AVERAGE($O213:$Q213)&gt;=6,"Likely",IF(AVERAGE($O213:$Q213)&gt;=4,"Possible","Unlikely"))</f>
        <v>Unlikely</v>
      </c>
      <c r="BG213" t="str">
        <f>IF(VLOOKUP($B213,'Draft List'!$D$4:$AB$2598,BG$3,FALSE)&lt;&gt;0,VLOOKUP($B213,'Draft List'!$D$4:$AB$2598,BG$3,FALSE),"")</f>
        <v/>
      </c>
      <c r="BH213" t="str">
        <f>IF(VLOOKUP($B213,'Draft List'!$D$4:$AB$2598,BH$3,FALSE)&lt;&gt;0,VLOOKUP($B213,'Draft List'!$D$4:$AB$2598,BH$3,FALSE),"")</f>
        <v/>
      </c>
      <c r="BI213" t="str">
        <f>IF(VLOOKUP($B213,'Draft List'!$D$4:$AB$2598,BI$3,FALSE)&lt;&gt;0,VLOOKUP($B213,'Draft List'!$D$4:$AB$2598,BI$3,FALSE),"")</f>
        <v/>
      </c>
      <c r="BJ213" t="str">
        <f>IF(OR(C213="SP",C213="MR",C213="CL"),"P",VLOOKUP($A213,Bat!$A$4:$AP$1287,42,FALSE))</f>
        <v>P</v>
      </c>
    </row>
    <row r="214" spans="1:62">
      <c r="A214" t="str">
        <f>C214&amp;D214&amp;E214</f>
        <v>MRGilberto Ortíz18</v>
      </c>
      <c r="B214">
        <f>VLOOKUP($A214,draft_listing_pitchers_stats!$A$1:$B$1324,2,FALSE)</f>
        <v>13758</v>
      </c>
      <c r="C214" s="1" t="s">
        <v>2021</v>
      </c>
      <c r="D214" s="1" t="s">
        <v>1037</v>
      </c>
      <c r="E214" s="1">
        <v>18</v>
      </c>
      <c r="F214" s="1" t="s">
        <v>2022</v>
      </c>
      <c r="G214" s="1" t="s">
        <v>2022</v>
      </c>
      <c r="H214" s="1" t="s">
        <v>2033</v>
      </c>
      <c r="I214" s="31" t="s">
        <v>2033</v>
      </c>
      <c r="J214" s="1" t="s">
        <v>2040</v>
      </c>
      <c r="K214" s="31" t="s">
        <v>2025</v>
      </c>
      <c r="L214" s="1">
        <v>1</v>
      </c>
      <c r="M214" s="1">
        <v>4</v>
      </c>
      <c r="N214" s="31">
        <v>1</v>
      </c>
      <c r="O214" s="1">
        <v>3</v>
      </c>
      <c r="P214" s="1">
        <v>5</v>
      </c>
      <c r="Q214" s="31">
        <v>4</v>
      </c>
      <c r="R214" s="1">
        <v>2</v>
      </c>
      <c r="S214" s="1">
        <v>3</v>
      </c>
      <c r="T214" s="1">
        <v>1</v>
      </c>
      <c r="U214" s="1">
        <v>1</v>
      </c>
      <c r="V214" s="1" t="s">
        <v>2027</v>
      </c>
      <c r="W214" s="1" t="s">
        <v>2027</v>
      </c>
      <c r="X214" s="1">
        <v>1</v>
      </c>
      <c r="Y214" s="1">
        <v>4</v>
      </c>
      <c r="Z214" s="1" t="s">
        <v>2027</v>
      </c>
      <c r="AA214" s="1" t="s">
        <v>2027</v>
      </c>
      <c r="AB214" s="1" t="s">
        <v>2027</v>
      </c>
      <c r="AC214" s="1" t="s">
        <v>2027</v>
      </c>
      <c r="AD214" s="1" t="s">
        <v>2027</v>
      </c>
      <c r="AE214" s="1" t="s">
        <v>2027</v>
      </c>
      <c r="AF214" s="1" t="s">
        <v>2027</v>
      </c>
      <c r="AG214" s="1" t="s">
        <v>2027</v>
      </c>
      <c r="AH214" s="1" t="s">
        <v>2027</v>
      </c>
      <c r="AI214" s="1" t="s">
        <v>2027</v>
      </c>
      <c r="AJ214" s="1" t="s">
        <v>2027</v>
      </c>
      <c r="AK214" s="1" t="s">
        <v>2027</v>
      </c>
      <c r="AL214" s="1" t="s">
        <v>2027</v>
      </c>
      <c r="AM214" s="1" t="s">
        <v>2027</v>
      </c>
      <c r="AN214" s="1" t="s">
        <v>2027</v>
      </c>
      <c r="AO214" s="31" t="s">
        <v>2027</v>
      </c>
      <c r="AP214" s="1" t="s">
        <v>2063</v>
      </c>
      <c r="AQ214" s="1">
        <v>3</v>
      </c>
      <c r="AR214" s="32">
        <v>0.49</v>
      </c>
      <c r="AS214" s="45" t="s">
        <v>2029</v>
      </c>
      <c r="AT214" s="9">
        <f>($O$3*(L214-$O$1)/$O$2+$P$3*(M214-$P$1)/$P$2+$Q$3*(N214-$P$1)/$Q$2)/SUM($O$3:$Q$3)</f>
        <v>-2.1151890886774316</v>
      </c>
      <c r="AU214" s="9">
        <f>($O$3*(O214-$O$1)/$O$2+$P$3*(P214-$P$1)/$P$2+$Q$3*(Q214-$Q$1)/$Q$2)/SUM($O$3:$Q$3)</f>
        <v>-0.35791827432962653</v>
      </c>
      <c r="AV214">
        <f>COUNT(R214:AO214)/2</f>
        <v>3</v>
      </c>
      <c r="AW214">
        <f>COUNTIF(R214:AO214,"&gt;5")/2</f>
        <v>0</v>
      </c>
      <c r="AX214" s="6">
        <f>VLOOKUP(AP214,COND!$A$10:$B$31,2,FALSE)</f>
        <v>0.9</v>
      </c>
      <c r="AY214" s="9">
        <f>($AT$3*AT214+$AU$3*AU214+$AV$3*AV214+$AW$3*AW214)*AX214*IF(AQ214&lt;5,0.95,IF(AQ214&lt;7,0.975,1))+$J$3*VLOOKUP(J214,[1]Con!$A$2:$C$7,2,FALSE)+$K$3*VLOOKUP(K214,[1]Con!$A$2:$C$7,3,FALSE)+IF(BA214="SP",$BA$3,0)</f>
        <v>21.800400174799545</v>
      </c>
      <c r="AZ214" s="37">
        <f>STANDARDIZE(AY214,AVERAGE($AY$5:$AY$1116),STDEVP($AY$5:$AY$1116))</f>
        <v>-0.96223069751027634</v>
      </c>
      <c r="BA214" t="str">
        <f>IF(OR(AND(AQ214&gt;7,AW214&gt;1),AND(AQ214&gt;4,AV214&gt;2)),"SP","RP")</f>
        <v>RP</v>
      </c>
      <c r="BC214">
        <f>VLOOKUP($A214,'Draft List'!$A$4:$V$530,22,FALSE)</f>
        <v>0</v>
      </c>
      <c r="BE214" t="str">
        <f>IF(AVERAGE($O214:$Q214)&gt;=6,"Likely",IF(AVERAGE($O214:$Q214)&gt;=4,"Possible","Unlikely"))</f>
        <v>Possible</v>
      </c>
      <c r="BG214" t="str">
        <f>IF(VLOOKUP($B214,'Draft List'!$D$4:$AB$2598,BG$3,FALSE)&lt;&gt;0,VLOOKUP($B214,'Draft List'!$D$4:$AB$2598,BG$3,FALSE),"")</f>
        <v/>
      </c>
      <c r="BH214" t="str">
        <f>IF(VLOOKUP($B214,'Draft List'!$D$4:$AB$2598,BH$3,FALSE)&lt;&gt;0,VLOOKUP($B214,'Draft List'!$D$4:$AB$2598,BH$3,FALSE),"")</f>
        <v/>
      </c>
      <c r="BI214" t="str">
        <f>IF(VLOOKUP($B214,'Draft List'!$D$4:$AB$2598,BI$3,FALSE)&lt;&gt;0,VLOOKUP($B214,'Draft List'!$D$4:$AB$2598,BI$3,FALSE),"")</f>
        <v/>
      </c>
      <c r="BJ214" t="str">
        <f>IF(OR(C214="SP",C214="MR",C214="CL"),"P",VLOOKUP($A214,Bat!$A$4:$AP$1287,42,FALSE))</f>
        <v>P</v>
      </c>
    </row>
    <row r="215" spans="1:62">
      <c r="A215" t="str">
        <f>C215&amp;D215&amp;E215</f>
        <v>MRMatt Dudley21</v>
      </c>
      <c r="B215">
        <f>VLOOKUP($A215,draft_listing_pitchers_stats!$A$1:$B$1324,2,FALSE)</f>
        <v>2472</v>
      </c>
      <c r="C215" s="1" t="s">
        <v>2021</v>
      </c>
      <c r="D215" s="1" t="s">
        <v>990</v>
      </c>
      <c r="E215" s="1">
        <v>21</v>
      </c>
      <c r="F215" s="1" t="s">
        <v>2022</v>
      </c>
      <c r="G215" s="1" t="s">
        <v>2022</v>
      </c>
      <c r="H215" s="1" t="s">
        <v>2033</v>
      </c>
      <c r="I215" s="31" t="s">
        <v>2033</v>
      </c>
      <c r="J215" s="1" t="s">
        <v>2025</v>
      </c>
      <c r="K215" s="31" t="s">
        <v>2040</v>
      </c>
      <c r="L215" s="1">
        <v>2</v>
      </c>
      <c r="M215" s="1">
        <v>4</v>
      </c>
      <c r="N215" s="31">
        <v>2</v>
      </c>
      <c r="O215" s="1">
        <v>4</v>
      </c>
      <c r="P215" s="1">
        <v>4</v>
      </c>
      <c r="Q215" s="31">
        <v>4</v>
      </c>
      <c r="R215" s="1">
        <v>5</v>
      </c>
      <c r="S215" s="1">
        <v>5</v>
      </c>
      <c r="T215" s="1">
        <v>1</v>
      </c>
      <c r="U215" s="1">
        <v>1</v>
      </c>
      <c r="V215" s="1">
        <v>2</v>
      </c>
      <c r="W215" s="1">
        <v>2</v>
      </c>
      <c r="X215" s="1">
        <v>3</v>
      </c>
      <c r="Y215" s="1">
        <v>3</v>
      </c>
      <c r="Z215" s="1" t="s">
        <v>2027</v>
      </c>
      <c r="AA215" s="1" t="s">
        <v>2027</v>
      </c>
      <c r="AB215" s="1" t="s">
        <v>2027</v>
      </c>
      <c r="AC215" s="1" t="s">
        <v>2027</v>
      </c>
      <c r="AD215" s="1" t="s">
        <v>2027</v>
      </c>
      <c r="AE215" s="1" t="s">
        <v>2027</v>
      </c>
      <c r="AF215" s="1" t="s">
        <v>2027</v>
      </c>
      <c r="AG215" s="1" t="s">
        <v>2027</v>
      </c>
      <c r="AH215" s="1" t="s">
        <v>2027</v>
      </c>
      <c r="AI215" s="1" t="s">
        <v>2027</v>
      </c>
      <c r="AJ215" s="1" t="s">
        <v>2027</v>
      </c>
      <c r="AK215" s="1" t="s">
        <v>2027</v>
      </c>
      <c r="AL215" s="1" t="s">
        <v>2027</v>
      </c>
      <c r="AM215" s="1" t="s">
        <v>2027</v>
      </c>
      <c r="AN215" s="1" t="s">
        <v>2027</v>
      </c>
      <c r="AO215" s="31" t="s">
        <v>2027</v>
      </c>
      <c r="AP215" s="1" t="s">
        <v>2047</v>
      </c>
      <c r="AQ215" s="1">
        <v>4</v>
      </c>
      <c r="AR215" s="32">
        <v>0.48</v>
      </c>
      <c r="AS215" s="45" t="s">
        <v>2029</v>
      </c>
      <c r="AT215" s="9">
        <f>($O$3*(L215-$O$1)/$O$2+$P$3*(M215-$P$1)/$P$2+$Q$3*(N215-$P$1)/$Q$2)/SUM($O$3:$Q$3)</f>
        <v>-1.6781771981141478</v>
      </c>
      <c r="AU215" s="9">
        <f>($O$3*(O215-$O$1)/$O$2+$P$3*(P215-$P$1)/$P$2+$Q$3*(Q215-$Q$1)/$Q$2)/SUM($O$3:$Q$3)</f>
        <v>-0.35865866625050846</v>
      </c>
      <c r="AV215">
        <f>COUNT(R215:AO215)/2</f>
        <v>4</v>
      </c>
      <c r="AW215">
        <f>COUNTIF(R215:AO215,"&gt;5")/2</f>
        <v>0</v>
      </c>
      <c r="AX215" s="6">
        <f>VLOOKUP(AP215,COND!$A$10:$B$31,2,FALSE)</f>
        <v>1.0249999999999999</v>
      </c>
      <c r="AY215" s="9">
        <f>($AT$3*AT215+$AU$3*AU215+$AV$3*AV215+$AW$3*AW215)*AX215*IF(AQ215&lt;5,0.95,IF(AQ215&lt;7,0.975,1))+$J$3*VLOOKUP(J215,[1]Con!$A$2:$C$7,2,FALSE)+$K$3*VLOOKUP(K215,[1]Con!$A$2:$C$7,3,FALSE)+IF(BA215="SP",$BA$3,0)</f>
        <v>21.635797465438618</v>
      </c>
      <c r="AZ215" s="37">
        <f>STANDARDIZE(AY215,AVERAGE($AY$5:$AY$1116),STDEVP($AY$5:$AY$1116))</f>
        <v>-0.97529793714253288</v>
      </c>
      <c r="BA215" t="str">
        <f>IF(OR(AND(AQ215&gt;7,AW215&gt;1),AND(AQ215&gt;4,AV215&gt;2)),"SP","RP")</f>
        <v>RP</v>
      </c>
      <c r="BC215">
        <f>VLOOKUP($A215,'Draft List'!$A$4:$V$530,22,FALSE)</f>
        <v>0</v>
      </c>
      <c r="BE215" t="str">
        <f>IF(AVERAGE($O215:$Q215)&gt;=6,"Likely",IF(AVERAGE($O215:$Q215)&gt;=4,"Possible","Unlikely"))</f>
        <v>Possible</v>
      </c>
      <c r="BG215" t="str">
        <f>IF(VLOOKUP($B215,'Draft List'!$D$4:$AB$2598,BG$3,FALSE)&lt;&gt;0,VLOOKUP($B215,'Draft List'!$D$4:$AB$2598,BG$3,FALSE),"")</f>
        <v/>
      </c>
      <c r="BH215" t="str">
        <f>IF(VLOOKUP($B215,'Draft List'!$D$4:$AB$2598,BH$3,FALSE)&lt;&gt;0,VLOOKUP($B215,'Draft List'!$D$4:$AB$2598,BH$3,FALSE),"")</f>
        <v/>
      </c>
      <c r="BI215" t="str">
        <f>IF(VLOOKUP($B215,'Draft List'!$D$4:$AB$2598,BI$3,FALSE)&lt;&gt;0,VLOOKUP($B215,'Draft List'!$D$4:$AB$2598,BI$3,FALSE),"")</f>
        <v/>
      </c>
      <c r="BJ215" t="str">
        <f>IF(OR(C215="SP",C215="MR",C215="CL"),"P",VLOOKUP($A215,Bat!$A$4:$AP$1287,42,FALSE))</f>
        <v>P</v>
      </c>
    </row>
    <row r="216" spans="1:62">
      <c r="A216" t="str">
        <f>C216&amp;D216&amp;E216</f>
        <v>SPRoald Hogervorst21</v>
      </c>
      <c r="B216">
        <f>VLOOKUP($A216,draft_listing_pitchers_stats!$A$1:$B$1324,2,FALSE)</f>
        <v>9539</v>
      </c>
      <c r="C216" s="1" t="s">
        <v>2003</v>
      </c>
      <c r="D216" s="1" t="s">
        <v>1006</v>
      </c>
      <c r="E216" s="1">
        <v>21</v>
      </c>
      <c r="F216" s="1" t="s">
        <v>2022</v>
      </c>
      <c r="G216" s="1" t="s">
        <v>2022</v>
      </c>
      <c r="H216" s="1" t="s">
        <v>2033</v>
      </c>
      <c r="I216" s="31" t="s">
        <v>2033</v>
      </c>
      <c r="J216" s="1" t="s">
        <v>2026</v>
      </c>
      <c r="K216" s="31" t="s">
        <v>2025</v>
      </c>
      <c r="L216" s="1">
        <v>4</v>
      </c>
      <c r="M216" s="1">
        <v>3</v>
      </c>
      <c r="N216" s="31">
        <v>2</v>
      </c>
      <c r="O216" s="1">
        <v>4</v>
      </c>
      <c r="P216" s="1">
        <v>3</v>
      </c>
      <c r="Q216" s="31">
        <v>4</v>
      </c>
      <c r="R216" s="1">
        <v>5</v>
      </c>
      <c r="S216" s="1">
        <v>5</v>
      </c>
      <c r="T216" s="1">
        <v>4</v>
      </c>
      <c r="U216" s="1">
        <v>5</v>
      </c>
      <c r="V216" s="1" t="s">
        <v>2027</v>
      </c>
      <c r="W216" s="1" t="s">
        <v>2027</v>
      </c>
      <c r="X216" s="1">
        <v>4</v>
      </c>
      <c r="Y216" s="1">
        <v>5</v>
      </c>
      <c r="Z216" s="1" t="s">
        <v>2027</v>
      </c>
      <c r="AA216" s="1" t="s">
        <v>2027</v>
      </c>
      <c r="AB216" s="1" t="s">
        <v>2027</v>
      </c>
      <c r="AC216" s="1" t="s">
        <v>2027</v>
      </c>
      <c r="AD216" s="1" t="s">
        <v>2027</v>
      </c>
      <c r="AE216" s="1" t="s">
        <v>2027</v>
      </c>
      <c r="AF216" s="1" t="s">
        <v>2027</v>
      </c>
      <c r="AG216" s="1" t="s">
        <v>2027</v>
      </c>
      <c r="AH216" s="1" t="s">
        <v>2027</v>
      </c>
      <c r="AI216" s="1" t="s">
        <v>2027</v>
      </c>
      <c r="AJ216" s="1" t="s">
        <v>2027</v>
      </c>
      <c r="AK216" s="1" t="s">
        <v>2027</v>
      </c>
      <c r="AL216" s="1" t="s">
        <v>2027</v>
      </c>
      <c r="AM216" s="1" t="s">
        <v>2027</v>
      </c>
      <c r="AN216" s="1" t="s">
        <v>2027</v>
      </c>
      <c r="AO216" s="31" t="s">
        <v>2027</v>
      </c>
      <c r="AP216" s="1" t="s">
        <v>2041</v>
      </c>
      <c r="AQ216" s="1">
        <v>6</v>
      </c>
      <c r="AR216" s="32">
        <v>0.43</v>
      </c>
      <c r="AS216" s="45" t="s">
        <v>2029</v>
      </c>
      <c r="AT216" s="9">
        <f>($O$3*(L216-$O$1)/$O$2+$P$3*(M216-$P$1)/$P$2+$Q$3*(N216-$P$1)/$Q$2)/SUM($O$3:$Q$3)</f>
        <v>-1.4842262655258562</v>
      </c>
      <c r="AU216" s="9">
        <f>($O$3*(O216-$O$1)/$O$2+$P$3*(P216-$P$1)/$P$2+$Q$3*(Q216-$Q$1)/$Q$2)/SUM($O$3:$Q$3)</f>
        <v>-0.55409038268056388</v>
      </c>
      <c r="AV216">
        <f>COUNT(R216:AO216)/2</f>
        <v>3</v>
      </c>
      <c r="AW216">
        <f>COUNTIF(R216:AO216,"&gt;5")/2</f>
        <v>0</v>
      </c>
      <c r="AX216" s="6">
        <f>VLOOKUP(AP216,COND!$A$10:$B$31,2,FALSE)</f>
        <v>1</v>
      </c>
      <c r="AY216" s="9">
        <f>($AT$3*AT216+$AU$3*AU216+$AV$3*AV216+$AW$3*AW216)*AX216*IF(AQ216&lt;5,0.95,IF(AQ216&lt;7,0.975,1))+$J$3*VLOOKUP(J216,[1]Con!$A$2:$C$7,2,FALSE)+$K$3*VLOOKUP(K216,[1]Con!$A$2:$C$7,3,FALSE)+IF(BA216="SP",$BA$3,0)</f>
        <v>21.618313415951462</v>
      </c>
      <c r="AZ216" s="37">
        <f>STANDARDIZE(AY216,AVERAGE($AY$5:$AY$1116),STDEVP($AY$5:$AY$1116))</f>
        <v>-0.97668593534303594</v>
      </c>
      <c r="BA216" t="str">
        <f>IF(OR(AND(AQ216&gt;7,AW216&gt;1),AND(AQ216&gt;4,AV216&gt;2)),"SP","RP")</f>
        <v>SP</v>
      </c>
      <c r="BC216">
        <f>VLOOKUP($A216,'Draft List'!$A$4:$V$530,22,FALSE)</f>
        <v>0</v>
      </c>
      <c r="BE216" t="str">
        <f>IF(AVERAGE($O216:$Q216)&gt;=6,"Likely",IF(AVERAGE($O216:$Q216)&gt;=4,"Possible","Unlikely"))</f>
        <v>Unlikely</v>
      </c>
      <c r="BG216" t="str">
        <f>IF(VLOOKUP($B216,'Draft List'!$D$4:$AB$2598,BG$3,FALSE)&lt;&gt;0,VLOOKUP($B216,'Draft List'!$D$4:$AB$2598,BG$3,FALSE),"")</f>
        <v/>
      </c>
      <c r="BH216" t="str">
        <f>IF(VLOOKUP($B216,'Draft List'!$D$4:$AB$2598,BH$3,FALSE)&lt;&gt;0,VLOOKUP($B216,'Draft List'!$D$4:$AB$2598,BH$3,FALSE),"")</f>
        <v/>
      </c>
      <c r="BI216" t="str">
        <f>IF(VLOOKUP($B216,'Draft List'!$D$4:$AB$2598,BI$3,FALSE)&lt;&gt;0,VLOOKUP($B216,'Draft List'!$D$4:$AB$2598,BI$3,FALSE),"")</f>
        <v/>
      </c>
      <c r="BJ216" t="str">
        <f>IF(OR(C216="SP",C216="MR",C216="CL"),"P",VLOOKUP($A216,Bat!$A$4:$AP$1287,42,FALSE))</f>
        <v>P</v>
      </c>
    </row>
    <row r="217" spans="1:62">
      <c r="A217" t="str">
        <f>C217&amp;D217&amp;E217</f>
        <v>MRAndre Carr21</v>
      </c>
      <c r="B217" t="e">
        <f>VLOOKUP($A217,draft_listing_pitchers_stats!$A$1:$B$1324,2,FALSE)</f>
        <v>#N/A</v>
      </c>
      <c r="C217" s="1" t="s">
        <v>2021</v>
      </c>
      <c r="D217" s="1" t="s">
        <v>1184</v>
      </c>
      <c r="E217" s="1">
        <v>21</v>
      </c>
      <c r="F217" s="1" t="s">
        <v>2022</v>
      </c>
      <c r="G217" s="1" t="s">
        <v>2022</v>
      </c>
      <c r="H217" s="1" t="s">
        <v>2033</v>
      </c>
      <c r="I217" s="31" t="s">
        <v>2033</v>
      </c>
      <c r="J217" s="1" t="s">
        <v>2026</v>
      </c>
      <c r="K217" s="31" t="s">
        <v>2025</v>
      </c>
      <c r="L217" s="1">
        <v>3</v>
      </c>
      <c r="M217" s="1">
        <v>3</v>
      </c>
      <c r="N217" s="31">
        <v>2</v>
      </c>
      <c r="O217" s="1">
        <v>4</v>
      </c>
      <c r="P217" s="1">
        <v>3</v>
      </c>
      <c r="Q217" s="31">
        <v>4</v>
      </c>
      <c r="R217" s="1">
        <v>5</v>
      </c>
      <c r="S217" s="1">
        <v>5</v>
      </c>
      <c r="T217" s="1">
        <v>3</v>
      </c>
      <c r="U217" s="1">
        <v>3</v>
      </c>
      <c r="V217" s="1">
        <v>3</v>
      </c>
      <c r="W217" s="1">
        <v>4</v>
      </c>
      <c r="X217" s="1">
        <v>3</v>
      </c>
      <c r="Y217" s="1">
        <v>4</v>
      </c>
      <c r="Z217" s="1" t="s">
        <v>2027</v>
      </c>
      <c r="AA217" s="1" t="s">
        <v>2027</v>
      </c>
      <c r="AB217" s="1" t="s">
        <v>2027</v>
      </c>
      <c r="AC217" s="1" t="s">
        <v>2027</v>
      </c>
      <c r="AD217" s="1" t="s">
        <v>2027</v>
      </c>
      <c r="AE217" s="1" t="s">
        <v>2027</v>
      </c>
      <c r="AF217" s="1" t="s">
        <v>2027</v>
      </c>
      <c r="AG217" s="1" t="s">
        <v>2027</v>
      </c>
      <c r="AH217" s="1" t="s">
        <v>2027</v>
      </c>
      <c r="AI217" s="1" t="s">
        <v>2027</v>
      </c>
      <c r="AJ217" s="1" t="s">
        <v>2027</v>
      </c>
      <c r="AK217" s="1" t="s">
        <v>2027</v>
      </c>
      <c r="AL217" s="1" t="s">
        <v>2027</v>
      </c>
      <c r="AM217" s="1" t="s">
        <v>2027</v>
      </c>
      <c r="AN217" s="1" t="s">
        <v>2027</v>
      </c>
      <c r="AO217" s="31" t="s">
        <v>2027</v>
      </c>
      <c r="AP217" s="1" t="s">
        <v>2047</v>
      </c>
      <c r="AQ217" s="1">
        <v>9</v>
      </c>
      <c r="AR217" s="32">
        <v>0.39</v>
      </c>
      <c r="AS217" s="45">
        <v>200000</v>
      </c>
      <c r="AT217" s="9">
        <f>($O$3*(L217-$O$1)/$O$2+$P$3*(M217-$P$1)/$P$2+$Q$3*(N217-$P$1)/$Q$2)/SUM($O$3:$Q$3)</f>
        <v>-1.6789175900350299</v>
      </c>
      <c r="AU217" s="9">
        <f>($O$3*(O217-$O$1)/$O$2+$P$3*(P217-$P$1)/$P$2+$Q$3*(Q217-$Q$1)/$Q$2)/SUM($O$3:$Q$3)</f>
        <v>-0.55409038268056388</v>
      </c>
      <c r="AV217">
        <f>COUNT(R217:AO217)/2</f>
        <v>4</v>
      </c>
      <c r="AW217">
        <f>COUNTIF(R217:AO217,"&gt;5")/2</f>
        <v>0</v>
      </c>
      <c r="AX217" s="6">
        <f>VLOOKUP(AP217,COND!$A$10:$B$31,2,FALSE)</f>
        <v>1.0249999999999999</v>
      </c>
      <c r="AY217" s="9">
        <f>($AT$3*AT217+$AU$3*AU217+$AV$3*AV217+$AW$3*AW217)*AX217*IF(AQ217&lt;5,0.95,IF(AQ217&lt;7,0.975,1))+$J$3*VLOOKUP(J217,[1]Con!$A$2:$C$7,2,FALSE)+$K$3*VLOOKUP(K217,[1]Con!$A$2:$C$7,3,FALSE)+IF(BA217="SP",$BA$3,0)</f>
        <v>21.59696904909126</v>
      </c>
      <c r="AZ217" s="37">
        <f>STANDARDIZE(AY217,AVERAGE($AY$5:$AY$1116),STDEVP($AY$5:$AY$1116))</f>
        <v>-0.97838039078452854</v>
      </c>
      <c r="BA217" t="str">
        <f>IF(OR(AND(AQ217&gt;7,AW217&gt;1),AND(AQ217&gt;4,AV217&gt;2)),"SP","RP")</f>
        <v>SP</v>
      </c>
      <c r="BC217" t="e">
        <f>VLOOKUP($A217,'Draft List'!$A$4:$V$530,22,FALSE)</f>
        <v>#N/A</v>
      </c>
      <c r="BD217" t="s">
        <v>16</v>
      </c>
      <c r="BE217" t="str">
        <f>IF(AVERAGE($O217:$Q217)&gt;=6,"Likely",IF(AVERAGE($O217:$Q217)&gt;=4,"Possible","Unlikely"))</f>
        <v>Unlikely</v>
      </c>
      <c r="BG217" t="e">
        <f>IF(VLOOKUP($B217,'Draft List'!$D$4:$AB$2598,BG$3,FALSE)&lt;&gt;0,VLOOKUP($B217,'Draft List'!$D$4:$AB$2598,BG$3,FALSE),"")</f>
        <v>#N/A</v>
      </c>
      <c r="BH217" t="e">
        <f>IF(VLOOKUP($B217,'Draft List'!$D$4:$AB$2598,BH$3,FALSE)&lt;&gt;0,VLOOKUP($B217,'Draft List'!$D$4:$AB$2598,BH$3,FALSE),"")</f>
        <v>#N/A</v>
      </c>
      <c r="BI217" t="e">
        <f>IF(VLOOKUP($B217,'Draft List'!$D$4:$AB$2598,BI$3,FALSE)&lt;&gt;0,VLOOKUP($B217,'Draft List'!$D$4:$AB$2598,BI$3,FALSE),"")</f>
        <v>#N/A</v>
      </c>
      <c r="BJ217" t="str">
        <f>IF(OR(C217="SP",C217="MR",C217="CL"),"P",VLOOKUP($A217,Bat!$A$4:$AP$1287,42,FALSE))</f>
        <v>P</v>
      </c>
    </row>
    <row r="218" spans="1:62">
      <c r="A218" t="str">
        <f>C218&amp;D218&amp;E218</f>
        <v>MRJared Younger18</v>
      </c>
      <c r="B218">
        <f>VLOOKUP($A218,draft_listing_pitchers_stats!$A$1:$B$1324,2,FALSE)</f>
        <v>13916</v>
      </c>
      <c r="C218" s="1" t="s">
        <v>2021</v>
      </c>
      <c r="D218" s="1" t="s">
        <v>1071</v>
      </c>
      <c r="E218" s="1">
        <v>18</v>
      </c>
      <c r="F218" s="1" t="s">
        <v>2022</v>
      </c>
      <c r="G218" s="1" t="s">
        <v>2022</v>
      </c>
      <c r="H218" s="1" t="s">
        <v>2033</v>
      </c>
      <c r="I218" s="31" t="s">
        <v>2033</v>
      </c>
      <c r="J218" s="1" t="s">
        <v>2026</v>
      </c>
      <c r="K218" s="31" t="s">
        <v>2026</v>
      </c>
      <c r="L218" s="1">
        <v>2</v>
      </c>
      <c r="M218" s="1">
        <v>3</v>
      </c>
      <c r="N218" s="31">
        <v>1</v>
      </c>
      <c r="O218" s="1">
        <v>4</v>
      </c>
      <c r="P218" s="1">
        <v>3</v>
      </c>
      <c r="Q218" s="31">
        <v>4</v>
      </c>
      <c r="R218" s="1">
        <v>4</v>
      </c>
      <c r="S218" s="1">
        <v>4</v>
      </c>
      <c r="T218" s="1">
        <v>1</v>
      </c>
      <c r="U218" s="1">
        <v>2</v>
      </c>
      <c r="V218" s="1" t="s">
        <v>2027</v>
      </c>
      <c r="W218" s="1" t="s">
        <v>2027</v>
      </c>
      <c r="X218" s="1" t="s">
        <v>2027</v>
      </c>
      <c r="Y218" s="1" t="s">
        <v>2027</v>
      </c>
      <c r="Z218" s="1" t="s">
        <v>2027</v>
      </c>
      <c r="AA218" s="1" t="s">
        <v>2027</v>
      </c>
      <c r="AB218" s="1" t="s">
        <v>2027</v>
      </c>
      <c r="AC218" s="1" t="s">
        <v>2027</v>
      </c>
      <c r="AD218" s="1">
        <v>3</v>
      </c>
      <c r="AE218" s="1">
        <v>4</v>
      </c>
      <c r="AF218" s="1">
        <v>3</v>
      </c>
      <c r="AG218" s="1">
        <v>3</v>
      </c>
      <c r="AH218" s="1" t="s">
        <v>2027</v>
      </c>
      <c r="AI218" s="1" t="s">
        <v>2027</v>
      </c>
      <c r="AJ218" s="1" t="s">
        <v>2027</v>
      </c>
      <c r="AK218" s="1" t="s">
        <v>2027</v>
      </c>
      <c r="AL218" s="1" t="s">
        <v>2027</v>
      </c>
      <c r="AM218" s="1" t="s">
        <v>2027</v>
      </c>
      <c r="AN218" s="1" t="s">
        <v>2027</v>
      </c>
      <c r="AO218" s="31" t="s">
        <v>2027</v>
      </c>
      <c r="AP218" s="1" t="s">
        <v>2042</v>
      </c>
      <c r="AQ218" s="1">
        <v>6</v>
      </c>
      <c r="AR218" s="32">
        <v>0.4</v>
      </c>
      <c r="AS218" s="45" t="s">
        <v>2029</v>
      </c>
      <c r="AT218" s="9">
        <f>($O$3*(L218-$O$1)/$O$2+$P$3*(M218-$P$1)/$P$2+$Q$3*(N218-$P$1)/$Q$2)/SUM($O$3:$Q$3)</f>
        <v>-2.1159294805983135</v>
      </c>
      <c r="AU218" s="9">
        <f>($O$3*(O218-$O$1)/$O$2+$P$3*(P218-$P$1)/$P$2+$Q$3*(Q218-$Q$1)/$Q$2)/SUM($O$3:$Q$3)</f>
        <v>-0.55409038268056388</v>
      </c>
      <c r="AV218">
        <f>COUNT(R218:AO218)/2</f>
        <v>4</v>
      </c>
      <c r="AW218">
        <f>COUNTIF(R218:AO218,"&gt;5")/2</f>
        <v>0</v>
      </c>
      <c r="AX218" s="6">
        <f>VLOOKUP(AP218,COND!$A$10:$B$31,2,FALSE)</f>
        <v>1</v>
      </c>
      <c r="AY218" s="9">
        <f>($AT$3*AT218+$AU$3*AU218+$AV$3*AV218+$AW$3*AW218)*AX218*IF(AQ218&lt;5,0.95,IF(AQ218&lt;7,0.975,1))+$J$3*VLOOKUP(J218,[1]Con!$A$2:$C$7,2,FALSE)+$K$3*VLOOKUP(K218,[1]Con!$A$2:$C$7,3,FALSE)+IF(BA218="SP",$BA$3,0)</f>
        <v>21.232631289012332</v>
      </c>
      <c r="AZ218" s="37">
        <f>STANDARDIZE(AY218,AVERAGE($AY$5:$AY$1116),STDEVP($AY$5:$AY$1116))</f>
        <v>-1.007303905084598</v>
      </c>
      <c r="BA218" t="str">
        <f>IF(OR(AND(AQ218&gt;7,AW218&gt;1),AND(AQ218&gt;4,AV218&gt;2)),"SP","RP")</f>
        <v>SP</v>
      </c>
      <c r="BC218">
        <f>VLOOKUP($A218,'Draft List'!$A$4:$V$530,22,FALSE)</f>
        <v>0</v>
      </c>
      <c r="BE218" t="str">
        <f>IF(AVERAGE($O218:$Q218)&gt;=6,"Likely",IF(AVERAGE($O218:$Q218)&gt;=4,"Possible","Unlikely"))</f>
        <v>Unlikely</v>
      </c>
      <c r="BG218" t="str">
        <f>IF(VLOOKUP($B218,'Draft List'!$D$4:$AB$2598,BG$3,FALSE)&lt;&gt;0,VLOOKUP($B218,'Draft List'!$D$4:$AB$2598,BG$3,FALSE),"")</f>
        <v/>
      </c>
      <c r="BH218" t="str">
        <f>IF(VLOOKUP($B218,'Draft List'!$D$4:$AB$2598,BH$3,FALSE)&lt;&gt;0,VLOOKUP($B218,'Draft List'!$D$4:$AB$2598,BH$3,FALSE),"")</f>
        <v/>
      </c>
      <c r="BI218" t="str">
        <f>IF(VLOOKUP($B218,'Draft List'!$D$4:$AB$2598,BI$3,FALSE)&lt;&gt;0,VLOOKUP($B218,'Draft List'!$D$4:$AB$2598,BI$3,FALSE),"")</f>
        <v/>
      </c>
      <c r="BJ218" t="str">
        <f>IF(OR(C218="SP",C218="MR",C218="CL"),"P",VLOOKUP($A218,Bat!$A$4:$AP$1287,42,FALSE))</f>
        <v>P</v>
      </c>
    </row>
    <row r="219" spans="1:62">
      <c r="A219" t="str">
        <f>C219&amp;D219&amp;E219</f>
        <v>MRRaymond Larson21</v>
      </c>
      <c r="B219">
        <f>VLOOKUP($A219,draft_listing_pitchers_stats!$A$1:$B$1324,2,FALSE)</f>
        <v>9397</v>
      </c>
      <c r="C219" s="1" t="s">
        <v>2021</v>
      </c>
      <c r="D219" s="1" t="s">
        <v>1018</v>
      </c>
      <c r="E219" s="1">
        <v>21</v>
      </c>
      <c r="F219" s="1" t="s">
        <v>2038</v>
      </c>
      <c r="G219" s="1" t="s">
        <v>2022</v>
      </c>
      <c r="H219" s="1" t="s">
        <v>2033</v>
      </c>
      <c r="I219" s="31" t="s">
        <v>2033</v>
      </c>
      <c r="J219" s="1" t="s">
        <v>2025</v>
      </c>
      <c r="K219" s="31" t="s">
        <v>2025</v>
      </c>
      <c r="L219" s="1">
        <v>4</v>
      </c>
      <c r="M219" s="1">
        <v>3</v>
      </c>
      <c r="N219" s="31">
        <v>2</v>
      </c>
      <c r="O219" s="1">
        <v>4</v>
      </c>
      <c r="P219" s="1">
        <v>3</v>
      </c>
      <c r="Q219" s="31">
        <v>4</v>
      </c>
      <c r="R219" s="1">
        <v>4</v>
      </c>
      <c r="S219" s="1">
        <v>5</v>
      </c>
      <c r="T219" s="1">
        <v>4</v>
      </c>
      <c r="U219" s="1">
        <v>4</v>
      </c>
      <c r="V219" s="1">
        <v>3</v>
      </c>
      <c r="W219" s="1">
        <v>4</v>
      </c>
      <c r="X219" s="1" t="s">
        <v>2027</v>
      </c>
      <c r="Y219" s="1" t="s">
        <v>2027</v>
      </c>
      <c r="Z219" s="1" t="s">
        <v>2027</v>
      </c>
      <c r="AA219" s="1" t="s">
        <v>2027</v>
      </c>
      <c r="AB219" s="1" t="s">
        <v>2027</v>
      </c>
      <c r="AC219" s="1" t="s">
        <v>2027</v>
      </c>
      <c r="AD219" s="1" t="s">
        <v>2027</v>
      </c>
      <c r="AE219" s="1" t="s">
        <v>2027</v>
      </c>
      <c r="AF219" s="1">
        <v>3</v>
      </c>
      <c r="AG219" s="1">
        <v>4</v>
      </c>
      <c r="AH219" s="1" t="s">
        <v>2027</v>
      </c>
      <c r="AI219" s="1" t="s">
        <v>2027</v>
      </c>
      <c r="AJ219" s="1" t="s">
        <v>2027</v>
      </c>
      <c r="AK219" s="1" t="s">
        <v>2027</v>
      </c>
      <c r="AL219" s="1" t="s">
        <v>2027</v>
      </c>
      <c r="AM219" s="1" t="s">
        <v>2027</v>
      </c>
      <c r="AN219" s="1" t="s">
        <v>2027</v>
      </c>
      <c r="AO219" s="31" t="s">
        <v>2027</v>
      </c>
      <c r="AP219" s="1" t="s">
        <v>2054</v>
      </c>
      <c r="AQ219" s="1">
        <v>4</v>
      </c>
      <c r="AR219" s="32">
        <v>0.36</v>
      </c>
      <c r="AS219" s="45" t="s">
        <v>2029</v>
      </c>
      <c r="AT219" s="9">
        <f>($O$3*(L219-$O$1)/$O$2+$P$3*(M219-$P$1)/$P$2+$Q$3*(N219-$P$1)/$Q$2)/SUM($O$3:$Q$3)</f>
        <v>-1.4842262655258562</v>
      </c>
      <c r="AU219" s="9">
        <f>($O$3*(O219-$O$1)/$O$2+$P$3*(P219-$P$1)/$P$2+$Q$3*(Q219-$Q$1)/$Q$2)/SUM($O$3:$Q$3)</f>
        <v>-0.55409038268056388</v>
      </c>
      <c r="AV219">
        <f>COUNT(R219:AO219)/2</f>
        <v>4</v>
      </c>
      <c r="AW219">
        <f>COUNTIF(R219:AO219,"&gt;5")/2</f>
        <v>0</v>
      </c>
      <c r="AX219" s="6">
        <f>VLOOKUP(AP219,COND!$A$10:$B$31,2,FALSE)</f>
        <v>1</v>
      </c>
      <c r="AY219" s="9">
        <f>($AT$3*AT219+$AU$3*AU219+$AV$3*AV219+$AW$3*AW219)*AX219*IF(AQ219&lt;5,0.95,IF(AQ219&lt;7,0.975,1))+$J$3*VLOOKUP(J219,[1]Con!$A$2:$C$7,2,FALSE)+$K$3*VLOOKUP(K219,[1]Con!$A$2:$C$7,3,FALSE)+IF(BA219="SP",$BA$3,0)</f>
        <v>21.090279738619373</v>
      </c>
      <c r="AZ219" s="37">
        <f>STANDARDIZE(AY219,AVERAGE($AY$5:$AY$1116),STDEVP($AY$5:$AY$1116))</f>
        <v>-1.0186047021870883</v>
      </c>
      <c r="BA219" t="str">
        <f>IF(OR(AND(AQ219&gt;7,AW219&gt;1),AND(AQ219&gt;4,AV219&gt;2)),"SP","RP")</f>
        <v>RP</v>
      </c>
      <c r="BC219">
        <f>VLOOKUP($A219,'Draft List'!$A$4:$V$530,22,FALSE)</f>
        <v>0</v>
      </c>
      <c r="BE219" t="str">
        <f>IF(AVERAGE($O219:$Q219)&gt;=6,"Likely",IF(AVERAGE($O219:$Q219)&gt;=4,"Possible","Unlikely"))</f>
        <v>Unlikely</v>
      </c>
      <c r="BG219" t="str">
        <f>IF(VLOOKUP($B219,'Draft List'!$D$4:$AB$2598,BG$3,FALSE)&lt;&gt;0,VLOOKUP($B219,'Draft List'!$D$4:$AB$2598,BG$3,FALSE),"")</f>
        <v/>
      </c>
      <c r="BH219" t="str">
        <f>IF(VLOOKUP($B219,'Draft List'!$D$4:$AB$2598,BH$3,FALSE)&lt;&gt;0,VLOOKUP($B219,'Draft List'!$D$4:$AB$2598,BH$3,FALSE),"")</f>
        <v/>
      </c>
      <c r="BI219" t="str">
        <f>IF(VLOOKUP($B219,'Draft List'!$D$4:$AB$2598,BI$3,FALSE)&lt;&gt;0,VLOOKUP($B219,'Draft List'!$D$4:$AB$2598,BI$3,FALSE),"")</f>
        <v/>
      </c>
      <c r="BJ219" t="str">
        <f>IF(OR(C219="SP",C219="MR",C219="CL"),"P",VLOOKUP($A219,Bat!$A$4:$AP$1287,42,FALSE))</f>
        <v>P</v>
      </c>
    </row>
    <row r="220" spans="1:62">
      <c r="A220" t="str">
        <f>C220&amp;D220&amp;E220</f>
        <v>MRAlvin Tinker21</v>
      </c>
      <c r="B220">
        <f>VLOOKUP($A220,draft_listing_pitchers_stats!$A$1:$B$1324,2,FALSE)</f>
        <v>4109</v>
      </c>
      <c r="C220" s="1" t="s">
        <v>2021</v>
      </c>
      <c r="D220" s="1" t="s">
        <v>1061</v>
      </c>
      <c r="E220" s="1">
        <v>21</v>
      </c>
      <c r="F220" s="1" t="s">
        <v>2022</v>
      </c>
      <c r="G220" s="1" t="s">
        <v>2022</v>
      </c>
      <c r="H220" s="1" t="s">
        <v>2033</v>
      </c>
      <c r="I220" s="31" t="s">
        <v>2033</v>
      </c>
      <c r="J220" s="1" t="s">
        <v>2030</v>
      </c>
      <c r="K220" s="31" t="s">
        <v>2036</v>
      </c>
      <c r="L220" s="1">
        <v>4</v>
      </c>
      <c r="M220" s="1">
        <v>4</v>
      </c>
      <c r="N220" s="31">
        <v>1</v>
      </c>
      <c r="O220" s="1">
        <v>4</v>
      </c>
      <c r="P220" s="1">
        <v>4</v>
      </c>
      <c r="Q220" s="31">
        <v>3</v>
      </c>
      <c r="R220" s="1">
        <v>4</v>
      </c>
      <c r="S220" s="1">
        <v>5</v>
      </c>
      <c r="T220" s="1" t="s">
        <v>2027</v>
      </c>
      <c r="U220" s="1" t="s">
        <v>2027</v>
      </c>
      <c r="V220" s="1" t="s">
        <v>2027</v>
      </c>
      <c r="W220" s="1" t="s">
        <v>2027</v>
      </c>
      <c r="X220" s="1" t="s">
        <v>2027</v>
      </c>
      <c r="Y220" s="1" t="s">
        <v>2027</v>
      </c>
      <c r="Z220" s="1" t="s">
        <v>2027</v>
      </c>
      <c r="AA220" s="1" t="s">
        <v>2027</v>
      </c>
      <c r="AB220" s="1">
        <v>4</v>
      </c>
      <c r="AC220" s="1">
        <v>5</v>
      </c>
      <c r="AD220" s="1" t="s">
        <v>2027</v>
      </c>
      <c r="AE220" s="1" t="s">
        <v>2027</v>
      </c>
      <c r="AF220" s="1" t="s">
        <v>2027</v>
      </c>
      <c r="AG220" s="1" t="s">
        <v>2027</v>
      </c>
      <c r="AH220" s="1" t="s">
        <v>2027</v>
      </c>
      <c r="AI220" s="1" t="s">
        <v>2027</v>
      </c>
      <c r="AJ220" s="1" t="s">
        <v>2027</v>
      </c>
      <c r="AK220" s="1" t="s">
        <v>2027</v>
      </c>
      <c r="AL220" s="1" t="s">
        <v>2027</v>
      </c>
      <c r="AM220" s="1" t="s">
        <v>2027</v>
      </c>
      <c r="AN220" s="1" t="s">
        <v>2027</v>
      </c>
      <c r="AO220" s="31" t="s">
        <v>2027</v>
      </c>
      <c r="AP220" s="1" t="s">
        <v>2042</v>
      </c>
      <c r="AQ220" s="1">
        <v>4</v>
      </c>
      <c r="AR220" s="32">
        <v>0.44</v>
      </c>
      <c r="AS220" s="45" t="s">
        <v>2029</v>
      </c>
      <c r="AT220" s="9">
        <f>($O$3*(L220-$O$1)/$O$2+$P$3*(M220-$P$1)/$P$2+$Q$3*(N220-$P$1)/$Q$2)/SUM($O$3:$Q$3)</f>
        <v>-1.5311151151499114</v>
      </c>
      <c r="AU220" s="9">
        <f>($O$3*(O220-$O$1)/$O$2+$P$3*(P220-$P$1)/$P$2+$Q$3*(Q220-$Q$1)/$Q$2)/SUM($O$3:$Q$3)</f>
        <v>-0.6009792323046188</v>
      </c>
      <c r="AV220">
        <f>COUNT(R220:AO220)/2</f>
        <v>2</v>
      </c>
      <c r="AW220">
        <f>COUNTIF(R220:AO220,"&gt;5")/2</f>
        <v>0</v>
      </c>
      <c r="AX220" s="6">
        <f>VLOOKUP(AP220,COND!$A$10:$B$31,2,FALSE)</f>
        <v>1</v>
      </c>
      <c r="AY220" s="9">
        <f>($AT$3*AT220+$AU$3*AU220+$AV$3*AV220+$AW$3*AW220)*AX220*IF(AQ220&lt;5,0.95,IF(AQ220&lt;7,0.975,1))+$J$3*VLOOKUP(J220,[1]Con!$A$2:$C$7,2,FALSE)+$K$3*VLOOKUP(K220,[1]Con!$A$2:$C$7,3,FALSE)+IF(BA220="SP",$BA$3,0)</f>
        <v>21.040482714333763</v>
      </c>
      <c r="AZ220" s="37">
        <f>STANDARDIZE(AY220,AVERAGE($AY$5:$AY$1116),STDEVP($AY$5:$AY$1116))</f>
        <v>-1.0225579156660143</v>
      </c>
      <c r="BA220" t="str">
        <f>IF(OR(AND(AQ220&gt;7,AW220&gt;1),AND(AQ220&gt;4,AV220&gt;2)),"SP","RP")</f>
        <v>RP</v>
      </c>
      <c r="BC220">
        <f>VLOOKUP($A220,'Draft List'!$A$4:$V$530,22,FALSE)</f>
        <v>0</v>
      </c>
      <c r="BE220" t="str">
        <f>IF(AVERAGE($O220:$Q220)&gt;=6,"Likely",IF(AVERAGE($O220:$Q220)&gt;=4,"Possible","Unlikely"))</f>
        <v>Unlikely</v>
      </c>
      <c r="BG220" t="str">
        <f>IF(VLOOKUP($B220,'Draft List'!$D$4:$AB$2598,BG$3,FALSE)&lt;&gt;0,VLOOKUP($B220,'Draft List'!$D$4:$AB$2598,BG$3,FALSE),"")</f>
        <v/>
      </c>
      <c r="BH220" t="str">
        <f>IF(VLOOKUP($B220,'Draft List'!$D$4:$AB$2598,BH$3,FALSE)&lt;&gt;0,VLOOKUP($B220,'Draft List'!$D$4:$AB$2598,BH$3,FALSE),"")</f>
        <v/>
      </c>
      <c r="BI220" t="str">
        <f>IF(VLOOKUP($B220,'Draft List'!$D$4:$AB$2598,BI$3,FALSE)&lt;&gt;0,VLOOKUP($B220,'Draft List'!$D$4:$AB$2598,BI$3,FALSE),"")</f>
        <v/>
      </c>
      <c r="BJ220" t="str">
        <f>IF(OR(C220="SP",C220="MR",C220="CL"),"P",VLOOKUP($A220,Bat!$A$4:$AP$1287,42,FALSE))</f>
        <v>P</v>
      </c>
    </row>
    <row r="221" spans="1:62">
      <c r="A221" t="str">
        <f>C221&amp;D221&amp;E221</f>
        <v>MRRobun Mori21</v>
      </c>
      <c r="B221">
        <f>VLOOKUP($A221,draft_listing_pitchers_stats!$A$1:$B$1324,2,FALSE)</f>
        <v>3234</v>
      </c>
      <c r="C221" s="1" t="s">
        <v>2021</v>
      </c>
      <c r="D221" s="1" t="s">
        <v>1030</v>
      </c>
      <c r="E221" s="1">
        <v>21</v>
      </c>
      <c r="F221" s="1" t="s">
        <v>2038</v>
      </c>
      <c r="G221" s="1" t="s">
        <v>2022</v>
      </c>
      <c r="H221" s="1" t="s">
        <v>2033</v>
      </c>
      <c r="I221" s="31" t="s">
        <v>2033</v>
      </c>
      <c r="J221" s="1" t="s">
        <v>2026</v>
      </c>
      <c r="K221" s="31" t="s">
        <v>2026</v>
      </c>
      <c r="L221" s="1">
        <v>3</v>
      </c>
      <c r="M221" s="1">
        <v>3</v>
      </c>
      <c r="N221" s="31">
        <v>1</v>
      </c>
      <c r="O221" s="1">
        <v>4</v>
      </c>
      <c r="P221" s="1">
        <v>3</v>
      </c>
      <c r="Q221" s="31">
        <v>4</v>
      </c>
      <c r="R221" s="1">
        <v>4</v>
      </c>
      <c r="S221" s="1">
        <v>4</v>
      </c>
      <c r="T221" s="1">
        <v>1</v>
      </c>
      <c r="U221" s="1">
        <v>1</v>
      </c>
      <c r="V221" s="1" t="s">
        <v>2027</v>
      </c>
      <c r="W221" s="1" t="s">
        <v>2027</v>
      </c>
      <c r="X221" s="1">
        <v>3</v>
      </c>
      <c r="Y221" s="1">
        <v>4</v>
      </c>
      <c r="Z221" s="1" t="s">
        <v>2027</v>
      </c>
      <c r="AA221" s="1" t="s">
        <v>2027</v>
      </c>
      <c r="AB221" s="1" t="s">
        <v>2027</v>
      </c>
      <c r="AC221" s="1" t="s">
        <v>2027</v>
      </c>
      <c r="AD221" s="1" t="s">
        <v>2027</v>
      </c>
      <c r="AE221" s="1" t="s">
        <v>2027</v>
      </c>
      <c r="AF221" s="1">
        <v>3</v>
      </c>
      <c r="AG221" s="1">
        <v>4</v>
      </c>
      <c r="AH221" s="1" t="s">
        <v>2027</v>
      </c>
      <c r="AI221" s="1" t="s">
        <v>2027</v>
      </c>
      <c r="AJ221" s="1" t="s">
        <v>2027</v>
      </c>
      <c r="AK221" s="1" t="s">
        <v>2027</v>
      </c>
      <c r="AL221" s="1" t="s">
        <v>2027</v>
      </c>
      <c r="AM221" s="1" t="s">
        <v>2027</v>
      </c>
      <c r="AN221" s="1" t="s">
        <v>2027</v>
      </c>
      <c r="AO221" s="31" t="s">
        <v>2027</v>
      </c>
      <c r="AP221" s="1" t="s">
        <v>2034</v>
      </c>
      <c r="AQ221" s="1">
        <v>7</v>
      </c>
      <c r="AR221" s="32">
        <v>0.41</v>
      </c>
      <c r="AS221" s="45" t="s">
        <v>2029</v>
      </c>
      <c r="AT221" s="9">
        <f>($O$3*(L221-$O$1)/$O$2+$P$3*(M221-$P$1)/$P$2+$Q$3*(N221-$P$1)/$Q$2)/SUM($O$3:$Q$3)</f>
        <v>-1.9212381560891401</v>
      </c>
      <c r="AU221" s="9">
        <f>($O$3*(O221-$O$1)/$O$2+$P$3*(P221-$P$1)/$P$2+$Q$3*(Q221-$Q$1)/$Q$2)/SUM($O$3:$Q$3)</f>
        <v>-0.55409038268056388</v>
      </c>
      <c r="AV221">
        <f>COUNT(R221:AO221)/2</f>
        <v>4</v>
      </c>
      <c r="AW221">
        <f>COUNTIF(R221:AO221,"&gt;5")/2</f>
        <v>0</v>
      </c>
      <c r="AX221" s="6">
        <f>VLOOKUP(AP221,COND!$A$10:$B$31,2,FALSE)</f>
        <v>1</v>
      </c>
      <c r="AY221" s="9">
        <f>($AT$3*AT221+$AU$3*AU221+$AV$3*AV221+$AW$3*AW221)*AX221*IF(AQ221&lt;5,0.95,IF(AQ221&lt;7,0.975,1))+$J$3*VLOOKUP(J221,[1]Con!$A$2:$C$7,2,FALSE)+$K$3*VLOOKUP(K221,[1]Con!$A$2:$C$7,3,FALSE)+IF(BA221="SP",$BA$3,0)</f>
        <v>21.033944715170893</v>
      </c>
      <c r="AZ221" s="37">
        <f>STANDARDIZE(AY221,AVERAGE($AY$5:$AY$1116),STDEVP($AY$5:$AY$1116))</f>
        <v>-1.0230769448005188</v>
      </c>
      <c r="BA221" t="str">
        <f>IF(OR(AND(AQ221&gt;7,AW221&gt;1),AND(AQ221&gt;4,AV221&gt;2)),"SP","RP")</f>
        <v>SP</v>
      </c>
      <c r="BC221">
        <f>VLOOKUP($A221,'Draft List'!$A$4:$V$530,22,FALSE)</f>
        <v>0</v>
      </c>
      <c r="BE221" t="str">
        <f>IF(AVERAGE($O221:$Q221)&gt;=6,"Likely",IF(AVERAGE($O221:$Q221)&gt;=4,"Possible","Unlikely"))</f>
        <v>Unlikely</v>
      </c>
      <c r="BG221" t="str">
        <f>IF(VLOOKUP($B221,'Draft List'!$D$4:$AB$2598,BG$3,FALSE)&lt;&gt;0,VLOOKUP($B221,'Draft List'!$D$4:$AB$2598,BG$3,FALSE),"")</f>
        <v/>
      </c>
      <c r="BH221" t="str">
        <f>IF(VLOOKUP($B221,'Draft List'!$D$4:$AB$2598,BH$3,FALSE)&lt;&gt;0,VLOOKUP($B221,'Draft List'!$D$4:$AB$2598,BH$3,FALSE),"")</f>
        <v/>
      </c>
      <c r="BI221" t="str">
        <f>IF(VLOOKUP($B221,'Draft List'!$D$4:$AB$2598,BI$3,FALSE)&lt;&gt;0,VLOOKUP($B221,'Draft List'!$D$4:$AB$2598,BI$3,FALSE),"")</f>
        <v/>
      </c>
      <c r="BJ221" t="str">
        <f>IF(OR(C221="SP",C221="MR",C221="CL"),"P",VLOOKUP($A221,Bat!$A$4:$AP$1287,42,FALSE))</f>
        <v>P</v>
      </c>
    </row>
    <row r="222" spans="1:62">
      <c r="A222" t="str">
        <f>C222&amp;D222&amp;E222</f>
        <v>MRPaul Fisher18</v>
      </c>
      <c r="B222">
        <f>VLOOKUP($A222,draft_listing_pitchers_stats!$A$1:$B$1324,2,FALSE)</f>
        <v>13738</v>
      </c>
      <c r="C222" s="1" t="s">
        <v>2021</v>
      </c>
      <c r="D222" s="1" t="s">
        <v>993</v>
      </c>
      <c r="E222" s="1">
        <v>18</v>
      </c>
      <c r="F222" s="1" t="s">
        <v>2022</v>
      </c>
      <c r="G222" s="1" t="s">
        <v>2038</v>
      </c>
      <c r="H222" s="1" t="s">
        <v>2033</v>
      </c>
      <c r="I222" s="31" t="s">
        <v>2033</v>
      </c>
      <c r="J222" s="1" t="s">
        <v>2026</v>
      </c>
      <c r="K222" s="31" t="s">
        <v>2040</v>
      </c>
      <c r="L222" s="1">
        <v>2</v>
      </c>
      <c r="M222" s="1">
        <v>3</v>
      </c>
      <c r="N222" s="31">
        <v>1</v>
      </c>
      <c r="O222" s="1">
        <v>3</v>
      </c>
      <c r="P222" s="1">
        <v>3</v>
      </c>
      <c r="Q222" s="31">
        <v>5</v>
      </c>
      <c r="R222" s="1">
        <v>4</v>
      </c>
      <c r="S222" s="1">
        <v>5</v>
      </c>
      <c r="T222" s="1">
        <v>1</v>
      </c>
      <c r="U222" s="1">
        <v>2</v>
      </c>
      <c r="V222" s="1">
        <v>2</v>
      </c>
      <c r="W222" s="1">
        <v>3</v>
      </c>
      <c r="X222" s="1">
        <v>2</v>
      </c>
      <c r="Y222" s="1">
        <v>3</v>
      </c>
      <c r="Z222" s="1" t="s">
        <v>2027</v>
      </c>
      <c r="AA222" s="1" t="s">
        <v>2027</v>
      </c>
      <c r="AB222" s="1" t="s">
        <v>2027</v>
      </c>
      <c r="AC222" s="1" t="s">
        <v>2027</v>
      </c>
      <c r="AD222" s="1" t="s">
        <v>2027</v>
      </c>
      <c r="AE222" s="1" t="s">
        <v>2027</v>
      </c>
      <c r="AF222" s="1">
        <v>3</v>
      </c>
      <c r="AG222" s="1">
        <v>4</v>
      </c>
      <c r="AH222" s="1">
        <v>1</v>
      </c>
      <c r="AI222" s="1">
        <v>1</v>
      </c>
      <c r="AJ222" s="1" t="s">
        <v>2027</v>
      </c>
      <c r="AK222" s="1" t="s">
        <v>2027</v>
      </c>
      <c r="AL222" s="1" t="s">
        <v>2027</v>
      </c>
      <c r="AM222" s="1" t="s">
        <v>2027</v>
      </c>
      <c r="AN222" s="1" t="s">
        <v>2027</v>
      </c>
      <c r="AO222" s="31" t="s">
        <v>2027</v>
      </c>
      <c r="AP222" s="1" t="s">
        <v>2041</v>
      </c>
      <c r="AQ222" s="1">
        <v>5</v>
      </c>
      <c r="AR222" s="32">
        <v>0.42</v>
      </c>
      <c r="AS222" s="45" t="s">
        <v>2029</v>
      </c>
      <c r="AT222" s="9">
        <f>($O$3*(L222-$O$1)/$O$2+$P$3*(M222-$P$1)/$P$2+$Q$3*(N222-$P$1)/$Q$2)/SUM($O$3:$Q$3)</f>
        <v>-2.1159294805983135</v>
      </c>
      <c r="AU222" s="9">
        <f>($O$3*(O222-$O$1)/$O$2+$P$3*(P222-$P$1)/$P$2+$Q$3*(Q222-$Q$1)/$Q$2)/SUM($O$3:$Q$3)</f>
        <v>-0.5064611411356269</v>
      </c>
      <c r="AV222">
        <f>COUNT(R222:AO222)/2</f>
        <v>6</v>
      </c>
      <c r="AW222">
        <f>COUNTIF(R222:AO222,"&gt;5")/2</f>
        <v>0</v>
      </c>
      <c r="AX222" s="6">
        <f>VLOOKUP(AP222,COND!$A$10:$B$31,2,FALSE)</f>
        <v>1</v>
      </c>
      <c r="AY222" s="9">
        <f>($AT$3*AT222+$AU$3*AU222+$AV$3*AV222+$AW$3*AW222)*AX222*IF(AQ222&lt;5,0.95,IF(AQ222&lt;7,0.975,1))+$J$3*VLOOKUP(J222,[1]Con!$A$2:$C$7,2,FALSE)+$K$3*VLOOKUP(K222,[1]Con!$A$2:$C$7,3,FALSE)+IF(BA222="SP",$BA$3,0)</f>
        <v>20.886401499138604</v>
      </c>
      <c r="AZ222" s="37">
        <f>STANDARDIZE(AY222,AVERAGE($AY$5:$AY$1116),STDEVP($AY$5:$AY$1116))</f>
        <v>-1.0347898902768913</v>
      </c>
      <c r="BA222" t="str">
        <f>IF(OR(AND(AQ222&gt;7,AW222&gt;1),AND(AQ222&gt;4,AV222&gt;2)),"SP","RP")</f>
        <v>SP</v>
      </c>
      <c r="BC222">
        <f>VLOOKUP($A222,'Draft List'!$A$4:$V$530,22,FALSE)</f>
        <v>0</v>
      </c>
      <c r="BE222" t="str">
        <f>IF(AVERAGE($O222:$Q222)&gt;=6,"Likely",IF(AVERAGE($O222:$Q222)&gt;=4,"Possible","Unlikely"))</f>
        <v>Unlikely</v>
      </c>
      <c r="BG222" t="str">
        <f>IF(VLOOKUP($B222,'Draft List'!$D$4:$AB$2598,BG$3,FALSE)&lt;&gt;0,VLOOKUP($B222,'Draft List'!$D$4:$AB$2598,BG$3,FALSE),"")</f>
        <v/>
      </c>
      <c r="BH222" t="str">
        <f>IF(VLOOKUP($B222,'Draft List'!$D$4:$AB$2598,BH$3,FALSE)&lt;&gt;0,VLOOKUP($B222,'Draft List'!$D$4:$AB$2598,BH$3,FALSE),"")</f>
        <v/>
      </c>
      <c r="BI222" t="str">
        <f>IF(VLOOKUP($B222,'Draft List'!$D$4:$AB$2598,BI$3,FALSE)&lt;&gt;0,VLOOKUP($B222,'Draft List'!$D$4:$AB$2598,BI$3,FALSE),"")</f>
        <v/>
      </c>
      <c r="BJ222" t="str">
        <f>IF(OR(C222="SP",C222="MR",C222="CL"),"P",VLOOKUP($A222,Bat!$A$4:$AP$1287,42,FALSE))</f>
        <v>P</v>
      </c>
    </row>
    <row r="223" spans="1:62">
      <c r="A223" t="str">
        <f>C223&amp;D223&amp;E223</f>
        <v>MRDavid Herrera21</v>
      </c>
      <c r="B223">
        <f>VLOOKUP($A223,draft_listing_pitchers_stats!$A$1:$B$1324,2,FALSE)</f>
        <v>3819</v>
      </c>
      <c r="C223" s="1" t="s">
        <v>2021</v>
      </c>
      <c r="D223" s="1" t="s">
        <v>1005</v>
      </c>
      <c r="E223" s="1">
        <v>21</v>
      </c>
      <c r="F223" s="1" t="s">
        <v>2022</v>
      </c>
      <c r="G223" s="1" t="s">
        <v>2022</v>
      </c>
      <c r="H223" s="1" t="s">
        <v>2033</v>
      </c>
      <c r="I223" s="31" t="s">
        <v>2033</v>
      </c>
      <c r="J223" s="1" t="s">
        <v>2026</v>
      </c>
      <c r="K223" s="31" t="s">
        <v>2036</v>
      </c>
      <c r="L223" s="1">
        <v>5</v>
      </c>
      <c r="M223" s="1">
        <v>3</v>
      </c>
      <c r="N223" s="31">
        <v>1</v>
      </c>
      <c r="O223" s="1">
        <v>5</v>
      </c>
      <c r="P223" s="1">
        <v>3</v>
      </c>
      <c r="Q223" s="31">
        <v>3</v>
      </c>
      <c r="R223" s="1">
        <v>6</v>
      </c>
      <c r="S223" s="1">
        <v>6</v>
      </c>
      <c r="T223" s="1">
        <v>4</v>
      </c>
      <c r="U223" s="1">
        <v>4</v>
      </c>
      <c r="V223" s="1" t="s">
        <v>2027</v>
      </c>
      <c r="W223" s="1" t="s">
        <v>2027</v>
      </c>
      <c r="X223" s="1">
        <v>5</v>
      </c>
      <c r="Y223" s="1">
        <v>5</v>
      </c>
      <c r="Z223" s="1" t="s">
        <v>2027</v>
      </c>
      <c r="AA223" s="1" t="s">
        <v>2027</v>
      </c>
      <c r="AB223" s="1" t="s">
        <v>2027</v>
      </c>
      <c r="AC223" s="1" t="s">
        <v>2027</v>
      </c>
      <c r="AD223" s="1" t="s">
        <v>2027</v>
      </c>
      <c r="AE223" s="1" t="s">
        <v>2027</v>
      </c>
      <c r="AF223" s="1" t="s">
        <v>2027</v>
      </c>
      <c r="AG223" s="1" t="s">
        <v>2027</v>
      </c>
      <c r="AH223" s="1" t="s">
        <v>2027</v>
      </c>
      <c r="AI223" s="1" t="s">
        <v>2027</v>
      </c>
      <c r="AJ223" s="1" t="s">
        <v>2027</v>
      </c>
      <c r="AK223" s="1" t="s">
        <v>2027</v>
      </c>
      <c r="AL223" s="1" t="s">
        <v>2027</v>
      </c>
      <c r="AM223" s="1" t="s">
        <v>2027</v>
      </c>
      <c r="AN223" s="1" t="s">
        <v>2027</v>
      </c>
      <c r="AO223" s="31" t="s">
        <v>2027</v>
      </c>
      <c r="AP223" s="1" t="s">
        <v>2031</v>
      </c>
      <c r="AQ223" s="1">
        <v>3</v>
      </c>
      <c r="AR223" s="32">
        <v>0.35</v>
      </c>
      <c r="AS223" s="45" t="s">
        <v>2029</v>
      </c>
      <c r="AT223" s="9">
        <f>($O$3*(L223-$O$1)/$O$2+$P$3*(M223-$P$1)/$P$2+$Q$3*(N223-$P$1)/$Q$2)/SUM($O$3:$Q$3)</f>
        <v>-1.5318555070707929</v>
      </c>
      <c r="AU223" s="9">
        <f>($O$3*(O223-$O$1)/$O$2+$P$3*(P223-$P$1)/$P$2+$Q$3*(Q223-$Q$1)/$Q$2)/SUM($O$3:$Q$3)</f>
        <v>-0.60171962422550074</v>
      </c>
      <c r="AV223">
        <f>COUNT(R223:AO223)/2</f>
        <v>3</v>
      </c>
      <c r="AW223">
        <f>COUNTIF(R223:AO223,"&gt;5")/2</f>
        <v>1</v>
      </c>
      <c r="AX223" s="6">
        <f>VLOOKUP(AP223,COND!$A$10:$B$31,2,FALSE)</f>
        <v>1.05</v>
      </c>
      <c r="AY223" s="9">
        <f>($AT$3*AT223+$AU$3*AU223+$AV$3*AV223+$AW$3*AW223)*AX223*IF(AQ223&lt;5,0.95,IF(AQ223&lt;7,0.975,1))+$J$3*VLOOKUP(J223,[1]Con!$A$2:$C$7,2,FALSE)+$K$3*VLOOKUP(K223,[1]Con!$A$2:$C$7,3,FALSE)+IF(BA223="SP",$BA$3,0)</f>
        <v>20.733213323040637</v>
      </c>
      <c r="AZ223" s="37">
        <f>STANDARDIZE(AY223,AVERAGE($AY$5:$AY$1116),STDEVP($AY$5:$AY$1116))</f>
        <v>-1.046950969603424</v>
      </c>
      <c r="BA223" t="str">
        <f>IF(OR(AND(AQ223&gt;7,AW223&gt;1),AND(AQ223&gt;4,AV223&gt;2)),"SP","RP")</f>
        <v>RP</v>
      </c>
      <c r="BC223">
        <f>VLOOKUP($A223,'Draft List'!$A$4:$V$530,22,FALSE)</f>
        <v>0</v>
      </c>
      <c r="BE223" t="str">
        <f>IF(AVERAGE($O223:$Q223)&gt;=6,"Likely",IF(AVERAGE($O223:$Q223)&gt;=4,"Possible","Unlikely"))</f>
        <v>Unlikely</v>
      </c>
      <c r="BG223" t="str">
        <f>IF(VLOOKUP($B223,'Draft List'!$D$4:$AB$2598,BG$3,FALSE)&lt;&gt;0,VLOOKUP($B223,'Draft List'!$D$4:$AB$2598,BG$3,FALSE),"")</f>
        <v/>
      </c>
      <c r="BH223" t="str">
        <f>IF(VLOOKUP($B223,'Draft List'!$D$4:$AB$2598,BH$3,FALSE)&lt;&gt;0,VLOOKUP($B223,'Draft List'!$D$4:$AB$2598,BH$3,FALSE),"")</f>
        <v/>
      </c>
      <c r="BI223" t="str">
        <f>IF(VLOOKUP($B223,'Draft List'!$D$4:$AB$2598,BI$3,FALSE)&lt;&gt;0,VLOOKUP($B223,'Draft List'!$D$4:$AB$2598,BI$3,FALSE),"")</f>
        <v/>
      </c>
      <c r="BJ223" t="str">
        <f>IF(OR(C223="SP",C223="MR",C223="CL"),"P",VLOOKUP($A223,Bat!$A$4:$AP$1287,42,FALSE))</f>
        <v>P</v>
      </c>
    </row>
    <row r="224" spans="1:62">
      <c r="A224" t="str">
        <f>C224&amp;D224&amp;E224</f>
        <v>SPTeh-huai Rao21</v>
      </c>
      <c r="B224">
        <f>VLOOKUP($A224,draft_listing_pitchers_stats!$A$1:$B$1324,2,FALSE)</f>
        <v>2816</v>
      </c>
      <c r="C224" s="1" t="s">
        <v>2003</v>
      </c>
      <c r="D224" s="1" t="s">
        <v>1044</v>
      </c>
      <c r="E224" s="1">
        <v>21</v>
      </c>
      <c r="F224" s="1" t="s">
        <v>2022</v>
      </c>
      <c r="G224" s="1" t="s">
        <v>2022</v>
      </c>
      <c r="H224" s="1" t="s">
        <v>2033</v>
      </c>
      <c r="I224" s="31" t="s">
        <v>2033</v>
      </c>
      <c r="J224" s="1" t="s">
        <v>2026</v>
      </c>
      <c r="K224" s="31" t="s">
        <v>2025</v>
      </c>
      <c r="L224" s="1">
        <v>3</v>
      </c>
      <c r="M224" s="1">
        <v>3</v>
      </c>
      <c r="N224" s="31">
        <v>1</v>
      </c>
      <c r="O224" s="1">
        <v>4</v>
      </c>
      <c r="P224" s="1">
        <v>3</v>
      </c>
      <c r="Q224" s="31">
        <v>4</v>
      </c>
      <c r="R224" s="1">
        <v>5</v>
      </c>
      <c r="S224" s="1">
        <v>6</v>
      </c>
      <c r="T224" s="1">
        <v>2</v>
      </c>
      <c r="U224" s="1">
        <v>3</v>
      </c>
      <c r="V224" s="1" t="s">
        <v>2027</v>
      </c>
      <c r="W224" s="1" t="s">
        <v>2027</v>
      </c>
      <c r="X224" s="1">
        <v>3</v>
      </c>
      <c r="Y224" s="1">
        <v>4</v>
      </c>
      <c r="Z224" s="1" t="s">
        <v>2027</v>
      </c>
      <c r="AA224" s="1" t="s">
        <v>2027</v>
      </c>
      <c r="AB224" s="1" t="s">
        <v>2027</v>
      </c>
      <c r="AC224" s="1" t="s">
        <v>2027</v>
      </c>
      <c r="AD224" s="1" t="s">
        <v>2027</v>
      </c>
      <c r="AE224" s="1" t="s">
        <v>2027</v>
      </c>
      <c r="AF224" s="1">
        <v>4</v>
      </c>
      <c r="AG224" s="1">
        <v>5</v>
      </c>
      <c r="AH224" s="1" t="s">
        <v>2027</v>
      </c>
      <c r="AI224" s="1" t="s">
        <v>2027</v>
      </c>
      <c r="AJ224" s="1" t="s">
        <v>2027</v>
      </c>
      <c r="AK224" s="1" t="s">
        <v>2027</v>
      </c>
      <c r="AL224" s="1" t="s">
        <v>2027</v>
      </c>
      <c r="AM224" s="1" t="s">
        <v>2027</v>
      </c>
      <c r="AN224" s="1" t="s">
        <v>2027</v>
      </c>
      <c r="AO224" s="31" t="s">
        <v>2027</v>
      </c>
      <c r="AP224" s="1" t="s">
        <v>2039</v>
      </c>
      <c r="AQ224" s="1">
        <v>4</v>
      </c>
      <c r="AR224" s="32">
        <v>0.42</v>
      </c>
      <c r="AS224" s="45" t="s">
        <v>2029</v>
      </c>
      <c r="AT224" s="9">
        <f>($O$3*(L224-$O$1)/$O$2+$P$3*(M224-$P$1)/$P$2+$Q$3*(N224-$P$1)/$Q$2)/SUM($O$3:$Q$3)</f>
        <v>-1.9212381560891401</v>
      </c>
      <c r="AU224" s="9">
        <f>($O$3*(O224-$O$1)/$O$2+$P$3*(P224-$P$1)/$P$2+$Q$3*(Q224-$Q$1)/$Q$2)/SUM($O$3:$Q$3)</f>
        <v>-0.55409038268056388</v>
      </c>
      <c r="AV224">
        <f>COUNT(R224:AO224)/2</f>
        <v>4</v>
      </c>
      <c r="AW224">
        <f>COUNTIF(R224:AO224,"&gt;5")/2</f>
        <v>0.5</v>
      </c>
      <c r="AX224" s="6">
        <f>VLOOKUP(AP224,COND!$A$10:$B$31,2,FALSE)</f>
        <v>1.0249999999999999</v>
      </c>
      <c r="AY224" s="9">
        <f>($AT$3*AT224+$AU$3*AU224+$AV$3*AV224+$AW$3*AW224)*AX224*IF(AQ224&lt;5,0.95,IF(AQ224&lt;7,0.975,1))+$J$3*VLOOKUP(J224,[1]Con!$A$2:$C$7,2,FALSE)+$K$3*VLOOKUP(K224,[1]Con!$A$2:$C$7,3,FALSE)+IF(BA224="SP",$BA$3,0)</f>
        <v>20.641022416397661</v>
      </c>
      <c r="AZ224" s="37">
        <f>STANDARDIZE(AY224,AVERAGE($AY$5:$AY$1116),STDEVP($AY$5:$AY$1116))</f>
        <v>-1.0542696867356993</v>
      </c>
      <c r="BA224" t="str">
        <f>IF(OR(AND(AQ224&gt;7,AW224&gt;1),AND(AQ224&gt;4,AV224&gt;2)),"SP","RP")</f>
        <v>RP</v>
      </c>
      <c r="BC224">
        <f>VLOOKUP($A224,'Draft List'!$A$4:$V$530,22,FALSE)</f>
        <v>0</v>
      </c>
      <c r="BE224" t="str">
        <f>IF(AVERAGE($O224:$Q224)&gt;=6,"Likely",IF(AVERAGE($O224:$Q224)&gt;=4,"Possible","Unlikely"))</f>
        <v>Unlikely</v>
      </c>
      <c r="BG224" t="str">
        <f>IF(VLOOKUP($B224,'Draft List'!$D$4:$AB$2598,BG$3,FALSE)&lt;&gt;0,VLOOKUP($B224,'Draft List'!$D$4:$AB$2598,BG$3,FALSE),"")</f>
        <v/>
      </c>
      <c r="BH224" t="str">
        <f>IF(VLOOKUP($B224,'Draft List'!$D$4:$AB$2598,BH$3,FALSE)&lt;&gt;0,VLOOKUP($B224,'Draft List'!$D$4:$AB$2598,BH$3,FALSE),"")</f>
        <v/>
      </c>
      <c r="BI224" t="str">
        <f>IF(VLOOKUP($B224,'Draft List'!$D$4:$AB$2598,BI$3,FALSE)&lt;&gt;0,VLOOKUP($B224,'Draft List'!$D$4:$AB$2598,BI$3,FALSE),"")</f>
        <v/>
      </c>
      <c r="BJ224" t="str">
        <f>IF(OR(C224="SP",C224="MR",C224="CL"),"P",VLOOKUP($A224,Bat!$A$4:$AP$1287,42,FALSE))</f>
        <v>P</v>
      </c>
    </row>
    <row r="225" spans="1:62">
      <c r="A225" t="str">
        <f>C225&amp;D225&amp;E225</f>
        <v>MRBob Muller21</v>
      </c>
      <c r="B225">
        <f>VLOOKUP($A225,draft_listing_pitchers_stats!$A$1:$B$1324,2,FALSE)</f>
        <v>2440</v>
      </c>
      <c r="C225" s="1" t="s">
        <v>2021</v>
      </c>
      <c r="D225" s="1" t="s">
        <v>1033</v>
      </c>
      <c r="E225" s="1">
        <v>21</v>
      </c>
      <c r="F225" s="1" t="s">
        <v>2038</v>
      </c>
      <c r="G225" s="1" t="s">
        <v>2022</v>
      </c>
      <c r="H225" s="1" t="s">
        <v>2033</v>
      </c>
      <c r="I225" s="31" t="s">
        <v>2033</v>
      </c>
      <c r="J225" s="1" t="s">
        <v>2040</v>
      </c>
      <c r="K225" s="31" t="s">
        <v>2026</v>
      </c>
      <c r="L225" s="1">
        <v>4</v>
      </c>
      <c r="M225" s="1">
        <v>3</v>
      </c>
      <c r="N225" s="31">
        <v>2</v>
      </c>
      <c r="O225" s="1">
        <v>5</v>
      </c>
      <c r="P225" s="1">
        <v>3</v>
      </c>
      <c r="Q225" s="31">
        <v>4</v>
      </c>
      <c r="R225" s="1">
        <v>4</v>
      </c>
      <c r="S225" s="1">
        <v>5</v>
      </c>
      <c r="T225" s="1" t="s">
        <v>2027</v>
      </c>
      <c r="U225" s="1" t="s">
        <v>2027</v>
      </c>
      <c r="V225" s="1" t="s">
        <v>2027</v>
      </c>
      <c r="W225" s="1" t="s">
        <v>2027</v>
      </c>
      <c r="X225" s="1">
        <v>4</v>
      </c>
      <c r="Y225" s="1">
        <v>6</v>
      </c>
      <c r="Z225" s="1" t="s">
        <v>2027</v>
      </c>
      <c r="AA225" s="1" t="s">
        <v>2027</v>
      </c>
      <c r="AB225" s="1" t="s">
        <v>2027</v>
      </c>
      <c r="AC225" s="1" t="s">
        <v>2027</v>
      </c>
      <c r="AD225" s="1" t="s">
        <v>2027</v>
      </c>
      <c r="AE225" s="1" t="s">
        <v>2027</v>
      </c>
      <c r="AF225" s="1" t="s">
        <v>2027</v>
      </c>
      <c r="AG225" s="1" t="s">
        <v>2027</v>
      </c>
      <c r="AH225" s="1" t="s">
        <v>2027</v>
      </c>
      <c r="AI225" s="1" t="s">
        <v>2027</v>
      </c>
      <c r="AJ225" s="1" t="s">
        <v>2027</v>
      </c>
      <c r="AK225" s="1" t="s">
        <v>2027</v>
      </c>
      <c r="AL225" s="1" t="s">
        <v>2027</v>
      </c>
      <c r="AM225" s="1" t="s">
        <v>2027</v>
      </c>
      <c r="AN225" s="1" t="s">
        <v>2027</v>
      </c>
      <c r="AO225" s="31" t="s">
        <v>2027</v>
      </c>
      <c r="AP225" s="1" t="s">
        <v>2034</v>
      </c>
      <c r="AQ225" s="1">
        <v>5</v>
      </c>
      <c r="AR225" s="32">
        <v>0.44</v>
      </c>
      <c r="AS225" s="45" t="s">
        <v>2029</v>
      </c>
      <c r="AT225" s="9">
        <f>($O$3*(L225-$O$1)/$O$2+$P$3*(M225-$P$1)/$P$2+$Q$3*(N225-$P$1)/$Q$2)/SUM($O$3:$Q$3)</f>
        <v>-1.4842262655258562</v>
      </c>
      <c r="AU225" s="9">
        <f>($O$3*(O225-$O$1)/$O$2+$P$3*(P225-$P$1)/$P$2+$Q$3*(Q225-$Q$1)/$Q$2)/SUM($O$3:$Q$3)</f>
        <v>-0.35939905817139028</v>
      </c>
      <c r="AV225">
        <f>COUNT(R225:AO225)/2</f>
        <v>2</v>
      </c>
      <c r="AW225">
        <f>COUNTIF(R225:AO225,"&gt;5")/2</f>
        <v>0.5</v>
      </c>
      <c r="AX225" s="6">
        <f>VLOOKUP(AP225,COND!$A$10:$B$31,2,FALSE)</f>
        <v>1</v>
      </c>
      <c r="AY225" s="9">
        <f>($AT$3*AT225+$AU$3*AU225+$AV$3*AV225+$AW$3*AW225)*AX225*IF(AQ225&lt;5,0.95,IF(AQ225&lt;7,0.975,1))+$J$3*VLOOKUP(J225,[1]Con!$A$2:$C$7,2,FALSE)+$K$3*VLOOKUP(K225,[1]Con!$A$2:$C$7,3,FALSE)+IF(BA225="SP",$BA$3,0)</f>
        <v>20.536669243880347</v>
      </c>
      <c r="AZ225" s="37">
        <f>STANDARDIZE(AY225,AVERAGE($AY$5:$AY$1116),STDEVP($AY$5:$AY$1116))</f>
        <v>-1.0625539240788402</v>
      </c>
      <c r="BA225" t="str">
        <f>IF(OR(AND(AQ225&gt;7,AW225&gt;1),AND(AQ225&gt;4,AV225&gt;2)),"SP","RP")</f>
        <v>RP</v>
      </c>
      <c r="BC225">
        <f>VLOOKUP($A225,'Draft List'!$A$4:$V$530,22,FALSE)</f>
        <v>0</v>
      </c>
      <c r="BE225" t="str">
        <f>IF(AVERAGE($O225:$Q225)&gt;=6,"Likely",IF(AVERAGE($O225:$Q225)&gt;=4,"Possible","Unlikely"))</f>
        <v>Possible</v>
      </c>
      <c r="BG225" t="str">
        <f>IF(VLOOKUP($B225,'Draft List'!$D$4:$AB$2598,BG$3,FALSE)&lt;&gt;0,VLOOKUP($B225,'Draft List'!$D$4:$AB$2598,BG$3,FALSE),"")</f>
        <v/>
      </c>
      <c r="BH225" t="str">
        <f>IF(VLOOKUP($B225,'Draft List'!$D$4:$AB$2598,BH$3,FALSE)&lt;&gt;0,VLOOKUP($B225,'Draft List'!$D$4:$AB$2598,BH$3,FALSE),"")</f>
        <v/>
      </c>
      <c r="BI225" t="str">
        <f>IF(VLOOKUP($B225,'Draft List'!$D$4:$AB$2598,BI$3,FALSE)&lt;&gt;0,VLOOKUP($B225,'Draft List'!$D$4:$AB$2598,BI$3,FALSE),"")</f>
        <v/>
      </c>
      <c r="BJ225" t="str">
        <f>IF(OR(C225="SP",C225="MR",C225="CL"),"P",VLOOKUP($A225,Bat!$A$4:$AP$1287,42,FALSE))</f>
        <v>P</v>
      </c>
    </row>
    <row r="226" spans="1:62">
      <c r="A226" t="str">
        <f>C226&amp;D226&amp;E226</f>
        <v>MRJorge Rodríguez21</v>
      </c>
      <c r="B226">
        <f>VLOOKUP($A226,draft_listing_pitchers_stats!$A$1:$B$1324,2,FALSE)</f>
        <v>8645</v>
      </c>
      <c r="C226" s="1" t="s">
        <v>2021</v>
      </c>
      <c r="D226" s="1" t="s">
        <v>2096</v>
      </c>
      <c r="E226" s="1">
        <v>21</v>
      </c>
      <c r="F226" s="1" t="s">
        <v>2022</v>
      </c>
      <c r="G226" s="1" t="s">
        <v>2022</v>
      </c>
      <c r="H226" s="1" t="s">
        <v>2033</v>
      </c>
      <c r="I226" s="31" t="s">
        <v>2033</v>
      </c>
      <c r="J226" s="1" t="s">
        <v>2040</v>
      </c>
      <c r="K226" s="31" t="s">
        <v>2030</v>
      </c>
      <c r="L226" s="1">
        <v>4</v>
      </c>
      <c r="M226" s="1">
        <v>3</v>
      </c>
      <c r="N226" s="31">
        <v>2</v>
      </c>
      <c r="O226" s="1">
        <v>4</v>
      </c>
      <c r="P226" s="1">
        <v>3</v>
      </c>
      <c r="Q226" s="31">
        <v>4</v>
      </c>
      <c r="R226" s="1">
        <v>4</v>
      </c>
      <c r="S226" s="1">
        <v>5</v>
      </c>
      <c r="T226" s="1">
        <v>1</v>
      </c>
      <c r="U226" s="1">
        <v>3</v>
      </c>
      <c r="V226" s="1">
        <v>2</v>
      </c>
      <c r="W226" s="1">
        <v>3</v>
      </c>
      <c r="X226" s="1" t="s">
        <v>2027</v>
      </c>
      <c r="Y226" s="1" t="s">
        <v>2027</v>
      </c>
      <c r="Z226" s="1" t="s">
        <v>2027</v>
      </c>
      <c r="AA226" s="1" t="s">
        <v>2027</v>
      </c>
      <c r="AB226" s="1" t="s">
        <v>2027</v>
      </c>
      <c r="AC226" s="1" t="s">
        <v>2027</v>
      </c>
      <c r="AD226" s="1">
        <v>3</v>
      </c>
      <c r="AE226" s="1">
        <v>4</v>
      </c>
      <c r="AF226" s="1" t="s">
        <v>2027</v>
      </c>
      <c r="AG226" s="1" t="s">
        <v>2027</v>
      </c>
      <c r="AH226" s="1" t="s">
        <v>2027</v>
      </c>
      <c r="AI226" s="1" t="s">
        <v>2027</v>
      </c>
      <c r="AJ226" s="1" t="s">
        <v>2027</v>
      </c>
      <c r="AK226" s="1" t="s">
        <v>2027</v>
      </c>
      <c r="AL226" s="1" t="s">
        <v>2027</v>
      </c>
      <c r="AM226" s="1" t="s">
        <v>2027</v>
      </c>
      <c r="AN226" s="1" t="s">
        <v>2027</v>
      </c>
      <c r="AO226" s="31" t="s">
        <v>2027</v>
      </c>
      <c r="AP226" s="1" t="s">
        <v>2042</v>
      </c>
      <c r="AQ226" s="1">
        <v>7</v>
      </c>
      <c r="AR226" s="32">
        <v>0.44</v>
      </c>
      <c r="AS226" s="45" t="s">
        <v>2029</v>
      </c>
      <c r="AT226" s="9">
        <f>($O$3*(L226-$O$1)/$O$2+$P$3*(M226-$P$1)/$P$2+$Q$3*(N226-$P$1)/$Q$2)/SUM($O$3:$Q$3)</f>
        <v>-1.4842262655258562</v>
      </c>
      <c r="AU226" s="9">
        <f>($O$3*(O226-$O$1)/$O$2+$P$3*(P226-$P$1)/$P$2+$Q$3*(Q226-$Q$1)/$Q$2)/SUM($O$3:$Q$3)</f>
        <v>-0.55409038268056388</v>
      </c>
      <c r="AV226">
        <f>COUNT(R226:AO226)/2</f>
        <v>4</v>
      </c>
      <c r="AW226">
        <f>COUNTIF(R226:AO226,"&gt;5")/2</f>
        <v>0</v>
      </c>
      <c r="AX226" s="6">
        <f>VLOOKUP(AP226,COND!$A$10:$B$31,2,FALSE)</f>
        <v>1</v>
      </c>
      <c r="AY226" s="9">
        <f>($AT$3*AT226+$AU$3*AU226+$AV$3*AV226+$AW$3*AW226)*AX226*IF(AQ226&lt;5,0.95,IF(AQ226&lt;7,0.975,1))+$J$3*VLOOKUP(J226,[1]Con!$A$2:$C$7,2,FALSE)+$K$3*VLOOKUP(K226,[1]Con!$A$2:$C$7,3,FALSE)+IF(BA226="SP",$BA$3,0)</f>
        <v>20.37134709328355</v>
      </c>
      <c r="AZ226" s="37">
        <f>STANDARDIZE(AY226,AVERAGE($AY$5:$AY$1116),STDEVP($AY$5:$AY$1116))</f>
        <v>-1.0756782776618143</v>
      </c>
      <c r="BA226" t="str">
        <f>IF(OR(AND(AQ226&gt;7,AW226&gt;1),AND(AQ226&gt;4,AV226&gt;2)),"SP","RP")</f>
        <v>SP</v>
      </c>
      <c r="BC226">
        <f>VLOOKUP($A226,'Draft List'!$A$4:$V$530,22,FALSE)</f>
        <v>0</v>
      </c>
      <c r="BE226" t="str">
        <f>IF(AVERAGE($O226:$Q226)&gt;=6,"Likely",IF(AVERAGE($O226:$Q226)&gt;=4,"Possible","Unlikely"))</f>
        <v>Unlikely</v>
      </c>
      <c r="BG226" t="str">
        <f>IF(VLOOKUP($B226,'Draft List'!$D$4:$AB$2598,BG$3,FALSE)&lt;&gt;0,VLOOKUP($B226,'Draft List'!$D$4:$AB$2598,BG$3,FALSE),"")</f>
        <v/>
      </c>
      <c r="BH226" t="str">
        <f>IF(VLOOKUP($B226,'Draft List'!$D$4:$AB$2598,BH$3,FALSE)&lt;&gt;0,VLOOKUP($B226,'Draft List'!$D$4:$AB$2598,BH$3,FALSE),"")</f>
        <v/>
      </c>
      <c r="BI226" t="str">
        <f>IF(VLOOKUP($B226,'Draft List'!$D$4:$AB$2598,BI$3,FALSE)&lt;&gt;0,VLOOKUP($B226,'Draft List'!$D$4:$AB$2598,BI$3,FALSE),"")</f>
        <v/>
      </c>
      <c r="BJ226" t="str">
        <f>IF(OR(C226="SP",C226="MR",C226="CL"),"P",VLOOKUP($A226,Bat!$A$4:$AP$1287,42,FALSE))</f>
        <v>P</v>
      </c>
    </row>
    <row r="227" spans="1:62">
      <c r="A227" t="str">
        <f>C227&amp;D227&amp;E227</f>
        <v>SPLúcio Domínguez21</v>
      </c>
      <c r="B227">
        <f>VLOOKUP($A227,draft_listing_pitchers_stats!$A$1:$B$1324,2,FALSE)</f>
        <v>2301</v>
      </c>
      <c r="C227" s="1" t="s">
        <v>2003</v>
      </c>
      <c r="D227" s="1" t="s">
        <v>988</v>
      </c>
      <c r="E227" s="1">
        <v>21</v>
      </c>
      <c r="F227" s="1" t="s">
        <v>2038</v>
      </c>
      <c r="G227" s="1" t="s">
        <v>2022</v>
      </c>
      <c r="H227" s="1" t="s">
        <v>2033</v>
      </c>
      <c r="I227" s="31" t="s">
        <v>2033</v>
      </c>
      <c r="J227" s="1" t="s">
        <v>2040</v>
      </c>
      <c r="K227" s="31" t="s">
        <v>2030</v>
      </c>
      <c r="L227" s="1">
        <v>3</v>
      </c>
      <c r="M227" s="1">
        <v>4</v>
      </c>
      <c r="N227" s="31">
        <v>1</v>
      </c>
      <c r="O227" s="1">
        <v>4</v>
      </c>
      <c r="P227" s="1">
        <v>4</v>
      </c>
      <c r="Q227" s="31">
        <v>3</v>
      </c>
      <c r="R227" s="1">
        <v>5</v>
      </c>
      <c r="S227" s="1">
        <v>6</v>
      </c>
      <c r="T227" s="1">
        <v>2</v>
      </c>
      <c r="U227" s="1">
        <v>2</v>
      </c>
      <c r="V227" s="1">
        <v>3</v>
      </c>
      <c r="W227" s="1">
        <v>4</v>
      </c>
      <c r="X227" s="1" t="s">
        <v>2027</v>
      </c>
      <c r="Y227" s="1" t="s">
        <v>2027</v>
      </c>
      <c r="Z227" s="1" t="s">
        <v>2027</v>
      </c>
      <c r="AA227" s="1" t="s">
        <v>2027</v>
      </c>
      <c r="AB227" s="1" t="s">
        <v>2027</v>
      </c>
      <c r="AC227" s="1" t="s">
        <v>2027</v>
      </c>
      <c r="AD227" s="1" t="s">
        <v>2027</v>
      </c>
      <c r="AE227" s="1" t="s">
        <v>2027</v>
      </c>
      <c r="AF227" s="1">
        <v>5</v>
      </c>
      <c r="AG227" s="1">
        <v>5</v>
      </c>
      <c r="AH227" s="1" t="s">
        <v>2027</v>
      </c>
      <c r="AI227" s="1" t="s">
        <v>2027</v>
      </c>
      <c r="AJ227" s="1">
        <v>3</v>
      </c>
      <c r="AK227" s="1">
        <v>3</v>
      </c>
      <c r="AL227" s="1" t="s">
        <v>2027</v>
      </c>
      <c r="AM227" s="1" t="s">
        <v>2027</v>
      </c>
      <c r="AN227" s="1" t="s">
        <v>2027</v>
      </c>
      <c r="AO227" s="31" t="s">
        <v>2027</v>
      </c>
      <c r="AP227" s="1" t="s">
        <v>2039</v>
      </c>
      <c r="AQ227" s="1">
        <v>7</v>
      </c>
      <c r="AR227" s="32">
        <v>0.54</v>
      </c>
      <c r="AS227" s="45" t="s">
        <v>2029</v>
      </c>
      <c r="AT227" s="9">
        <f>($O$3*(L227-$O$1)/$O$2+$P$3*(M227-$P$1)/$P$2+$Q$3*(N227-$P$1)/$Q$2)/SUM($O$3:$Q$3)</f>
        <v>-1.7258064396590846</v>
      </c>
      <c r="AU227" s="9">
        <f>($O$3*(O227-$O$1)/$O$2+$P$3*(P227-$P$1)/$P$2+$Q$3*(Q227-$Q$1)/$Q$2)/SUM($O$3:$Q$3)</f>
        <v>-0.6009792323046188</v>
      </c>
      <c r="AV227">
        <f>COUNT(R227:AO227)/2</f>
        <v>5</v>
      </c>
      <c r="AW227">
        <f>COUNTIF(R227:AO227,"&gt;5")/2</f>
        <v>0.5</v>
      </c>
      <c r="AX227" s="6">
        <f>VLOOKUP(AP227,COND!$A$10:$B$31,2,FALSE)</f>
        <v>1.0249999999999999</v>
      </c>
      <c r="AY227" s="9">
        <f>($AT$3*AT227+$AU$3*AU227+$AV$3*AV227+$AW$3*AW227)*AX227*IF(AQ227&lt;5,0.95,IF(AQ227&lt;7,0.975,1))+$J$3*VLOOKUP(J227,[1]Con!$A$2:$C$7,2,FALSE)+$K$3*VLOOKUP(K227,[1]Con!$A$2:$C$7,3,FALSE)+IF(BA227="SP",$BA$3,0)</f>
        <v>20.279260417625203</v>
      </c>
      <c r="AZ227" s="37">
        <f>STANDARDIZE(AY227,AVERAGE($AY$5:$AY$1116),STDEVP($AY$5:$AY$1116))</f>
        <v>-1.0829887202568202</v>
      </c>
      <c r="BA227" t="str">
        <f>IF(OR(AND(AQ227&gt;7,AW227&gt;1),AND(AQ227&gt;4,AV227&gt;2)),"SP","RP")</f>
        <v>SP</v>
      </c>
      <c r="BC227">
        <f>VLOOKUP($A227,'Draft List'!$A$4:$V$530,22,FALSE)</f>
        <v>0</v>
      </c>
      <c r="BE227" t="str">
        <f>IF(AVERAGE($O227:$Q227)&gt;=6,"Likely",IF(AVERAGE($O227:$Q227)&gt;=4,"Possible","Unlikely"))</f>
        <v>Unlikely</v>
      </c>
      <c r="BG227" t="str">
        <f>IF(VLOOKUP($B227,'Draft List'!$D$4:$AB$2598,BG$3,FALSE)&lt;&gt;0,VLOOKUP($B227,'Draft List'!$D$4:$AB$2598,BG$3,FALSE),"")</f>
        <v/>
      </c>
      <c r="BH227" t="str">
        <f>IF(VLOOKUP($B227,'Draft List'!$D$4:$AB$2598,BH$3,FALSE)&lt;&gt;0,VLOOKUP($B227,'Draft List'!$D$4:$AB$2598,BH$3,FALSE),"")</f>
        <v/>
      </c>
      <c r="BI227" t="str">
        <f>IF(VLOOKUP($B227,'Draft List'!$D$4:$AB$2598,BI$3,FALSE)&lt;&gt;0,VLOOKUP($B227,'Draft List'!$D$4:$AB$2598,BI$3,FALSE),"")</f>
        <v/>
      </c>
      <c r="BJ227" t="str">
        <f>IF(OR(C227="SP",C227="MR",C227="CL"),"P",VLOOKUP($A227,Bat!$A$4:$AP$1287,42,FALSE))</f>
        <v>P</v>
      </c>
    </row>
    <row r="228" spans="1:62">
      <c r="A228" t="str">
        <f>C228&amp;D228&amp;E228</f>
        <v>SPNorbert Jackson21</v>
      </c>
      <c r="B228">
        <f>VLOOKUP($A228,draft_listing_pitchers_stats!$A$1:$B$1324,2,FALSE)</f>
        <v>2172</v>
      </c>
      <c r="C228" s="1" t="s">
        <v>2003</v>
      </c>
      <c r="D228" s="1" t="s">
        <v>1008</v>
      </c>
      <c r="E228" s="1">
        <v>21</v>
      </c>
      <c r="F228" s="1" t="s">
        <v>2022</v>
      </c>
      <c r="G228" s="1" t="s">
        <v>2022</v>
      </c>
      <c r="H228" s="1" t="s">
        <v>2033</v>
      </c>
      <c r="I228" s="31" t="s">
        <v>2033</v>
      </c>
      <c r="J228" s="1" t="s">
        <v>2040</v>
      </c>
      <c r="K228" s="31" t="s">
        <v>2040</v>
      </c>
      <c r="L228" s="1">
        <v>5</v>
      </c>
      <c r="M228" s="1">
        <v>3</v>
      </c>
      <c r="N228" s="31">
        <v>1</v>
      </c>
      <c r="O228" s="1">
        <v>5</v>
      </c>
      <c r="P228" s="1">
        <v>3</v>
      </c>
      <c r="Q228" s="31">
        <v>4</v>
      </c>
      <c r="R228" s="1">
        <v>6</v>
      </c>
      <c r="S228" s="1">
        <v>6</v>
      </c>
      <c r="T228" s="1">
        <v>4</v>
      </c>
      <c r="U228" s="1">
        <v>4</v>
      </c>
      <c r="V228" s="1">
        <v>4</v>
      </c>
      <c r="W228" s="1">
        <v>5</v>
      </c>
      <c r="X228" s="1" t="s">
        <v>2027</v>
      </c>
      <c r="Y228" s="1" t="s">
        <v>2027</v>
      </c>
      <c r="Z228" s="1" t="s">
        <v>2027</v>
      </c>
      <c r="AA228" s="1" t="s">
        <v>2027</v>
      </c>
      <c r="AB228" s="1" t="s">
        <v>2027</v>
      </c>
      <c r="AC228" s="1" t="s">
        <v>2027</v>
      </c>
      <c r="AD228" s="1" t="s">
        <v>2027</v>
      </c>
      <c r="AE228" s="1" t="s">
        <v>2027</v>
      </c>
      <c r="AF228" s="1">
        <v>5</v>
      </c>
      <c r="AG228" s="1">
        <v>5</v>
      </c>
      <c r="AH228" s="1" t="s">
        <v>2027</v>
      </c>
      <c r="AI228" s="1" t="s">
        <v>2027</v>
      </c>
      <c r="AJ228" s="1" t="s">
        <v>2027</v>
      </c>
      <c r="AK228" s="1" t="s">
        <v>2027</v>
      </c>
      <c r="AL228" s="1" t="s">
        <v>2027</v>
      </c>
      <c r="AM228" s="1" t="s">
        <v>2027</v>
      </c>
      <c r="AN228" s="1" t="s">
        <v>2027</v>
      </c>
      <c r="AO228" s="31" t="s">
        <v>2027</v>
      </c>
      <c r="AP228" s="1" t="s">
        <v>2031</v>
      </c>
      <c r="AQ228" s="1">
        <v>4</v>
      </c>
      <c r="AR228" s="32">
        <v>0.44</v>
      </c>
      <c r="AS228" s="45" t="s">
        <v>2029</v>
      </c>
      <c r="AT228" s="9">
        <f>($O$3*(L228-$O$1)/$O$2+$P$3*(M228-$P$1)/$P$2+$Q$3*(N228-$P$1)/$Q$2)/SUM($O$3:$Q$3)</f>
        <v>-1.5318555070707929</v>
      </c>
      <c r="AU228" s="9">
        <f>($O$3*(O228-$O$1)/$O$2+$P$3*(P228-$P$1)/$P$2+$Q$3*(Q228-$Q$1)/$Q$2)/SUM($O$3:$Q$3)</f>
        <v>-0.35939905817139028</v>
      </c>
      <c r="AV228">
        <f>COUNT(R228:AO228)/2</f>
        <v>4</v>
      </c>
      <c r="AW228">
        <f>COUNTIF(R228:AO228,"&gt;5")/2</f>
        <v>1</v>
      </c>
      <c r="AX228" s="6">
        <f>VLOOKUP(AP228,COND!$A$10:$B$31,2,FALSE)</f>
        <v>1.05</v>
      </c>
      <c r="AY228" s="9">
        <f>($AT$3*AT228+$AU$3*AU228+$AV$3*AV228+$AW$3*AW228)*AX228*IF(AQ228&lt;5,0.95,IF(AQ228&lt;7,0.975,1))+$J$3*VLOOKUP(J228,[1]Con!$A$2:$C$7,2,FALSE)+$K$3*VLOOKUP(K228,[1]Con!$A$2:$C$7,3,FALSE)+IF(BA228="SP",$BA$3,0)</f>
        <v>19.766258615820142</v>
      </c>
      <c r="AZ228" s="37">
        <f>STANDARDIZE(AY228,AVERAGE($AY$5:$AY$1116),STDEVP($AY$5:$AY$1116))</f>
        <v>-1.1237141585074579</v>
      </c>
      <c r="BA228" t="str">
        <f>IF(OR(AND(AQ228&gt;7,AW228&gt;1),AND(AQ228&gt;4,AV228&gt;2)),"SP","RP")</f>
        <v>RP</v>
      </c>
      <c r="BC228">
        <f>VLOOKUP($A228,'Draft List'!$A$4:$V$530,22,FALSE)</f>
        <v>0</v>
      </c>
      <c r="BE228" t="str">
        <f>IF(AVERAGE($O228:$Q228)&gt;=6,"Likely",IF(AVERAGE($O228:$Q228)&gt;=4,"Possible","Unlikely"))</f>
        <v>Possible</v>
      </c>
      <c r="BG228" t="str">
        <f>IF(VLOOKUP($B228,'Draft List'!$D$4:$AB$2598,BG$3,FALSE)&lt;&gt;0,VLOOKUP($B228,'Draft List'!$D$4:$AB$2598,BG$3,FALSE),"")</f>
        <v/>
      </c>
      <c r="BH228" t="str">
        <f>IF(VLOOKUP($B228,'Draft List'!$D$4:$AB$2598,BH$3,FALSE)&lt;&gt;0,VLOOKUP($B228,'Draft List'!$D$4:$AB$2598,BH$3,FALSE),"")</f>
        <v/>
      </c>
      <c r="BI228" t="str">
        <f>IF(VLOOKUP($B228,'Draft List'!$D$4:$AB$2598,BI$3,FALSE)&lt;&gt;0,VLOOKUP($B228,'Draft List'!$D$4:$AB$2598,BI$3,FALSE),"")</f>
        <v/>
      </c>
      <c r="BJ228" t="str">
        <f>IF(OR(C228="SP",C228="MR",C228="CL"),"P",VLOOKUP($A228,Bat!$A$4:$AP$1287,42,FALSE))</f>
        <v>P</v>
      </c>
    </row>
    <row r="229" spans="1:62">
      <c r="A229" t="str">
        <f>C229&amp;D229&amp;E229</f>
        <v>MRJack Miller21</v>
      </c>
      <c r="B229">
        <f>VLOOKUP($A229,draft_listing_pitchers_stats!$A$1:$B$1324,2,FALSE)</f>
        <v>2958</v>
      </c>
      <c r="C229" s="1" t="s">
        <v>2021</v>
      </c>
      <c r="D229" s="1" t="s">
        <v>1029</v>
      </c>
      <c r="E229" s="1">
        <v>21</v>
      </c>
      <c r="F229" s="1" t="s">
        <v>2022</v>
      </c>
      <c r="G229" s="1" t="s">
        <v>2022</v>
      </c>
      <c r="H229" s="1" t="s">
        <v>2033</v>
      </c>
      <c r="I229" s="31" t="s">
        <v>2033</v>
      </c>
      <c r="J229" s="1" t="s">
        <v>2025</v>
      </c>
      <c r="K229" s="31" t="s">
        <v>2025</v>
      </c>
      <c r="L229" s="1">
        <v>4</v>
      </c>
      <c r="M229" s="1">
        <v>3</v>
      </c>
      <c r="N229" s="31">
        <v>1</v>
      </c>
      <c r="O229" s="1">
        <v>5</v>
      </c>
      <c r="P229" s="1">
        <v>3</v>
      </c>
      <c r="Q229" s="31">
        <v>3</v>
      </c>
      <c r="R229" s="1">
        <v>4</v>
      </c>
      <c r="S229" s="1">
        <v>5</v>
      </c>
      <c r="T229" s="1" t="s">
        <v>2027</v>
      </c>
      <c r="U229" s="1" t="s">
        <v>2027</v>
      </c>
      <c r="V229" s="1" t="s">
        <v>2027</v>
      </c>
      <c r="W229" s="1" t="s">
        <v>2027</v>
      </c>
      <c r="X229" s="1" t="s">
        <v>2027</v>
      </c>
      <c r="Y229" s="1" t="s">
        <v>2027</v>
      </c>
      <c r="Z229" s="1" t="s">
        <v>2027</v>
      </c>
      <c r="AA229" s="1" t="s">
        <v>2027</v>
      </c>
      <c r="AB229" s="1">
        <v>3</v>
      </c>
      <c r="AC229" s="1">
        <v>4</v>
      </c>
      <c r="AD229" s="1" t="s">
        <v>2027</v>
      </c>
      <c r="AE229" s="1" t="s">
        <v>2027</v>
      </c>
      <c r="AF229" s="1">
        <v>4</v>
      </c>
      <c r="AG229" s="1">
        <v>5</v>
      </c>
      <c r="AH229" s="1" t="s">
        <v>2027</v>
      </c>
      <c r="AI229" s="1" t="s">
        <v>2027</v>
      </c>
      <c r="AJ229" s="1" t="s">
        <v>2027</v>
      </c>
      <c r="AK229" s="1" t="s">
        <v>2027</v>
      </c>
      <c r="AL229" s="1" t="s">
        <v>2027</v>
      </c>
      <c r="AM229" s="1" t="s">
        <v>2027</v>
      </c>
      <c r="AN229" s="1" t="s">
        <v>2027</v>
      </c>
      <c r="AO229" s="31" t="s">
        <v>2027</v>
      </c>
      <c r="AP229" s="1" t="s">
        <v>2034</v>
      </c>
      <c r="AQ229" s="1">
        <v>4</v>
      </c>
      <c r="AR229" s="32">
        <v>0.41</v>
      </c>
      <c r="AS229" s="45" t="s">
        <v>2029</v>
      </c>
      <c r="AT229" s="9">
        <f>($O$3*(L229-$O$1)/$O$2+$P$3*(M229-$P$1)/$P$2+$Q$3*(N229-$P$1)/$Q$2)/SUM($O$3:$Q$3)</f>
        <v>-1.7265468315799666</v>
      </c>
      <c r="AU229" s="9">
        <f>($O$3*(O229-$O$1)/$O$2+$P$3*(P229-$P$1)/$P$2+$Q$3*(Q229-$Q$1)/$Q$2)/SUM($O$3:$Q$3)</f>
        <v>-0.60171962422550074</v>
      </c>
      <c r="AV229">
        <f>COUNT(R229:AO229)/2</f>
        <v>3</v>
      </c>
      <c r="AW229">
        <f>COUNTIF(R229:AO229,"&gt;5")/2</f>
        <v>0</v>
      </c>
      <c r="AX229" s="6">
        <f>VLOOKUP(AP229,COND!$A$10:$B$31,2,FALSE)</f>
        <v>1</v>
      </c>
      <c r="AY229" s="9">
        <f>($AT$3*AT229+$AU$3*AU229+$AV$3*AV229+$AW$3*AW229)*AX229*IF(AQ229&lt;5,0.95,IF(AQ229&lt;7,0.975,1))+$J$3*VLOOKUP(J229,[1]Con!$A$2:$C$7,2,FALSE)+$K$3*VLOOKUP(K229,[1]Con!$A$2:$C$7,3,FALSE)+IF(BA229="SP",$BA$3,0)</f>
        <v>19.664283241715292</v>
      </c>
      <c r="AZ229" s="37">
        <f>STANDARDIZE(AY229,AVERAGE($AY$5:$AY$1116),STDEVP($AY$5:$AY$1116))</f>
        <v>-1.1318096306609278</v>
      </c>
      <c r="BA229" t="str">
        <f>IF(OR(AND(AQ229&gt;7,AW229&gt;1),AND(AQ229&gt;4,AV229&gt;2)),"SP","RP")</f>
        <v>RP</v>
      </c>
      <c r="BC229">
        <f>VLOOKUP($A229,'Draft List'!$A$4:$V$530,22,FALSE)</f>
        <v>0</v>
      </c>
      <c r="BE229" t="str">
        <f>IF(AVERAGE($O229:$Q229)&gt;=6,"Likely",IF(AVERAGE($O229:$Q229)&gt;=4,"Possible","Unlikely"))</f>
        <v>Unlikely</v>
      </c>
      <c r="BG229" t="str">
        <f>IF(VLOOKUP($B229,'Draft List'!$D$4:$AB$2598,BG$3,FALSE)&lt;&gt;0,VLOOKUP($B229,'Draft List'!$D$4:$AB$2598,BG$3,FALSE),"")</f>
        <v/>
      </c>
      <c r="BH229" t="str">
        <f>IF(VLOOKUP($B229,'Draft List'!$D$4:$AB$2598,BH$3,FALSE)&lt;&gt;0,VLOOKUP($B229,'Draft List'!$D$4:$AB$2598,BH$3,FALSE),"")</f>
        <v/>
      </c>
      <c r="BI229" t="str">
        <f>IF(VLOOKUP($B229,'Draft List'!$D$4:$AB$2598,BI$3,FALSE)&lt;&gt;0,VLOOKUP($B229,'Draft List'!$D$4:$AB$2598,BI$3,FALSE),"")</f>
        <v/>
      </c>
      <c r="BJ229" t="str">
        <f>IF(OR(C229="SP",C229="MR",C229="CL"),"P",VLOOKUP($A229,Bat!$A$4:$AP$1287,42,FALSE))</f>
        <v>P</v>
      </c>
    </row>
    <row r="230" spans="1:62">
      <c r="A230" t="str">
        <f>C230&amp;D230&amp;E230</f>
        <v>SPNick Keys21</v>
      </c>
      <c r="B230">
        <f>VLOOKUP($A230,draft_listing_pitchers_stats!$A$1:$B$1324,2,FALSE)</f>
        <v>13908</v>
      </c>
      <c r="C230" s="1" t="s">
        <v>2003</v>
      </c>
      <c r="D230" s="1" t="s">
        <v>1014</v>
      </c>
      <c r="E230" s="1">
        <v>21</v>
      </c>
      <c r="F230" s="1" t="s">
        <v>2022</v>
      </c>
      <c r="G230" s="1" t="s">
        <v>2022</v>
      </c>
      <c r="H230" s="1" t="s">
        <v>2033</v>
      </c>
      <c r="I230" s="31" t="s">
        <v>2033</v>
      </c>
      <c r="J230" s="1" t="s">
        <v>2040</v>
      </c>
      <c r="K230" s="31" t="s">
        <v>2036</v>
      </c>
      <c r="L230" s="1">
        <v>4</v>
      </c>
      <c r="M230" s="1">
        <v>3</v>
      </c>
      <c r="N230" s="31">
        <v>2</v>
      </c>
      <c r="O230" s="1">
        <v>4</v>
      </c>
      <c r="P230" s="1">
        <v>3</v>
      </c>
      <c r="Q230" s="31">
        <v>4</v>
      </c>
      <c r="R230" s="1">
        <v>6</v>
      </c>
      <c r="S230" s="1">
        <v>6</v>
      </c>
      <c r="T230" s="1">
        <v>4</v>
      </c>
      <c r="U230" s="1">
        <v>4</v>
      </c>
      <c r="V230" s="1">
        <v>4</v>
      </c>
      <c r="W230" s="1">
        <v>4</v>
      </c>
      <c r="X230" s="1" t="s">
        <v>2027</v>
      </c>
      <c r="Y230" s="1" t="s">
        <v>2027</v>
      </c>
      <c r="Z230" s="1" t="s">
        <v>2027</v>
      </c>
      <c r="AA230" s="1" t="s">
        <v>2027</v>
      </c>
      <c r="AB230" s="1" t="s">
        <v>2027</v>
      </c>
      <c r="AC230" s="1" t="s">
        <v>2027</v>
      </c>
      <c r="AD230" s="1" t="s">
        <v>2027</v>
      </c>
      <c r="AE230" s="1" t="s">
        <v>2027</v>
      </c>
      <c r="AF230" s="1" t="s">
        <v>2027</v>
      </c>
      <c r="AG230" s="1" t="s">
        <v>2027</v>
      </c>
      <c r="AH230" s="1" t="s">
        <v>2027</v>
      </c>
      <c r="AI230" s="1" t="s">
        <v>2027</v>
      </c>
      <c r="AJ230" s="1" t="s">
        <v>2027</v>
      </c>
      <c r="AK230" s="1" t="s">
        <v>2027</v>
      </c>
      <c r="AL230" s="1" t="s">
        <v>2027</v>
      </c>
      <c r="AM230" s="1" t="s">
        <v>2027</v>
      </c>
      <c r="AN230" s="1" t="s">
        <v>2027</v>
      </c>
      <c r="AO230" s="31" t="s">
        <v>2027</v>
      </c>
      <c r="AP230" s="1" t="s">
        <v>2031</v>
      </c>
      <c r="AQ230" s="1">
        <v>3</v>
      </c>
      <c r="AR230" s="32">
        <v>0.43</v>
      </c>
      <c r="AS230" s="45" t="s">
        <v>2029</v>
      </c>
      <c r="AT230" s="9">
        <f>($O$3*(L230-$O$1)/$O$2+$P$3*(M230-$P$1)/$P$2+$Q$3*(N230-$P$1)/$Q$2)/SUM($O$3:$Q$3)</f>
        <v>-1.4842262655258562</v>
      </c>
      <c r="AU230" s="9">
        <f>($O$3*(O230-$O$1)/$O$2+$P$3*(P230-$P$1)/$P$2+$Q$3*(Q230-$Q$1)/$Q$2)/SUM($O$3:$Q$3)</f>
        <v>-0.55409038268056388</v>
      </c>
      <c r="AV230">
        <f>COUNT(R230:AO230)/2</f>
        <v>3</v>
      </c>
      <c r="AW230">
        <f>COUNTIF(R230:AO230,"&gt;5")/2</f>
        <v>1</v>
      </c>
      <c r="AX230" s="6">
        <f>VLOOKUP(AP230,COND!$A$10:$B$31,2,FALSE)</f>
        <v>1.05</v>
      </c>
      <c r="AY230" s="9">
        <f>($AT$3*AT230+$AU$3*AU230+$AV$3*AV230+$AW$3*AW230)*AX230*IF(AQ230&lt;5,0.95,IF(AQ230&lt;7,0.975,1))+$J$3*VLOOKUP(J230,[1]Con!$A$2:$C$7,2,FALSE)+$K$3*VLOOKUP(K230,[1]Con!$A$2:$C$7,3,FALSE)+IF(BA230="SP",$BA$3,0)</f>
        <v>19.442918725550342</v>
      </c>
      <c r="AZ230" s="37">
        <f>STANDARDIZE(AY230,AVERAGE($AY$5:$AY$1116),STDEVP($AY$5:$AY$1116))</f>
        <v>-1.1493829937607003</v>
      </c>
      <c r="BA230" t="str">
        <f>IF(OR(AND(AQ230&gt;7,AW230&gt;1),AND(AQ230&gt;4,AV230&gt;2)),"SP","RP")</f>
        <v>RP</v>
      </c>
      <c r="BC230">
        <f>VLOOKUP($A230,'Draft List'!$A$4:$V$530,22,FALSE)</f>
        <v>0</v>
      </c>
      <c r="BE230" t="str">
        <f>IF(AVERAGE($O230:$Q230)&gt;=6,"Likely",IF(AVERAGE($O230:$Q230)&gt;=4,"Possible","Unlikely"))</f>
        <v>Unlikely</v>
      </c>
      <c r="BG230" t="str">
        <f>IF(VLOOKUP($B230,'Draft List'!$D$4:$AB$2598,BG$3,FALSE)&lt;&gt;0,VLOOKUP($B230,'Draft List'!$D$4:$AB$2598,BG$3,FALSE),"")</f>
        <v/>
      </c>
      <c r="BH230" t="str">
        <f>IF(VLOOKUP($B230,'Draft List'!$D$4:$AB$2598,BH$3,FALSE)&lt;&gt;0,VLOOKUP($B230,'Draft List'!$D$4:$AB$2598,BH$3,FALSE),"")</f>
        <v/>
      </c>
      <c r="BI230" t="str">
        <f>IF(VLOOKUP($B230,'Draft List'!$D$4:$AB$2598,BI$3,FALSE)&lt;&gt;0,VLOOKUP($B230,'Draft List'!$D$4:$AB$2598,BI$3,FALSE),"")</f>
        <v/>
      </c>
      <c r="BJ230" t="str">
        <f>IF(OR(C230="SP",C230="MR",C230="CL"),"P",VLOOKUP($A230,Bat!$A$4:$AP$1287,42,FALSE))</f>
        <v>P</v>
      </c>
    </row>
    <row r="231" spans="1:62">
      <c r="A231" t="str">
        <f>C231&amp;D231&amp;E231</f>
        <v>MRJúlio Cortéz21</v>
      </c>
      <c r="B231">
        <f>VLOOKUP($A231,draft_listing_pitchers_stats!$A$1:$B$1324,2,FALSE)</f>
        <v>2268</v>
      </c>
      <c r="C231" s="1" t="s">
        <v>2021</v>
      </c>
      <c r="D231" s="1" t="s">
        <v>1189</v>
      </c>
      <c r="E231" s="1">
        <v>21</v>
      </c>
      <c r="F231" s="1" t="s">
        <v>2038</v>
      </c>
      <c r="G231" s="1" t="s">
        <v>2038</v>
      </c>
      <c r="H231" s="1" t="s">
        <v>2033</v>
      </c>
      <c r="I231" s="31" t="s">
        <v>2033</v>
      </c>
      <c r="J231" s="1" t="s">
        <v>2026</v>
      </c>
      <c r="K231" s="31" t="s">
        <v>2025</v>
      </c>
      <c r="L231" s="1">
        <v>4</v>
      </c>
      <c r="M231" s="1">
        <v>4</v>
      </c>
      <c r="N231" s="31">
        <v>1</v>
      </c>
      <c r="O231" s="1">
        <v>4</v>
      </c>
      <c r="P231" s="1">
        <v>4</v>
      </c>
      <c r="Q231" s="31">
        <v>3</v>
      </c>
      <c r="R231" s="1">
        <v>4</v>
      </c>
      <c r="S231" s="1">
        <v>4</v>
      </c>
      <c r="T231" s="1">
        <v>1</v>
      </c>
      <c r="U231" s="1">
        <v>1</v>
      </c>
      <c r="V231" s="1" t="s">
        <v>2027</v>
      </c>
      <c r="W231" s="1" t="s">
        <v>2027</v>
      </c>
      <c r="X231" s="1">
        <v>4</v>
      </c>
      <c r="Y231" s="1">
        <v>4</v>
      </c>
      <c r="Z231" s="1" t="s">
        <v>2027</v>
      </c>
      <c r="AA231" s="1" t="s">
        <v>2027</v>
      </c>
      <c r="AB231" s="1" t="s">
        <v>2027</v>
      </c>
      <c r="AC231" s="1" t="s">
        <v>2027</v>
      </c>
      <c r="AD231" s="1" t="s">
        <v>2027</v>
      </c>
      <c r="AE231" s="1" t="s">
        <v>2027</v>
      </c>
      <c r="AF231" s="1">
        <v>4</v>
      </c>
      <c r="AG231" s="1">
        <v>4</v>
      </c>
      <c r="AH231" s="1" t="s">
        <v>2027</v>
      </c>
      <c r="AI231" s="1" t="s">
        <v>2027</v>
      </c>
      <c r="AJ231" s="1" t="s">
        <v>2027</v>
      </c>
      <c r="AK231" s="1" t="s">
        <v>2027</v>
      </c>
      <c r="AL231" s="1" t="s">
        <v>2027</v>
      </c>
      <c r="AM231" s="1" t="s">
        <v>2027</v>
      </c>
      <c r="AN231" s="1" t="s">
        <v>2027</v>
      </c>
      <c r="AO231" s="31" t="s">
        <v>2027</v>
      </c>
      <c r="AP231" s="1" t="s">
        <v>2041</v>
      </c>
      <c r="AQ231" s="1">
        <v>2</v>
      </c>
      <c r="AR231" s="32">
        <v>0.47</v>
      </c>
      <c r="AS231" s="45" t="s">
        <v>2029</v>
      </c>
      <c r="AT231" s="9">
        <f>($O$3*(L231-$O$1)/$O$2+$P$3*(M231-$P$1)/$P$2+$Q$3*(N231-$P$1)/$Q$2)/SUM($O$3:$Q$3)</f>
        <v>-1.5311151151499114</v>
      </c>
      <c r="AU231" s="9">
        <f>($O$3*(O231-$O$1)/$O$2+$P$3*(P231-$P$1)/$P$2+$Q$3*(Q231-$Q$1)/$Q$2)/SUM($O$3:$Q$3)</f>
        <v>-0.6009792323046188</v>
      </c>
      <c r="AV231">
        <f>COUNT(R231:AO231)/2</f>
        <v>4</v>
      </c>
      <c r="AW231">
        <f>COUNTIF(R231:AO231,"&gt;5")/2</f>
        <v>0</v>
      </c>
      <c r="AX231" s="6">
        <f>VLOOKUP(AP231,COND!$A$10:$B$31,2,FALSE)</f>
        <v>1</v>
      </c>
      <c r="AY231" s="9">
        <f>($AT$3*AT231+$AU$3*AU231+$AV$3*AV231+$AW$3*AW231)*AX231*IF(AQ231&lt;5,0.95,IF(AQ231&lt;7,0.975,1))+$J$3*VLOOKUP(J231,[1]Con!$A$2:$C$7,2,FALSE)+$K$3*VLOOKUP(K231,[1]Con!$A$2:$C$7,3,FALSE)+IF(BA231="SP",$BA$3,0)</f>
        <v>19.440482714333761</v>
      </c>
      <c r="AZ231" s="37">
        <f>STANDARDIZE(AY231,AVERAGE($AY$5:$AY$1116),STDEVP($AY$5:$AY$1116))</f>
        <v>-1.1495763802634955</v>
      </c>
      <c r="BA231" t="str">
        <f>IF(OR(AND(AQ231&gt;7,AW231&gt;1),AND(AQ231&gt;4,AV231&gt;2)),"SP","RP")</f>
        <v>RP</v>
      </c>
      <c r="BC231">
        <f>VLOOKUP($A231,'Draft List'!$A$4:$V$530,22,FALSE)</f>
        <v>0</v>
      </c>
      <c r="BE231" t="str">
        <f>IF(AVERAGE($O231:$Q231)&gt;=6,"Likely",IF(AVERAGE($O231:$Q231)&gt;=4,"Possible","Unlikely"))</f>
        <v>Unlikely</v>
      </c>
      <c r="BG231" t="str">
        <f>IF(VLOOKUP($B231,'Draft List'!$D$4:$AB$2598,BG$3,FALSE)&lt;&gt;0,VLOOKUP($B231,'Draft List'!$D$4:$AB$2598,BG$3,FALSE),"")</f>
        <v/>
      </c>
      <c r="BH231" t="str">
        <f>IF(VLOOKUP($B231,'Draft List'!$D$4:$AB$2598,BH$3,FALSE)&lt;&gt;0,VLOOKUP($B231,'Draft List'!$D$4:$AB$2598,BH$3,FALSE),"")</f>
        <v/>
      </c>
      <c r="BI231" t="str">
        <f>IF(VLOOKUP($B231,'Draft List'!$D$4:$AB$2598,BI$3,FALSE)&lt;&gt;0,VLOOKUP($B231,'Draft List'!$D$4:$AB$2598,BI$3,FALSE),"")</f>
        <v/>
      </c>
      <c r="BJ231" t="str">
        <f>IF(OR(C231="SP",C231="MR",C231="CL"),"P",VLOOKUP($A231,Bat!$A$4:$AP$1287,42,FALSE))</f>
        <v>P</v>
      </c>
    </row>
    <row r="232" spans="1:62">
      <c r="A232" t="str">
        <f>C232&amp;D232&amp;E232</f>
        <v>MRPat Dostie18</v>
      </c>
      <c r="B232">
        <f>VLOOKUP($A232,draft_listing_pitchers_stats!$A$1:$B$1324,2,FALSE)</f>
        <v>13854</v>
      </c>
      <c r="C232" s="1" t="s">
        <v>2021</v>
      </c>
      <c r="D232" s="1" t="s">
        <v>989</v>
      </c>
      <c r="E232" s="1">
        <v>18</v>
      </c>
      <c r="F232" s="1" t="s">
        <v>2022</v>
      </c>
      <c r="G232" s="1" t="s">
        <v>2022</v>
      </c>
      <c r="H232" s="1" t="s">
        <v>2033</v>
      </c>
      <c r="I232" s="31" t="s">
        <v>2033</v>
      </c>
      <c r="J232" s="1" t="s">
        <v>2040</v>
      </c>
      <c r="K232" s="31" t="s">
        <v>2040</v>
      </c>
      <c r="L232" s="1">
        <v>2</v>
      </c>
      <c r="M232" s="1">
        <v>4</v>
      </c>
      <c r="N232" s="31">
        <v>1</v>
      </c>
      <c r="O232" s="1">
        <v>4</v>
      </c>
      <c r="P232" s="1">
        <v>4</v>
      </c>
      <c r="Q232" s="31">
        <v>4</v>
      </c>
      <c r="R232" s="1">
        <v>3</v>
      </c>
      <c r="S232" s="1">
        <v>4</v>
      </c>
      <c r="T232" s="1">
        <v>1</v>
      </c>
      <c r="U232" s="1">
        <v>3</v>
      </c>
      <c r="V232" s="1">
        <v>2</v>
      </c>
      <c r="W232" s="1">
        <v>3</v>
      </c>
      <c r="X232" s="1">
        <v>2</v>
      </c>
      <c r="Y232" s="1">
        <v>3</v>
      </c>
      <c r="Z232" s="1" t="s">
        <v>2027</v>
      </c>
      <c r="AA232" s="1" t="s">
        <v>2027</v>
      </c>
      <c r="AB232" s="1" t="s">
        <v>2027</v>
      </c>
      <c r="AC232" s="1" t="s">
        <v>2027</v>
      </c>
      <c r="AD232" s="1" t="s">
        <v>2027</v>
      </c>
      <c r="AE232" s="1" t="s">
        <v>2027</v>
      </c>
      <c r="AF232" s="1">
        <v>3</v>
      </c>
      <c r="AG232" s="1">
        <v>4</v>
      </c>
      <c r="AH232" s="1" t="s">
        <v>2027</v>
      </c>
      <c r="AI232" s="1" t="s">
        <v>2027</v>
      </c>
      <c r="AJ232" s="1" t="s">
        <v>2027</v>
      </c>
      <c r="AK232" s="1" t="s">
        <v>2027</v>
      </c>
      <c r="AL232" s="1" t="s">
        <v>2027</v>
      </c>
      <c r="AM232" s="1" t="s">
        <v>2027</v>
      </c>
      <c r="AN232" s="1" t="s">
        <v>2027</v>
      </c>
      <c r="AO232" s="31" t="s">
        <v>2027</v>
      </c>
      <c r="AP232" s="1" t="s">
        <v>2056</v>
      </c>
      <c r="AQ232" s="1">
        <v>3</v>
      </c>
      <c r="AR232" s="32">
        <v>0.47</v>
      </c>
      <c r="AS232" s="45" t="s">
        <v>2029</v>
      </c>
      <c r="AT232" s="9">
        <f>($O$3*(L232-$O$1)/$O$2+$P$3*(M232-$P$1)/$P$2+$Q$3*(N232-$P$1)/$Q$2)/SUM($O$3:$Q$3)</f>
        <v>-1.9204977641682581</v>
      </c>
      <c r="AU232" s="9">
        <f>($O$3*(O232-$O$1)/$O$2+$P$3*(P232-$P$1)/$P$2+$Q$3*(Q232-$Q$1)/$Q$2)/SUM($O$3:$Q$3)</f>
        <v>-0.35865866625050846</v>
      </c>
      <c r="AV232">
        <f>COUNT(R232:AO232)/2</f>
        <v>5</v>
      </c>
      <c r="AW232">
        <f>COUNTIF(R232:AO232,"&gt;5")/2</f>
        <v>0</v>
      </c>
      <c r="AX232" s="6">
        <f>VLOOKUP(AP232,COND!$A$10:$B$31,2,FALSE)</f>
        <v>0.95</v>
      </c>
      <c r="AY232" s="9">
        <f>($AT$3*AT232+$AU$3*AU232+$AV$3*AV232+$AW$3*AW232)*AX232*IF(AQ232&lt;5,0.95,IF(AQ232&lt;7,0.975,1))+$J$3*VLOOKUP(J232,[1]Con!$A$2:$C$7,2,FALSE)+$K$3*VLOOKUP(K232,[1]Con!$A$2:$C$7,3,FALSE)+IF(BA232="SP",$BA$3,0)</f>
        <v>19.435811227745951</v>
      </c>
      <c r="AZ232" s="37">
        <f>STANDARDIZE(AY232,AVERAGE($AY$5:$AY$1116),STDEVP($AY$5:$AY$1116))</f>
        <v>-1.1499472334221026</v>
      </c>
      <c r="BA232" t="str">
        <f>IF(OR(AND(AQ232&gt;7,AW232&gt;1),AND(AQ232&gt;4,AV232&gt;2)),"SP","RP")</f>
        <v>RP</v>
      </c>
      <c r="BC232">
        <f>VLOOKUP($A232,'Draft List'!$A$4:$V$530,22,FALSE)</f>
        <v>0</v>
      </c>
      <c r="BE232" t="str">
        <f>IF(AVERAGE($O232:$Q232)&gt;=6,"Likely",IF(AVERAGE($O232:$Q232)&gt;=4,"Possible","Unlikely"))</f>
        <v>Possible</v>
      </c>
      <c r="BG232" t="str">
        <f>IF(VLOOKUP($B232,'Draft List'!$D$4:$AB$2598,BG$3,FALSE)&lt;&gt;0,VLOOKUP($B232,'Draft List'!$D$4:$AB$2598,BG$3,FALSE),"")</f>
        <v/>
      </c>
      <c r="BH232" t="str">
        <f>IF(VLOOKUP($B232,'Draft List'!$D$4:$AB$2598,BH$3,FALSE)&lt;&gt;0,VLOOKUP($B232,'Draft List'!$D$4:$AB$2598,BH$3,FALSE),"")</f>
        <v/>
      </c>
      <c r="BI232" t="str">
        <f>IF(VLOOKUP($B232,'Draft List'!$D$4:$AB$2598,BI$3,FALSE)&lt;&gt;0,VLOOKUP($B232,'Draft List'!$D$4:$AB$2598,BI$3,FALSE),"")</f>
        <v/>
      </c>
      <c r="BJ232" t="str">
        <f>IF(OR(C232="SP",C232="MR",C232="CL"),"P",VLOOKUP($A232,Bat!$A$4:$AP$1287,42,FALSE))</f>
        <v>P</v>
      </c>
    </row>
    <row r="233" spans="1:62">
      <c r="A233" t="str">
        <f>C233&amp;D233&amp;E233</f>
        <v>MRRichard Peterson18</v>
      </c>
      <c r="B233">
        <f>VLOOKUP($A233,draft_listing_pitchers_stats!$A$1:$B$1324,2,FALSE)</f>
        <v>13840</v>
      </c>
      <c r="C233" s="1" t="s">
        <v>2021</v>
      </c>
      <c r="D233" s="1" t="s">
        <v>1039</v>
      </c>
      <c r="E233" s="1">
        <v>18</v>
      </c>
      <c r="F233" s="1" t="s">
        <v>2038</v>
      </c>
      <c r="G233" s="1" t="s">
        <v>2022</v>
      </c>
      <c r="H233" s="1" t="s">
        <v>2033</v>
      </c>
      <c r="I233" s="31" t="s">
        <v>2033</v>
      </c>
      <c r="J233" s="1" t="s">
        <v>2040</v>
      </c>
      <c r="K233" s="31" t="s">
        <v>2025</v>
      </c>
      <c r="L233" s="1">
        <v>2</v>
      </c>
      <c r="M233" s="1">
        <v>3</v>
      </c>
      <c r="N233" s="31">
        <v>1</v>
      </c>
      <c r="O233" s="1">
        <v>4</v>
      </c>
      <c r="P233" s="1">
        <v>3</v>
      </c>
      <c r="Q233" s="31">
        <v>4</v>
      </c>
      <c r="R233" s="1">
        <v>2</v>
      </c>
      <c r="S233" s="1">
        <v>3</v>
      </c>
      <c r="T233" s="1">
        <v>1</v>
      </c>
      <c r="U233" s="1">
        <v>5</v>
      </c>
      <c r="V233" s="1" t="s">
        <v>2027</v>
      </c>
      <c r="W233" s="1" t="s">
        <v>2027</v>
      </c>
      <c r="X233" s="1">
        <v>2</v>
      </c>
      <c r="Y233" s="1">
        <v>4</v>
      </c>
      <c r="Z233" s="1" t="s">
        <v>2027</v>
      </c>
      <c r="AA233" s="1" t="s">
        <v>2027</v>
      </c>
      <c r="AB233" s="1" t="s">
        <v>2027</v>
      </c>
      <c r="AC233" s="1" t="s">
        <v>2027</v>
      </c>
      <c r="AD233" s="1" t="s">
        <v>2027</v>
      </c>
      <c r="AE233" s="1" t="s">
        <v>2027</v>
      </c>
      <c r="AF233" s="1" t="s">
        <v>2027</v>
      </c>
      <c r="AG233" s="1" t="s">
        <v>2027</v>
      </c>
      <c r="AH233" s="1" t="s">
        <v>2027</v>
      </c>
      <c r="AI233" s="1" t="s">
        <v>2027</v>
      </c>
      <c r="AJ233" s="1" t="s">
        <v>2027</v>
      </c>
      <c r="AK233" s="1" t="s">
        <v>2027</v>
      </c>
      <c r="AL233" s="1" t="s">
        <v>2027</v>
      </c>
      <c r="AM233" s="1" t="s">
        <v>2027</v>
      </c>
      <c r="AN233" s="1" t="s">
        <v>2027</v>
      </c>
      <c r="AO233" s="31" t="s">
        <v>2027</v>
      </c>
      <c r="AP233" s="1" t="s">
        <v>2063</v>
      </c>
      <c r="AQ233" s="1">
        <v>4</v>
      </c>
      <c r="AR233" s="32">
        <v>0.43</v>
      </c>
      <c r="AS233" s="45" t="s">
        <v>2029</v>
      </c>
      <c r="AT233" s="9">
        <f>($O$3*(L233-$O$1)/$O$2+$P$3*(M233-$P$1)/$P$2+$Q$3*(N233-$P$1)/$Q$2)/SUM($O$3:$Q$3)</f>
        <v>-2.1159294805983135</v>
      </c>
      <c r="AU233" s="9">
        <f>($O$3*(O233-$O$1)/$O$2+$P$3*(P233-$P$1)/$P$2+$Q$3*(Q233-$Q$1)/$Q$2)/SUM($O$3:$Q$3)</f>
        <v>-0.55409038268056388</v>
      </c>
      <c r="AV233">
        <f>COUNT(R233:AO233)/2</f>
        <v>3</v>
      </c>
      <c r="AW233">
        <f>COUNTIF(R233:AO233,"&gt;5")/2</f>
        <v>0</v>
      </c>
      <c r="AX233" s="6">
        <f>VLOOKUP(AP233,COND!$A$10:$B$31,2,FALSE)</f>
        <v>0.9</v>
      </c>
      <c r="AY233" s="9">
        <f>($AT$3*AT233+$AU$3*AU233+$AV$3*AV233+$AW$3*AW233)*AX233*IF(AQ233&lt;5,0.95,IF(AQ233&lt;7,0.975,1))+$J$3*VLOOKUP(J233,[1]Con!$A$2:$C$7,2,FALSE)+$K$3*VLOOKUP(K233,[1]Con!$A$2:$C$7,3,FALSE)+IF(BA233="SP",$BA$3,0)</f>
        <v>18.445730514980045</v>
      </c>
      <c r="AZ233" s="37">
        <f>STANDARDIZE(AY233,AVERAGE($AY$5:$AY$1116),STDEVP($AY$5:$AY$1116))</f>
        <v>-1.2285463158990433</v>
      </c>
      <c r="BA233" t="str">
        <f>IF(OR(AND(AQ233&gt;7,AW233&gt;1),AND(AQ233&gt;4,AV233&gt;2)),"SP","RP")</f>
        <v>RP</v>
      </c>
      <c r="BC233">
        <f>VLOOKUP($A233,'Draft List'!$A$4:$V$530,22,FALSE)</f>
        <v>0</v>
      </c>
      <c r="BE233" t="str">
        <f>IF(AVERAGE($O233:$Q233)&gt;=6,"Likely",IF(AVERAGE($O233:$Q233)&gt;=4,"Possible","Unlikely"))</f>
        <v>Unlikely</v>
      </c>
      <c r="BG233" t="str">
        <f>IF(VLOOKUP($B233,'Draft List'!$D$4:$AB$2598,BG$3,FALSE)&lt;&gt;0,VLOOKUP($B233,'Draft List'!$D$4:$AB$2598,BG$3,FALSE),"")</f>
        <v/>
      </c>
      <c r="BH233" t="str">
        <f>IF(VLOOKUP($B233,'Draft List'!$D$4:$AB$2598,BH$3,FALSE)&lt;&gt;0,VLOOKUP($B233,'Draft List'!$D$4:$AB$2598,BH$3,FALSE),"")</f>
        <v/>
      </c>
      <c r="BI233" t="str">
        <f>IF(VLOOKUP($B233,'Draft List'!$D$4:$AB$2598,BI$3,FALSE)&lt;&gt;0,VLOOKUP($B233,'Draft List'!$D$4:$AB$2598,BI$3,FALSE),"")</f>
        <v/>
      </c>
      <c r="BJ233" t="str">
        <f>IF(OR(C233="SP",C233="MR",C233="CL"),"P",VLOOKUP($A233,Bat!$A$4:$AP$1287,42,FALSE))</f>
        <v>P</v>
      </c>
    </row>
    <row r="234" spans="1:62">
      <c r="A234" t="str">
        <f>C234&amp;D234&amp;E234</f>
        <v>SPRalph Edwards18</v>
      </c>
      <c r="B234">
        <f>VLOOKUP($A234,draft_listing_pitchers_stats!$A$1:$B$1324,2,FALSE)</f>
        <v>13746</v>
      </c>
      <c r="C234" s="1" t="s">
        <v>2003</v>
      </c>
      <c r="D234" s="1" t="s">
        <v>992</v>
      </c>
      <c r="E234" s="1">
        <v>18</v>
      </c>
      <c r="F234" s="1" t="s">
        <v>2038</v>
      </c>
      <c r="G234" s="1" t="s">
        <v>2038</v>
      </c>
      <c r="H234" s="1" t="s">
        <v>2033</v>
      </c>
      <c r="I234" s="31" t="s">
        <v>2033</v>
      </c>
      <c r="J234" s="1" t="s">
        <v>2040</v>
      </c>
      <c r="K234" s="31" t="s">
        <v>2040</v>
      </c>
      <c r="L234" s="1">
        <v>2</v>
      </c>
      <c r="M234" s="1">
        <v>4</v>
      </c>
      <c r="N234" s="31">
        <v>1</v>
      </c>
      <c r="O234" s="1">
        <v>4</v>
      </c>
      <c r="P234" s="1">
        <v>4</v>
      </c>
      <c r="Q234" s="31">
        <v>4</v>
      </c>
      <c r="R234" s="1">
        <v>4</v>
      </c>
      <c r="S234" s="1">
        <v>5</v>
      </c>
      <c r="T234" s="1">
        <v>1</v>
      </c>
      <c r="U234" s="1">
        <v>5</v>
      </c>
      <c r="V234" s="1" t="s">
        <v>2027</v>
      </c>
      <c r="W234" s="1" t="s">
        <v>2027</v>
      </c>
      <c r="X234" s="1">
        <v>2</v>
      </c>
      <c r="Y234" s="1">
        <v>5</v>
      </c>
      <c r="Z234" s="1" t="s">
        <v>2027</v>
      </c>
      <c r="AA234" s="1" t="s">
        <v>2027</v>
      </c>
      <c r="AB234" s="1" t="s">
        <v>2027</v>
      </c>
      <c r="AC234" s="1" t="s">
        <v>2027</v>
      </c>
      <c r="AD234" s="1" t="s">
        <v>2027</v>
      </c>
      <c r="AE234" s="1" t="s">
        <v>2027</v>
      </c>
      <c r="AF234" s="1" t="s">
        <v>2027</v>
      </c>
      <c r="AG234" s="1" t="s">
        <v>2027</v>
      </c>
      <c r="AH234" s="1" t="s">
        <v>2027</v>
      </c>
      <c r="AI234" s="1" t="s">
        <v>2027</v>
      </c>
      <c r="AJ234" s="1" t="s">
        <v>2027</v>
      </c>
      <c r="AK234" s="1" t="s">
        <v>2027</v>
      </c>
      <c r="AL234" s="1" t="s">
        <v>2027</v>
      </c>
      <c r="AM234" s="1" t="s">
        <v>2027</v>
      </c>
      <c r="AN234" s="1" t="s">
        <v>2027</v>
      </c>
      <c r="AO234" s="31" t="s">
        <v>2027</v>
      </c>
      <c r="AP234" s="1" t="s">
        <v>2042</v>
      </c>
      <c r="AQ234" s="1">
        <v>4</v>
      </c>
      <c r="AR234" s="32">
        <v>0.54</v>
      </c>
      <c r="AS234" s="45" t="s">
        <v>2029</v>
      </c>
      <c r="AT234" s="9">
        <f>($O$3*(L234-$O$1)/$O$2+$P$3*(M234-$P$1)/$P$2+$Q$3*(N234-$P$1)/$Q$2)/SUM($O$3:$Q$3)</f>
        <v>-1.9204977641682581</v>
      </c>
      <c r="AU234" s="9">
        <f>($O$3*(O234-$O$1)/$O$2+$P$3*(P234-$P$1)/$P$2+$Q$3*(Q234-$Q$1)/$Q$2)/SUM($O$3:$Q$3)</f>
        <v>-0.35865866625050846</v>
      </c>
      <c r="AV234">
        <f>COUNT(R234:AO234)/2</f>
        <v>3</v>
      </c>
      <c r="AW234">
        <f>COUNTIF(R234:AO234,"&gt;5")/2</f>
        <v>0</v>
      </c>
      <c r="AX234" s="6">
        <f>VLOOKUP(AP234,COND!$A$10:$B$31,2,FALSE)</f>
        <v>1</v>
      </c>
      <c r="AY234" s="9">
        <f>($AT$3*AT234+$AU$3*AU234+$AV$3*AV234+$AW$3*AW234)*AX234*IF(AQ234&lt;5,0.95,IF(AQ234&lt;7,0.975,1))+$J$3*VLOOKUP(J234,[1]Con!$A$2:$C$7,2,FALSE)+$K$3*VLOOKUP(K234,[1]Con!$A$2:$C$7,3,FALSE)+IF(BA234="SP",$BA$3,0)</f>
        <v>18.24559076604837</v>
      </c>
      <c r="AZ234" s="37">
        <f>STANDARDIZE(AY234,AVERAGE($AY$5:$AY$1116),STDEVP($AY$5:$AY$1116))</f>
        <v>-1.2444347181579352</v>
      </c>
      <c r="BA234" t="str">
        <f>IF(OR(AND(AQ234&gt;7,AW234&gt;1),AND(AQ234&gt;4,AV234&gt;2)),"SP","RP")</f>
        <v>RP</v>
      </c>
      <c r="BC234">
        <f>VLOOKUP($A234,'Draft List'!$A$4:$V$530,22,FALSE)</f>
        <v>0</v>
      </c>
      <c r="BE234" t="str">
        <f>IF(AVERAGE($O234:$Q234)&gt;=6,"Likely",IF(AVERAGE($O234:$Q234)&gt;=4,"Possible","Unlikely"))</f>
        <v>Possible</v>
      </c>
      <c r="BG234" t="str">
        <f>IF(VLOOKUP($B234,'Draft List'!$D$4:$AB$2598,BG$3,FALSE)&lt;&gt;0,VLOOKUP($B234,'Draft List'!$D$4:$AB$2598,BG$3,FALSE),"")</f>
        <v/>
      </c>
      <c r="BH234" t="str">
        <f>IF(VLOOKUP($B234,'Draft List'!$D$4:$AB$2598,BH$3,FALSE)&lt;&gt;0,VLOOKUP($B234,'Draft List'!$D$4:$AB$2598,BH$3,FALSE),"")</f>
        <v/>
      </c>
      <c r="BI234" t="str">
        <f>IF(VLOOKUP($B234,'Draft List'!$D$4:$AB$2598,BI$3,FALSE)&lt;&gt;0,VLOOKUP($B234,'Draft List'!$D$4:$AB$2598,BI$3,FALSE),"")</f>
        <v/>
      </c>
      <c r="BJ234" t="str">
        <f>IF(OR(C234="SP",C234="MR",C234="CL"),"P",VLOOKUP($A234,Bat!$A$4:$AP$1287,42,FALSE))</f>
        <v>P</v>
      </c>
    </row>
    <row r="235" spans="1:62">
      <c r="A235" t="str">
        <f>C235&amp;D235&amp;E235</f>
        <v>MRDiego Chávez18</v>
      </c>
      <c r="B235">
        <f>VLOOKUP($A235,draft_listing_pitchers_stats!$A$1:$B$1324,2,FALSE)</f>
        <v>13753</v>
      </c>
      <c r="C235" s="1" t="s">
        <v>2021</v>
      </c>
      <c r="D235" s="1" t="s">
        <v>1186</v>
      </c>
      <c r="E235" s="1">
        <v>18</v>
      </c>
      <c r="F235" s="1" t="s">
        <v>2022</v>
      </c>
      <c r="G235" s="1" t="s">
        <v>2022</v>
      </c>
      <c r="H235" s="1" t="s">
        <v>2033</v>
      </c>
      <c r="I235" s="31" t="s">
        <v>2033</v>
      </c>
      <c r="J235" s="1" t="s">
        <v>2026</v>
      </c>
      <c r="K235" s="31" t="s">
        <v>2026</v>
      </c>
      <c r="L235" s="1">
        <v>1</v>
      </c>
      <c r="M235" s="1">
        <v>3</v>
      </c>
      <c r="N235" s="31">
        <v>1</v>
      </c>
      <c r="O235" s="1">
        <v>2</v>
      </c>
      <c r="P235" s="1">
        <v>4</v>
      </c>
      <c r="Q235" s="31">
        <v>4</v>
      </c>
      <c r="R235" s="1">
        <v>2</v>
      </c>
      <c r="S235" s="1">
        <v>3</v>
      </c>
      <c r="T235" s="1">
        <v>2</v>
      </c>
      <c r="U235" s="1">
        <v>3</v>
      </c>
      <c r="V235" s="1">
        <v>1</v>
      </c>
      <c r="W235" s="1">
        <v>3</v>
      </c>
      <c r="X235" s="1">
        <v>1</v>
      </c>
      <c r="Y235" s="1">
        <v>3</v>
      </c>
      <c r="Z235" s="1" t="s">
        <v>2027</v>
      </c>
      <c r="AA235" s="1" t="s">
        <v>2027</v>
      </c>
      <c r="AB235" s="1" t="s">
        <v>2027</v>
      </c>
      <c r="AC235" s="1" t="s">
        <v>2027</v>
      </c>
      <c r="AD235" s="1" t="s">
        <v>2027</v>
      </c>
      <c r="AE235" s="1" t="s">
        <v>2027</v>
      </c>
      <c r="AF235" s="1" t="s">
        <v>2027</v>
      </c>
      <c r="AG235" s="1" t="s">
        <v>2027</v>
      </c>
      <c r="AH235" s="1" t="s">
        <v>2027</v>
      </c>
      <c r="AI235" s="1" t="s">
        <v>2027</v>
      </c>
      <c r="AJ235" s="1" t="s">
        <v>2027</v>
      </c>
      <c r="AK235" s="1" t="s">
        <v>2027</v>
      </c>
      <c r="AL235" s="1" t="s">
        <v>2027</v>
      </c>
      <c r="AM235" s="1" t="s">
        <v>2027</v>
      </c>
      <c r="AN235" s="1" t="s">
        <v>2027</v>
      </c>
      <c r="AO235" s="31" t="s">
        <v>2027</v>
      </c>
      <c r="AP235" s="1" t="s">
        <v>2037</v>
      </c>
      <c r="AQ235" s="1">
        <v>3</v>
      </c>
      <c r="AR235" s="32">
        <v>0.41</v>
      </c>
      <c r="AS235" s="45" t="s">
        <v>2029</v>
      </c>
      <c r="AT235" s="9">
        <f>($O$3*(L235-$O$1)/$O$2+$P$3*(M235-$P$1)/$P$2+$Q$3*(N235-$P$1)/$Q$2)/SUM($O$3:$Q$3)</f>
        <v>-2.310620805107487</v>
      </c>
      <c r="AU235" s="9">
        <f>($O$3*(O235-$O$1)/$O$2+$P$3*(P235-$P$1)/$P$2+$Q$3*(Q235-$Q$1)/$Q$2)/SUM($O$3:$Q$3)</f>
        <v>-0.74804131526885542</v>
      </c>
      <c r="AV235">
        <f>COUNT(R235:AO235)/2</f>
        <v>4</v>
      </c>
      <c r="AW235">
        <f>COUNTIF(R235:AO235,"&gt;5")/2</f>
        <v>0</v>
      </c>
      <c r="AX235" s="6">
        <f>VLOOKUP(AP235,COND!$A$10:$B$31,2,FALSE)</f>
        <v>0.85</v>
      </c>
      <c r="AY235" s="9">
        <f>($AT$3*AT235+$AU$3*AU235+$AV$3*AV235+$AW$3*AW235)*AX235*IF(AQ235&lt;5,0.95,IF(AQ235&lt;7,0.975,1))+$J$3*VLOOKUP(J235,[1]Con!$A$2:$C$7,2,FALSE)+$K$3*VLOOKUP(K235,[1]Con!$A$2:$C$7,3,FALSE)+IF(BA235="SP",$BA$3,0)</f>
        <v>17.660967498383126</v>
      </c>
      <c r="AZ235" s="37">
        <f>STANDARDIZE(AY235,AVERAGE($AY$5:$AY$1116),STDEVP($AY$5:$AY$1116))</f>
        <v>-1.2908459367996861</v>
      </c>
      <c r="BA235" t="str">
        <f>IF(OR(AND(AQ235&gt;7,AW235&gt;1),AND(AQ235&gt;4,AV235&gt;2)),"SP","RP")</f>
        <v>RP</v>
      </c>
      <c r="BC235">
        <f>VLOOKUP($A235,'Draft List'!$A$4:$V$530,22,FALSE)</f>
        <v>0</v>
      </c>
      <c r="BE235" t="str">
        <f>IF(AVERAGE($O235:$Q235)&gt;=6,"Likely",IF(AVERAGE($O235:$Q235)&gt;=4,"Possible","Unlikely"))</f>
        <v>Unlikely</v>
      </c>
      <c r="BG235" t="str">
        <f>IF(VLOOKUP($B235,'Draft List'!$D$4:$AB$2598,BG$3,FALSE)&lt;&gt;0,VLOOKUP($B235,'Draft List'!$D$4:$AB$2598,BG$3,FALSE),"")</f>
        <v/>
      </c>
      <c r="BH235" t="str">
        <f>IF(VLOOKUP($B235,'Draft List'!$D$4:$AB$2598,BH$3,FALSE)&lt;&gt;0,VLOOKUP($B235,'Draft List'!$D$4:$AB$2598,BH$3,FALSE),"")</f>
        <v/>
      </c>
      <c r="BI235" t="str">
        <f>IF(VLOOKUP($B235,'Draft List'!$D$4:$AB$2598,BI$3,FALSE)&lt;&gt;0,VLOOKUP($B235,'Draft List'!$D$4:$AB$2598,BI$3,FALSE),"")</f>
        <v/>
      </c>
      <c r="BJ235" t="str">
        <f>IF(OR(C235="SP",C235="MR",C235="CL"),"P",VLOOKUP($A235,Bat!$A$4:$AP$1287,42,FALSE))</f>
        <v>P</v>
      </c>
    </row>
    <row r="236" spans="1:62">
      <c r="A236" t="str">
        <f>C236&amp;D236&amp;E236</f>
        <v>SPSteven Franklin21</v>
      </c>
      <c r="B236" t="e">
        <f>VLOOKUP($A236,draft_listing_pitchers_stats!$A$1:$B$1324,2,FALSE)</f>
        <v>#N/A</v>
      </c>
      <c r="C236" s="1" t="s">
        <v>2003</v>
      </c>
      <c r="D236" s="1" t="s">
        <v>994</v>
      </c>
      <c r="E236" s="1">
        <v>21</v>
      </c>
      <c r="F236" s="1" t="s">
        <v>2022</v>
      </c>
      <c r="G236" s="1" t="s">
        <v>2022</v>
      </c>
      <c r="H236" s="1" t="s">
        <v>2033</v>
      </c>
      <c r="I236" s="31" t="s">
        <v>2033</v>
      </c>
      <c r="J236" s="1" t="s">
        <v>2030</v>
      </c>
      <c r="K236" s="31" t="s">
        <v>2040</v>
      </c>
      <c r="L236" s="1">
        <v>4</v>
      </c>
      <c r="M236" s="1">
        <v>4</v>
      </c>
      <c r="N236" s="31">
        <v>1</v>
      </c>
      <c r="O236" s="1">
        <v>5</v>
      </c>
      <c r="P236" s="1">
        <v>4</v>
      </c>
      <c r="Q236" s="31">
        <v>2</v>
      </c>
      <c r="R236" s="1">
        <v>4</v>
      </c>
      <c r="S236" s="1">
        <v>5</v>
      </c>
      <c r="T236" s="1">
        <v>2</v>
      </c>
      <c r="U236" s="1">
        <v>2</v>
      </c>
      <c r="V236" s="1">
        <v>3</v>
      </c>
      <c r="W236" s="1">
        <v>3</v>
      </c>
      <c r="X236" s="1">
        <v>4</v>
      </c>
      <c r="Y236" s="1">
        <v>5</v>
      </c>
      <c r="Z236" s="1" t="s">
        <v>2027</v>
      </c>
      <c r="AA236" s="1" t="s">
        <v>2027</v>
      </c>
      <c r="AB236" s="1" t="s">
        <v>2027</v>
      </c>
      <c r="AC236" s="1" t="s">
        <v>2027</v>
      </c>
      <c r="AD236" s="1" t="s">
        <v>2027</v>
      </c>
      <c r="AE236" s="1" t="s">
        <v>2027</v>
      </c>
      <c r="AF236" s="1">
        <v>4</v>
      </c>
      <c r="AG236" s="1">
        <v>5</v>
      </c>
      <c r="AH236" s="1" t="s">
        <v>2027</v>
      </c>
      <c r="AI236" s="1" t="s">
        <v>2027</v>
      </c>
      <c r="AJ236" s="1" t="s">
        <v>2027</v>
      </c>
      <c r="AK236" s="1" t="s">
        <v>2027</v>
      </c>
      <c r="AL236" s="1" t="s">
        <v>2027</v>
      </c>
      <c r="AM236" s="1" t="s">
        <v>2027</v>
      </c>
      <c r="AN236" s="1" t="s">
        <v>2027</v>
      </c>
      <c r="AO236" s="31" t="s">
        <v>2027</v>
      </c>
      <c r="AP236" s="1" t="s">
        <v>2042</v>
      </c>
      <c r="AQ236" s="1">
        <v>4</v>
      </c>
      <c r="AR236" s="32">
        <v>0.55000000000000004</v>
      </c>
      <c r="AS236" s="45" t="s">
        <v>2029</v>
      </c>
      <c r="AT236" s="9">
        <f>($O$3*(L236-$O$1)/$O$2+$P$3*(M236-$P$1)/$P$2+$Q$3*(N236-$P$1)/$Q$2)/SUM($O$3:$Q$3)</f>
        <v>-1.5311151151499114</v>
      </c>
      <c r="AU236" s="9">
        <f>($O$3*(O236-$O$1)/$O$2+$P$3*(P236-$P$1)/$P$2+$Q$3*(Q236-$Q$1)/$Q$2)/SUM($O$3:$Q$3)</f>
        <v>-0.64860847384955567</v>
      </c>
      <c r="AV236">
        <f>COUNT(R236:AO236)/2</f>
        <v>5</v>
      </c>
      <c r="AW236">
        <f>COUNTIF(R236:AO236,"&gt;5")/2</f>
        <v>0</v>
      </c>
      <c r="AX236" s="6">
        <f>VLOOKUP(AP236,COND!$A$10:$B$31,2,FALSE)</f>
        <v>1</v>
      </c>
      <c r="AY236" s="9">
        <f>($AT$3*AT236+$AU$3*AU236+$AV$3*AV236+$AW$3*AW236)*AX236*IF(AQ236&lt;5,0.95,IF(AQ236&lt;7,0.975,1))+$J$3*VLOOKUP(J236,[1]Con!$A$2:$C$7,2,FALSE)+$K$3*VLOOKUP(K236,[1]Con!$A$2:$C$7,3,FALSE)+IF(BA236="SP",$BA$3,0)</f>
        <v>17.510527124979959</v>
      </c>
      <c r="AZ236" s="37">
        <f>STANDARDIZE(AY236,AVERAGE($AY$5:$AY$1116),STDEVP($AY$5:$AY$1116))</f>
        <v>-1.3027888775766499</v>
      </c>
      <c r="BA236" t="str">
        <f>IF(OR(AND(AQ236&gt;7,AW236&gt;1),AND(AQ236&gt;4,AV236&gt;2)),"SP","RP")</f>
        <v>RP</v>
      </c>
      <c r="BC236" t="e">
        <f>VLOOKUP($A236,'Draft List'!$A$4:$V$530,22,FALSE)</f>
        <v>#N/A</v>
      </c>
      <c r="BE236" t="str">
        <f>IF(AVERAGE($O236:$Q236)&gt;=6,"Likely",IF(AVERAGE($O236:$Q236)&gt;=4,"Possible","Unlikely"))</f>
        <v>Unlikely</v>
      </c>
      <c r="BG236" t="e">
        <f>IF(VLOOKUP($B236,'Draft List'!$D$4:$AB$2598,BG$3,FALSE)&lt;&gt;0,VLOOKUP($B236,'Draft List'!$D$4:$AB$2598,BG$3,FALSE),"")</f>
        <v>#N/A</v>
      </c>
      <c r="BH236" t="e">
        <f>IF(VLOOKUP($B236,'Draft List'!$D$4:$AB$2598,BH$3,FALSE)&lt;&gt;0,VLOOKUP($B236,'Draft List'!$D$4:$AB$2598,BH$3,FALSE),"")</f>
        <v>#N/A</v>
      </c>
      <c r="BI236" t="e">
        <f>IF(VLOOKUP($B236,'Draft List'!$D$4:$AB$2598,BI$3,FALSE)&lt;&gt;0,VLOOKUP($B236,'Draft List'!$D$4:$AB$2598,BI$3,FALSE),"")</f>
        <v>#N/A</v>
      </c>
      <c r="BJ236" t="str">
        <f>IF(OR(C236="SP",C236="MR",C236="CL"),"P",VLOOKUP($A236,Bat!$A$4:$AP$1287,42,FALSE))</f>
        <v>P</v>
      </c>
    </row>
    <row r="237" spans="1:62">
      <c r="A237" t="str">
        <f>C237&amp;D237&amp;E237</f>
        <v>MRCorey Green18</v>
      </c>
      <c r="B237">
        <f>VLOOKUP($A237,draft_listing_pitchers_stats!$A$1:$B$1324,2,FALSE)</f>
        <v>13794</v>
      </c>
      <c r="C237" s="1" t="s">
        <v>2021</v>
      </c>
      <c r="D237" s="1" t="s">
        <v>999</v>
      </c>
      <c r="E237" s="1">
        <v>18</v>
      </c>
      <c r="F237" s="1" t="s">
        <v>2022</v>
      </c>
      <c r="G237" s="1" t="s">
        <v>2022</v>
      </c>
      <c r="H237" s="1" t="s">
        <v>2033</v>
      </c>
      <c r="I237" s="31" t="s">
        <v>2033</v>
      </c>
      <c r="J237" s="1" t="s">
        <v>2026</v>
      </c>
      <c r="K237" s="31" t="s">
        <v>2040</v>
      </c>
      <c r="L237" s="1">
        <v>2</v>
      </c>
      <c r="M237" s="1">
        <v>4</v>
      </c>
      <c r="N237" s="31">
        <v>1</v>
      </c>
      <c r="O237" s="1">
        <v>3</v>
      </c>
      <c r="P237" s="1">
        <v>4</v>
      </c>
      <c r="Q237" s="31">
        <v>4</v>
      </c>
      <c r="R237" s="1">
        <v>3</v>
      </c>
      <c r="S237" s="1">
        <v>3</v>
      </c>
      <c r="T237" s="1">
        <v>1</v>
      </c>
      <c r="U237" s="1">
        <v>1</v>
      </c>
      <c r="V237" s="1" t="s">
        <v>2027</v>
      </c>
      <c r="W237" s="1" t="s">
        <v>2027</v>
      </c>
      <c r="X237" s="1">
        <v>2</v>
      </c>
      <c r="Y237" s="1">
        <v>2</v>
      </c>
      <c r="Z237" s="1" t="s">
        <v>2027</v>
      </c>
      <c r="AA237" s="1" t="s">
        <v>2027</v>
      </c>
      <c r="AB237" s="1" t="s">
        <v>2027</v>
      </c>
      <c r="AC237" s="1" t="s">
        <v>2027</v>
      </c>
      <c r="AD237" s="1" t="s">
        <v>2027</v>
      </c>
      <c r="AE237" s="1" t="s">
        <v>2027</v>
      </c>
      <c r="AF237" s="1">
        <v>3</v>
      </c>
      <c r="AG237" s="1">
        <v>3</v>
      </c>
      <c r="AH237" s="1" t="s">
        <v>2027</v>
      </c>
      <c r="AI237" s="1" t="s">
        <v>2027</v>
      </c>
      <c r="AJ237" s="1" t="s">
        <v>2027</v>
      </c>
      <c r="AK237" s="1" t="s">
        <v>2027</v>
      </c>
      <c r="AL237" s="1" t="s">
        <v>2027</v>
      </c>
      <c r="AM237" s="1" t="s">
        <v>2027</v>
      </c>
      <c r="AN237" s="1" t="s">
        <v>2027</v>
      </c>
      <c r="AO237" s="31" t="s">
        <v>2027</v>
      </c>
      <c r="AP237" s="1" t="s">
        <v>2054</v>
      </c>
      <c r="AQ237" s="1">
        <v>4</v>
      </c>
      <c r="AR237" s="32">
        <v>0.48</v>
      </c>
      <c r="AS237" s="45" t="s">
        <v>2029</v>
      </c>
      <c r="AT237" s="9">
        <f>($O$3*(L237-$O$1)/$O$2+$P$3*(M237-$P$1)/$P$2+$Q$3*(N237-$P$1)/$Q$2)/SUM($O$3:$Q$3)</f>
        <v>-1.9204977641682581</v>
      </c>
      <c r="AU237" s="9">
        <f>($O$3*(O237-$O$1)/$O$2+$P$3*(P237-$P$1)/$P$2+$Q$3*(Q237-$Q$1)/$Q$2)/SUM($O$3:$Q$3)</f>
        <v>-0.55334999075968205</v>
      </c>
      <c r="AV237">
        <f>COUNT(R237:AO237)/2</f>
        <v>4</v>
      </c>
      <c r="AW237">
        <f>COUNTIF(R237:AO237,"&gt;5")/2</f>
        <v>0</v>
      </c>
      <c r="AX237" s="6">
        <f>VLOOKUP(AP237,COND!$A$10:$B$31,2,FALSE)</f>
        <v>1</v>
      </c>
      <c r="AY237" s="9">
        <f>($AT$3*AT237+$AU$3*AU237+$AV$3*AV237+$AW$3*AW237)*AX237*IF(AQ237&lt;5,0.95,IF(AQ237&lt;7,0.975,1))+$J$3*VLOOKUP(J237,[1]Con!$A$2:$C$7,2,FALSE)+$K$3*VLOOKUP(K237,[1]Con!$A$2:$C$7,3,FALSE)+IF(BA237="SP",$BA$3,0)</f>
        <v>17.271455600374072</v>
      </c>
      <c r="AZ237" s="37">
        <f>STANDARDIZE(AY237,AVERAGE($AY$5:$AY$1116),STDEVP($AY$5:$AY$1116))</f>
        <v>-1.3217679388169115</v>
      </c>
      <c r="BA237" t="str">
        <f>IF(OR(AND(AQ237&gt;7,AW237&gt;1),AND(AQ237&gt;4,AV237&gt;2)),"SP","RP")</f>
        <v>RP</v>
      </c>
      <c r="BC237">
        <f>VLOOKUP($A237,'Draft List'!$A$4:$V$530,22,FALSE)</f>
        <v>0</v>
      </c>
      <c r="BE237" t="str">
        <f>IF(AVERAGE($O237:$Q237)&gt;=6,"Likely",IF(AVERAGE($O237:$Q237)&gt;=4,"Possible","Unlikely"))</f>
        <v>Unlikely</v>
      </c>
      <c r="BG237" t="str">
        <f>IF(VLOOKUP($B237,'Draft List'!$D$4:$AB$2598,BG$3,FALSE)&lt;&gt;0,VLOOKUP($B237,'Draft List'!$D$4:$AB$2598,BG$3,FALSE),"")</f>
        <v/>
      </c>
      <c r="BH237" t="str">
        <f>IF(VLOOKUP($B237,'Draft List'!$D$4:$AB$2598,BH$3,FALSE)&lt;&gt;0,VLOOKUP($B237,'Draft List'!$D$4:$AB$2598,BH$3,FALSE),"")</f>
        <v/>
      </c>
      <c r="BI237" t="str">
        <f>IF(VLOOKUP($B237,'Draft List'!$D$4:$AB$2598,BI$3,FALSE)&lt;&gt;0,VLOOKUP($B237,'Draft List'!$D$4:$AB$2598,BI$3,FALSE),"")</f>
        <v/>
      </c>
      <c r="BJ237" t="str">
        <f>IF(OR(C237="SP",C237="MR",C237="CL"),"P",VLOOKUP($A237,Bat!$A$4:$AP$1287,42,FALSE))</f>
        <v>P</v>
      </c>
    </row>
    <row r="238" spans="1:62">
      <c r="A238" t="str">
        <f>C238&amp;D238&amp;E238</f>
        <v>MRRudy Barber21</v>
      </c>
      <c r="B238">
        <f>VLOOKUP($A238,draft_listing_pitchers_stats!$A$1:$B$1324,2,FALSE)</f>
        <v>2672</v>
      </c>
      <c r="C238" s="1" t="s">
        <v>2021</v>
      </c>
      <c r="D238" s="1" t="s">
        <v>1169</v>
      </c>
      <c r="E238" s="1">
        <v>21</v>
      </c>
      <c r="F238" s="1" t="s">
        <v>2022</v>
      </c>
      <c r="G238" s="1" t="s">
        <v>2022</v>
      </c>
      <c r="H238" s="1" t="s">
        <v>2033</v>
      </c>
      <c r="I238" s="31" t="s">
        <v>2033</v>
      </c>
      <c r="J238" s="1" t="s">
        <v>2040</v>
      </c>
      <c r="K238" s="31" t="s">
        <v>2030</v>
      </c>
      <c r="L238" s="1">
        <v>4</v>
      </c>
      <c r="M238" s="1">
        <v>3</v>
      </c>
      <c r="N238" s="31">
        <v>2</v>
      </c>
      <c r="O238" s="1">
        <v>5</v>
      </c>
      <c r="P238" s="1">
        <v>3</v>
      </c>
      <c r="Q238" s="31">
        <v>3</v>
      </c>
      <c r="R238" s="1">
        <v>5</v>
      </c>
      <c r="S238" s="1">
        <v>5</v>
      </c>
      <c r="T238" s="1">
        <v>3</v>
      </c>
      <c r="U238" s="1">
        <v>5</v>
      </c>
      <c r="V238" s="1" t="s">
        <v>2027</v>
      </c>
      <c r="W238" s="1" t="s">
        <v>2027</v>
      </c>
      <c r="X238" s="1" t="s">
        <v>2027</v>
      </c>
      <c r="Y238" s="1" t="s">
        <v>2027</v>
      </c>
      <c r="Z238" s="1" t="s">
        <v>2027</v>
      </c>
      <c r="AA238" s="1" t="s">
        <v>2027</v>
      </c>
      <c r="AB238" s="1" t="s">
        <v>2027</v>
      </c>
      <c r="AC238" s="1" t="s">
        <v>2027</v>
      </c>
      <c r="AD238" s="1" t="s">
        <v>2027</v>
      </c>
      <c r="AE238" s="1" t="s">
        <v>2027</v>
      </c>
      <c r="AF238" s="1" t="s">
        <v>2027</v>
      </c>
      <c r="AG238" s="1" t="s">
        <v>2027</v>
      </c>
      <c r="AH238" s="1" t="s">
        <v>2027</v>
      </c>
      <c r="AI238" s="1" t="s">
        <v>2027</v>
      </c>
      <c r="AJ238" s="1" t="s">
        <v>2027</v>
      </c>
      <c r="AK238" s="1" t="s">
        <v>2027</v>
      </c>
      <c r="AL238" s="1" t="s">
        <v>2027</v>
      </c>
      <c r="AM238" s="1" t="s">
        <v>2027</v>
      </c>
      <c r="AN238" s="1" t="s">
        <v>2027</v>
      </c>
      <c r="AO238" s="31" t="s">
        <v>2027</v>
      </c>
      <c r="AP238" s="1" t="s">
        <v>2042</v>
      </c>
      <c r="AQ238" s="1">
        <v>2</v>
      </c>
      <c r="AR238" s="32">
        <v>0.43</v>
      </c>
      <c r="AS238" s="45" t="s">
        <v>2029</v>
      </c>
      <c r="AT238" s="9">
        <f>($O$3*(L238-$O$1)/$O$2+$P$3*(M238-$P$1)/$P$2+$Q$3*(N238-$P$1)/$Q$2)/SUM($O$3:$Q$3)</f>
        <v>-1.4842262655258562</v>
      </c>
      <c r="AU238" s="9">
        <f>($O$3*(O238-$O$1)/$O$2+$P$3*(P238-$P$1)/$P$2+$Q$3*(Q238-$Q$1)/$Q$2)/SUM($O$3:$Q$3)</f>
        <v>-0.60171962422550074</v>
      </c>
      <c r="AV238">
        <f>COUNT(R238:AO238)/2</f>
        <v>2</v>
      </c>
      <c r="AW238">
        <f>COUNTIF(R238:AO238,"&gt;5")/2</f>
        <v>0</v>
      </c>
      <c r="AX238" s="6">
        <f>VLOOKUP(AP238,COND!$A$10:$B$31,2,FALSE)</f>
        <v>1</v>
      </c>
      <c r="AY238" s="9">
        <f>($AT$3*AT238+$AU$3*AU238+$AV$3*AV238+$AW$3*AW238)*AX238*IF(AQ238&lt;5,0.95,IF(AQ238&lt;7,0.975,1))+$J$3*VLOOKUP(J238,[1]Con!$A$2:$C$7,2,FALSE)+$K$3*VLOOKUP(K238,[1]Con!$A$2:$C$7,3,FALSE)+IF(BA238="SP",$BA$3,0)</f>
        <v>16.985324149265573</v>
      </c>
      <c r="AZ238" s="37">
        <f>STANDARDIZE(AY238,AVERAGE($AY$5:$AY$1116),STDEVP($AY$5:$AY$1116))</f>
        <v>-1.3444829248124432</v>
      </c>
      <c r="BA238" t="str">
        <f>IF(OR(AND(AQ238&gt;7,AW238&gt;1),AND(AQ238&gt;4,AV238&gt;2)),"SP","RP")</f>
        <v>RP</v>
      </c>
      <c r="BC238">
        <f>VLOOKUP($A238,'Draft List'!$A$4:$V$530,22,FALSE)</f>
        <v>0</v>
      </c>
      <c r="BE238" t="str">
        <f>IF(AVERAGE($O238:$Q238)&gt;=6,"Likely",IF(AVERAGE($O238:$Q238)&gt;=4,"Possible","Unlikely"))</f>
        <v>Unlikely</v>
      </c>
      <c r="BG238" t="str">
        <f>IF(VLOOKUP($B238,'Draft List'!$D$4:$AB$2598,BG$3,FALSE)&lt;&gt;0,VLOOKUP($B238,'Draft List'!$D$4:$AB$2598,BG$3,FALSE),"")</f>
        <v/>
      </c>
      <c r="BH238" t="str">
        <f>IF(VLOOKUP($B238,'Draft List'!$D$4:$AB$2598,BH$3,FALSE)&lt;&gt;0,VLOOKUP($B238,'Draft List'!$D$4:$AB$2598,BH$3,FALSE),"")</f>
        <v/>
      </c>
      <c r="BI238" t="str">
        <f>IF(VLOOKUP($B238,'Draft List'!$D$4:$AB$2598,BI$3,FALSE)&lt;&gt;0,VLOOKUP($B238,'Draft List'!$D$4:$AB$2598,BI$3,FALSE),"")</f>
        <v/>
      </c>
      <c r="BJ238" t="str">
        <f>IF(OR(C238="SP",C238="MR",C238="CL"),"P",VLOOKUP($A238,Bat!$A$4:$AP$1287,42,FALSE))</f>
        <v>P</v>
      </c>
    </row>
    <row r="239" spans="1:62">
      <c r="A239" t="str">
        <f>C239&amp;D239&amp;E239</f>
        <v>MREd Logan21</v>
      </c>
      <c r="B239">
        <f>VLOOKUP($A239,draft_listing_pitchers_stats!$A$1:$B$1324,2,FALSE)</f>
        <v>4043</v>
      </c>
      <c r="C239" s="1" t="s">
        <v>2021</v>
      </c>
      <c r="D239" s="1" t="s">
        <v>1021</v>
      </c>
      <c r="E239" s="1">
        <v>21</v>
      </c>
      <c r="F239" s="1" t="s">
        <v>2049</v>
      </c>
      <c r="G239" s="1" t="s">
        <v>2022</v>
      </c>
      <c r="H239" s="1" t="s">
        <v>2033</v>
      </c>
      <c r="I239" s="31" t="s">
        <v>2033</v>
      </c>
      <c r="J239" s="1" t="s">
        <v>2040</v>
      </c>
      <c r="K239" s="31" t="s">
        <v>2040</v>
      </c>
      <c r="L239" s="1">
        <v>4</v>
      </c>
      <c r="M239" s="1">
        <v>3</v>
      </c>
      <c r="N239" s="31">
        <v>1</v>
      </c>
      <c r="O239" s="1">
        <v>4</v>
      </c>
      <c r="P239" s="1">
        <v>3</v>
      </c>
      <c r="Q239" s="31">
        <v>4</v>
      </c>
      <c r="R239" s="1">
        <v>5</v>
      </c>
      <c r="S239" s="1">
        <v>5</v>
      </c>
      <c r="T239" s="1">
        <v>1</v>
      </c>
      <c r="U239" s="1">
        <v>1</v>
      </c>
      <c r="V239" s="1">
        <v>3</v>
      </c>
      <c r="W239" s="1">
        <v>4</v>
      </c>
      <c r="X239" s="1">
        <v>3</v>
      </c>
      <c r="Y239" s="1">
        <v>4</v>
      </c>
      <c r="Z239" s="1" t="s">
        <v>2027</v>
      </c>
      <c r="AA239" s="1" t="s">
        <v>2027</v>
      </c>
      <c r="AB239" s="1" t="s">
        <v>2027</v>
      </c>
      <c r="AC239" s="1" t="s">
        <v>2027</v>
      </c>
      <c r="AD239" s="1" t="s">
        <v>2027</v>
      </c>
      <c r="AE239" s="1" t="s">
        <v>2027</v>
      </c>
      <c r="AF239" s="1" t="s">
        <v>2027</v>
      </c>
      <c r="AG239" s="1" t="s">
        <v>2027</v>
      </c>
      <c r="AH239" s="1" t="s">
        <v>2027</v>
      </c>
      <c r="AI239" s="1" t="s">
        <v>2027</v>
      </c>
      <c r="AJ239" s="1" t="s">
        <v>2027</v>
      </c>
      <c r="AK239" s="1" t="s">
        <v>2027</v>
      </c>
      <c r="AL239" s="1" t="s">
        <v>2027</v>
      </c>
      <c r="AM239" s="1" t="s">
        <v>2027</v>
      </c>
      <c r="AN239" s="1" t="s">
        <v>2027</v>
      </c>
      <c r="AO239" s="31" t="s">
        <v>2027</v>
      </c>
      <c r="AP239" s="1" t="s">
        <v>2044</v>
      </c>
      <c r="AQ239" s="1">
        <v>5</v>
      </c>
      <c r="AR239" s="32">
        <v>0.37</v>
      </c>
      <c r="AS239" s="45" t="s">
        <v>2029</v>
      </c>
      <c r="AT239" s="9">
        <f>($O$3*(L239-$O$1)/$O$2+$P$3*(M239-$P$1)/$P$2+$Q$3*(N239-$P$1)/$Q$2)/SUM($O$3:$Q$3)</f>
        <v>-1.7265468315799666</v>
      </c>
      <c r="AU239" s="9">
        <f>($O$3*(O239-$O$1)/$O$2+$P$3*(P239-$P$1)/$P$2+$Q$3*(Q239-$Q$1)/$Q$2)/SUM($O$3:$Q$3)</f>
        <v>-0.55409038268056388</v>
      </c>
      <c r="AV239">
        <f>COUNT(R239:AO239)/2</f>
        <v>4</v>
      </c>
      <c r="AW239">
        <f>COUNTIF(R239:AO239,"&gt;5")/2</f>
        <v>0</v>
      </c>
      <c r="AX239" s="6">
        <f>VLOOKUP(AP239,COND!$A$10:$B$31,2,FALSE)</f>
        <v>1</v>
      </c>
      <c r="AY239" s="9">
        <f>($AT$3*AT239+$AU$3*AU239+$AV$3*AV239+$AW$3*AW239)*AX239*IF(AQ239&lt;5,0.95,IF(AQ239&lt;7,0.975,1))+$J$3*VLOOKUP(J239,[1]Con!$A$2:$C$7,2,FALSE)+$K$3*VLOOKUP(K239,[1]Con!$A$2:$C$7,3,FALSE)+IF(BA239="SP",$BA$3,0)</f>
        <v>16.808560905570911</v>
      </c>
      <c r="AZ239" s="37">
        <f>STANDARDIZE(AY239,AVERAGE($AY$5:$AY$1116),STDEVP($AY$5:$AY$1116))</f>
        <v>-1.3585155471945471</v>
      </c>
      <c r="BA239" t="str">
        <f>IF(OR(AND(AQ239&gt;7,AW239&gt;1),AND(AQ239&gt;4,AV239&gt;2)),"SP","RP")</f>
        <v>SP</v>
      </c>
      <c r="BC239">
        <f>VLOOKUP($A239,'Draft List'!$A$4:$V$530,22,FALSE)</f>
        <v>0</v>
      </c>
      <c r="BE239" t="str">
        <f>IF(AVERAGE($O239:$Q239)&gt;=6,"Likely",IF(AVERAGE($O239:$Q239)&gt;=4,"Possible","Unlikely"))</f>
        <v>Unlikely</v>
      </c>
      <c r="BG239" t="str">
        <f>IF(VLOOKUP($B239,'Draft List'!$D$4:$AB$2598,BG$3,FALSE)&lt;&gt;0,VLOOKUP($B239,'Draft List'!$D$4:$AB$2598,BG$3,FALSE),"")</f>
        <v/>
      </c>
      <c r="BH239" t="str">
        <f>IF(VLOOKUP($B239,'Draft List'!$D$4:$AB$2598,BH$3,FALSE)&lt;&gt;0,VLOOKUP($B239,'Draft List'!$D$4:$AB$2598,BH$3,FALSE),"")</f>
        <v/>
      </c>
      <c r="BI239" t="str">
        <f>IF(VLOOKUP($B239,'Draft List'!$D$4:$AB$2598,BI$3,FALSE)&lt;&gt;0,VLOOKUP($B239,'Draft List'!$D$4:$AB$2598,BI$3,FALSE),"")</f>
        <v/>
      </c>
      <c r="BJ239" t="str">
        <f>IF(OR(C239="SP",C239="MR",C239="CL"),"P",VLOOKUP($A239,Bat!$A$4:$AP$1287,42,FALSE))</f>
        <v>P</v>
      </c>
    </row>
    <row r="240" spans="1:62">
      <c r="A240" t="str">
        <f>C240&amp;D240&amp;E240</f>
        <v>MRPancho González21</v>
      </c>
      <c r="B240">
        <f>VLOOKUP($A240,draft_listing_pitchers_stats!$A$1:$B$1324,2,FALSE)</f>
        <v>2295</v>
      </c>
      <c r="C240" s="1" t="s">
        <v>2021</v>
      </c>
      <c r="D240" s="1" t="s">
        <v>998</v>
      </c>
      <c r="E240" s="1">
        <v>21</v>
      </c>
      <c r="F240" s="1" t="s">
        <v>2022</v>
      </c>
      <c r="G240" s="1" t="s">
        <v>2038</v>
      </c>
      <c r="H240" s="1" t="s">
        <v>2033</v>
      </c>
      <c r="I240" s="31" t="s">
        <v>2033</v>
      </c>
      <c r="J240" s="1" t="s">
        <v>2040</v>
      </c>
      <c r="K240" s="31" t="s">
        <v>2030</v>
      </c>
      <c r="L240" s="1">
        <v>4</v>
      </c>
      <c r="M240" s="1">
        <v>4</v>
      </c>
      <c r="N240" s="31">
        <v>1</v>
      </c>
      <c r="O240" s="1">
        <v>4</v>
      </c>
      <c r="P240" s="1">
        <v>4</v>
      </c>
      <c r="Q240" s="31">
        <v>3</v>
      </c>
      <c r="R240" s="1">
        <v>4</v>
      </c>
      <c r="S240" s="1">
        <v>5</v>
      </c>
      <c r="T240" s="1" t="s">
        <v>2027</v>
      </c>
      <c r="U240" s="1" t="s">
        <v>2027</v>
      </c>
      <c r="V240" s="1">
        <v>4</v>
      </c>
      <c r="W240" s="1">
        <v>4</v>
      </c>
      <c r="X240" s="1" t="s">
        <v>2027</v>
      </c>
      <c r="Y240" s="1" t="s">
        <v>2027</v>
      </c>
      <c r="Z240" s="1" t="s">
        <v>2027</v>
      </c>
      <c r="AA240" s="1" t="s">
        <v>2027</v>
      </c>
      <c r="AB240" s="1" t="s">
        <v>2027</v>
      </c>
      <c r="AC240" s="1" t="s">
        <v>2027</v>
      </c>
      <c r="AD240" s="1" t="s">
        <v>2027</v>
      </c>
      <c r="AE240" s="1" t="s">
        <v>2027</v>
      </c>
      <c r="AF240" s="1" t="s">
        <v>2027</v>
      </c>
      <c r="AG240" s="1" t="s">
        <v>2027</v>
      </c>
      <c r="AH240" s="1" t="s">
        <v>2027</v>
      </c>
      <c r="AI240" s="1" t="s">
        <v>2027</v>
      </c>
      <c r="AJ240" s="1" t="s">
        <v>2027</v>
      </c>
      <c r="AK240" s="1" t="s">
        <v>2027</v>
      </c>
      <c r="AL240" s="1" t="s">
        <v>2027</v>
      </c>
      <c r="AM240" s="1" t="s">
        <v>2027</v>
      </c>
      <c r="AN240" s="1" t="s">
        <v>2027</v>
      </c>
      <c r="AO240" s="31" t="s">
        <v>2027</v>
      </c>
      <c r="AP240" s="1" t="s">
        <v>2041</v>
      </c>
      <c r="AQ240" s="1">
        <v>7</v>
      </c>
      <c r="AR240" s="32">
        <v>0.49</v>
      </c>
      <c r="AS240" s="45" t="s">
        <v>2029</v>
      </c>
      <c r="AT240" s="9">
        <f>($O$3*(L240-$O$1)/$O$2+$P$3*(M240-$P$1)/$P$2+$Q$3*(N240-$P$1)/$Q$2)/SUM($O$3:$Q$3)</f>
        <v>-1.5311151151499114</v>
      </c>
      <c r="AU240" s="9">
        <f>($O$3*(O240-$O$1)/$O$2+$P$3*(P240-$P$1)/$P$2+$Q$3*(Q240-$Q$1)/$Q$2)/SUM($O$3:$Q$3)</f>
        <v>-0.6009792323046188</v>
      </c>
      <c r="AV240">
        <f>COUNT(R240:AO240)/2</f>
        <v>2</v>
      </c>
      <c r="AW240">
        <f>COUNTIF(R240:AO240,"&gt;5")/2</f>
        <v>0</v>
      </c>
      <c r="AX240" s="6">
        <f>VLOOKUP(AP240,COND!$A$10:$B$31,2,FALSE)</f>
        <v>1</v>
      </c>
      <c r="AY240" s="9">
        <f>($AT$3*AT240+$AU$3*AU240+$AV$3*AV240+$AW$3*AW240)*AX240*IF(AQ240&lt;5,0.95,IF(AQ240&lt;7,0.975,1))+$J$3*VLOOKUP(J240,[1]Con!$A$2:$C$7,2,FALSE)+$K$3*VLOOKUP(K240,[1]Con!$A$2:$C$7,3,FALSE)+IF(BA240="SP",$BA$3,0)</f>
        <v>16.424192330877641</v>
      </c>
      <c r="AZ240" s="37">
        <f>STANDARDIZE(AY240,AVERAGE($AY$5:$AY$1116),STDEVP($AY$5:$AY$1116))</f>
        <v>-1.3890292385677105</v>
      </c>
      <c r="BA240" t="str">
        <f>IF(OR(AND(AQ240&gt;7,AW240&gt;1),AND(AQ240&gt;4,AV240&gt;2)),"SP","RP")</f>
        <v>RP</v>
      </c>
      <c r="BC240">
        <f>VLOOKUP($A240,'Draft List'!$A$4:$V$530,22,FALSE)</f>
        <v>0</v>
      </c>
      <c r="BE240" t="str">
        <f>IF(AVERAGE($O240:$Q240)&gt;=6,"Likely",IF(AVERAGE($O240:$Q240)&gt;=4,"Possible","Unlikely"))</f>
        <v>Unlikely</v>
      </c>
      <c r="BG240" t="str">
        <f>IF(VLOOKUP($B240,'Draft List'!$D$4:$AB$2598,BG$3,FALSE)&lt;&gt;0,VLOOKUP($B240,'Draft List'!$D$4:$AB$2598,BG$3,FALSE),"")</f>
        <v/>
      </c>
      <c r="BH240" t="str">
        <f>IF(VLOOKUP($B240,'Draft List'!$D$4:$AB$2598,BH$3,FALSE)&lt;&gt;0,VLOOKUP($B240,'Draft List'!$D$4:$AB$2598,BH$3,FALSE),"")</f>
        <v/>
      </c>
      <c r="BI240" t="str">
        <f>IF(VLOOKUP($B240,'Draft List'!$D$4:$AB$2598,BI$3,FALSE)&lt;&gt;0,VLOOKUP($B240,'Draft List'!$D$4:$AB$2598,BI$3,FALSE),"")</f>
        <v/>
      </c>
      <c r="BJ240" t="str">
        <f>IF(OR(C240="SP",C240="MR",C240="CL"),"P",VLOOKUP($A240,Bat!$A$4:$AP$1287,42,FALSE))</f>
        <v>P</v>
      </c>
    </row>
    <row r="241" spans="1:62">
      <c r="A241" t="str">
        <f>C241&amp;D241&amp;E241</f>
        <v>MRKen Charles18</v>
      </c>
      <c r="B241">
        <f>VLOOKUP($A241,draft_listing_pitchers_stats!$A$1:$B$1324,2,FALSE)</f>
        <v>13775</v>
      </c>
      <c r="C241" s="1" t="s">
        <v>2021</v>
      </c>
      <c r="D241" s="1" t="s">
        <v>1185</v>
      </c>
      <c r="E241" s="1">
        <v>18</v>
      </c>
      <c r="F241" s="1" t="s">
        <v>2022</v>
      </c>
      <c r="G241" s="1" t="s">
        <v>2022</v>
      </c>
      <c r="H241" s="1" t="s">
        <v>2033</v>
      </c>
      <c r="I241" s="31" t="s">
        <v>2033</v>
      </c>
      <c r="J241" s="1" t="s">
        <v>2040</v>
      </c>
      <c r="K241" s="31" t="s">
        <v>2026</v>
      </c>
      <c r="L241" s="1">
        <v>1</v>
      </c>
      <c r="M241" s="1">
        <v>3</v>
      </c>
      <c r="N241" s="31">
        <v>1</v>
      </c>
      <c r="O241" s="1">
        <v>3</v>
      </c>
      <c r="P241" s="1">
        <v>3</v>
      </c>
      <c r="Q241" s="31">
        <v>4</v>
      </c>
      <c r="R241" s="1">
        <v>2</v>
      </c>
      <c r="S241" s="1">
        <v>3</v>
      </c>
      <c r="T241" s="1">
        <v>1</v>
      </c>
      <c r="U241" s="1">
        <v>3</v>
      </c>
      <c r="V241" s="1" t="s">
        <v>2027</v>
      </c>
      <c r="W241" s="1" t="s">
        <v>2027</v>
      </c>
      <c r="X241" s="1">
        <v>1</v>
      </c>
      <c r="Y241" s="1">
        <v>1</v>
      </c>
      <c r="Z241" s="1" t="s">
        <v>2027</v>
      </c>
      <c r="AA241" s="1" t="s">
        <v>2027</v>
      </c>
      <c r="AB241" s="1" t="s">
        <v>2027</v>
      </c>
      <c r="AC241" s="1" t="s">
        <v>2027</v>
      </c>
      <c r="AD241" s="1" t="s">
        <v>2027</v>
      </c>
      <c r="AE241" s="1" t="s">
        <v>2027</v>
      </c>
      <c r="AF241" s="1">
        <v>2</v>
      </c>
      <c r="AG241" s="1">
        <v>3</v>
      </c>
      <c r="AH241" s="1" t="s">
        <v>2027</v>
      </c>
      <c r="AI241" s="1" t="s">
        <v>2027</v>
      </c>
      <c r="AJ241" s="1" t="s">
        <v>2027</v>
      </c>
      <c r="AK241" s="1" t="s">
        <v>2027</v>
      </c>
      <c r="AL241" s="1" t="s">
        <v>2027</v>
      </c>
      <c r="AM241" s="1" t="s">
        <v>2027</v>
      </c>
      <c r="AN241" s="1" t="s">
        <v>2027</v>
      </c>
      <c r="AO241" s="31" t="s">
        <v>2027</v>
      </c>
      <c r="AP241" s="1" t="s">
        <v>2063</v>
      </c>
      <c r="AQ241" s="1">
        <v>7</v>
      </c>
      <c r="AR241" s="32">
        <v>0.44</v>
      </c>
      <c r="AS241" s="45" t="s">
        <v>2029</v>
      </c>
      <c r="AT241" s="9">
        <f>($O$3*(L241-$O$1)/$O$2+$P$3*(M241-$P$1)/$P$2+$Q$3*(N241-$P$1)/$Q$2)/SUM($O$3:$Q$3)</f>
        <v>-2.310620805107487</v>
      </c>
      <c r="AU241" s="9">
        <f>($O$3*(O241-$O$1)/$O$2+$P$3*(P241-$P$1)/$P$2+$Q$3*(Q241-$Q$1)/$Q$2)/SUM($O$3:$Q$3)</f>
        <v>-0.74878170718973724</v>
      </c>
      <c r="AV241">
        <f>COUNT(R241:AO241)/2</f>
        <v>4</v>
      </c>
      <c r="AW241">
        <f>COUNTIF(R241:AO241,"&gt;5")/2</f>
        <v>0</v>
      </c>
      <c r="AX241" s="6">
        <f>VLOOKUP(AP241,COND!$A$10:$B$31,2,FALSE)</f>
        <v>0.9</v>
      </c>
      <c r="AY241" s="9">
        <f>($AT$3*AT241+$AU$3*AU241+$AV$3*AV241+$AW$3*AW241)*AX241*IF(AQ241&lt;5,0.95,IF(AQ241&lt;7,0.975,1))+$J$3*VLOOKUP(J241,[1]Con!$A$2:$C$7,2,FALSE)+$K$3*VLOOKUP(K241,[1]Con!$A$2:$C$7,3,FALSE)+IF(BA241="SP",$BA$3,0)</f>
        <v>16.156017525665384</v>
      </c>
      <c r="AZ241" s="37">
        <f>STANDARDIZE(AY241,AVERAGE($AY$5:$AY$1116),STDEVP($AY$5:$AY$1116))</f>
        <v>-1.4103187085688289</v>
      </c>
      <c r="BA241" t="str">
        <f>IF(OR(AND(AQ241&gt;7,AW241&gt;1),AND(AQ241&gt;4,AV241&gt;2)),"SP","RP")</f>
        <v>SP</v>
      </c>
      <c r="BC241">
        <f>VLOOKUP($A241,'Draft List'!$A$4:$V$530,22,FALSE)</f>
        <v>0</v>
      </c>
      <c r="BE241" t="str">
        <f>IF(AVERAGE($O241:$Q241)&gt;=6,"Likely",IF(AVERAGE($O241:$Q241)&gt;=4,"Possible","Unlikely"))</f>
        <v>Unlikely</v>
      </c>
      <c r="BG241" t="str">
        <f>IF(VLOOKUP($B241,'Draft List'!$D$4:$AB$2598,BG$3,FALSE)&lt;&gt;0,VLOOKUP($B241,'Draft List'!$D$4:$AB$2598,BG$3,FALSE),"")</f>
        <v/>
      </c>
      <c r="BH241" t="str">
        <f>IF(VLOOKUP($B241,'Draft List'!$D$4:$AB$2598,BH$3,FALSE)&lt;&gt;0,VLOOKUP($B241,'Draft List'!$D$4:$AB$2598,BH$3,FALSE),"")</f>
        <v/>
      </c>
      <c r="BI241" t="str">
        <f>IF(VLOOKUP($B241,'Draft List'!$D$4:$AB$2598,BI$3,FALSE)&lt;&gt;0,VLOOKUP($B241,'Draft List'!$D$4:$AB$2598,BI$3,FALSE),"")</f>
        <v/>
      </c>
      <c r="BJ241" t="str">
        <f>IF(OR(C241="SP",C241="MR",C241="CL"),"P",VLOOKUP($A241,Bat!$A$4:$AP$1287,42,FALSE))</f>
        <v>P</v>
      </c>
    </row>
    <row r="242" spans="1:62">
      <c r="A242" t="str">
        <f>C242&amp;D242&amp;E242</f>
        <v>MREiichi Yamamoto21</v>
      </c>
      <c r="B242">
        <f>VLOOKUP($A242,draft_listing_pitchers_stats!$A$1:$B$1324,2,FALSE)</f>
        <v>2307</v>
      </c>
      <c r="C242" s="1" t="s">
        <v>2021</v>
      </c>
      <c r="D242" s="1" t="s">
        <v>1069</v>
      </c>
      <c r="E242" s="1">
        <v>21</v>
      </c>
      <c r="F242" s="1" t="s">
        <v>2022</v>
      </c>
      <c r="G242" s="1" t="s">
        <v>2022</v>
      </c>
      <c r="H242" s="1" t="s">
        <v>2033</v>
      </c>
      <c r="I242" s="31" t="s">
        <v>2033</v>
      </c>
      <c r="J242" s="1" t="s">
        <v>2040</v>
      </c>
      <c r="K242" s="31" t="s">
        <v>2025</v>
      </c>
      <c r="L242" s="1">
        <v>4</v>
      </c>
      <c r="M242" s="1">
        <v>4</v>
      </c>
      <c r="N242" s="31">
        <v>1</v>
      </c>
      <c r="O242" s="1">
        <v>4</v>
      </c>
      <c r="P242" s="1">
        <v>4</v>
      </c>
      <c r="Q242" s="31">
        <v>3</v>
      </c>
      <c r="R242" s="1">
        <v>5</v>
      </c>
      <c r="S242" s="1">
        <v>5</v>
      </c>
      <c r="T242" s="1" t="s">
        <v>2027</v>
      </c>
      <c r="U242" s="1" t="s">
        <v>2027</v>
      </c>
      <c r="V242" s="1" t="s">
        <v>2027</v>
      </c>
      <c r="W242" s="1" t="s">
        <v>2027</v>
      </c>
      <c r="X242" s="1">
        <v>3</v>
      </c>
      <c r="Y242" s="1">
        <v>4</v>
      </c>
      <c r="Z242" s="1" t="s">
        <v>2027</v>
      </c>
      <c r="AA242" s="1" t="s">
        <v>2027</v>
      </c>
      <c r="AB242" s="1" t="s">
        <v>2027</v>
      </c>
      <c r="AC242" s="1" t="s">
        <v>2027</v>
      </c>
      <c r="AD242" s="1" t="s">
        <v>2027</v>
      </c>
      <c r="AE242" s="1" t="s">
        <v>2027</v>
      </c>
      <c r="AF242" s="1" t="s">
        <v>2027</v>
      </c>
      <c r="AG242" s="1" t="s">
        <v>2027</v>
      </c>
      <c r="AH242" s="1" t="s">
        <v>2027</v>
      </c>
      <c r="AI242" s="1" t="s">
        <v>2027</v>
      </c>
      <c r="AJ242" s="1" t="s">
        <v>2027</v>
      </c>
      <c r="AK242" s="1" t="s">
        <v>2027</v>
      </c>
      <c r="AL242" s="1" t="s">
        <v>2027</v>
      </c>
      <c r="AM242" s="1" t="s">
        <v>2027</v>
      </c>
      <c r="AN242" s="1" t="s">
        <v>2027</v>
      </c>
      <c r="AO242" s="31" t="s">
        <v>2027</v>
      </c>
      <c r="AP242" s="1" t="s">
        <v>2047</v>
      </c>
      <c r="AQ242" s="1">
        <v>1</v>
      </c>
      <c r="AR242" s="32">
        <v>0.49</v>
      </c>
      <c r="AS242" s="45" t="s">
        <v>2029</v>
      </c>
      <c r="AT242" s="9">
        <f>($O$3*(L242-$O$1)/$O$2+$P$3*(M242-$P$1)/$P$2+$Q$3*(N242-$P$1)/$Q$2)/SUM($O$3:$Q$3)</f>
        <v>-1.5311151151499114</v>
      </c>
      <c r="AU242" s="9">
        <f>($O$3*(O242-$O$1)/$O$2+$P$3*(P242-$P$1)/$P$2+$Q$3*(Q242-$Q$1)/$Q$2)/SUM($O$3:$Q$3)</f>
        <v>-0.6009792323046188</v>
      </c>
      <c r="AV242">
        <f>COUNT(R242:AO242)/2</f>
        <v>2</v>
      </c>
      <c r="AW242">
        <f>COUNTIF(R242:AO242,"&gt;5")/2</f>
        <v>0</v>
      </c>
      <c r="AX242" s="6">
        <f>VLOOKUP(AP242,COND!$A$10:$B$31,2,FALSE)</f>
        <v>1.0249999999999999</v>
      </c>
      <c r="AY242" s="9">
        <f>($AT$3*AT242+$AU$3*AU242+$AV$3*AV242+$AW$3*AW242)*AX242*IF(AQ242&lt;5,0.95,IF(AQ242&lt;7,0.975,1))+$J$3*VLOOKUP(J242,[1]Con!$A$2:$C$7,2,FALSE)+$K$3*VLOOKUP(K242,[1]Con!$A$2:$C$7,3,FALSE)+IF(BA242="SP",$BA$3,0)</f>
        <v>15.971494782192105</v>
      </c>
      <c r="AZ242" s="37">
        <f>STANDARDIZE(AY242,AVERAGE($AY$5:$AY$1116),STDEVP($AY$5:$AY$1116))</f>
        <v>-1.4249673307933859</v>
      </c>
      <c r="BA242" t="str">
        <f>IF(OR(AND(AQ242&gt;7,AW242&gt;1),AND(AQ242&gt;4,AV242&gt;2)),"SP","RP")</f>
        <v>RP</v>
      </c>
      <c r="BC242">
        <f>VLOOKUP($A242,'Draft List'!$A$4:$V$530,22,FALSE)</f>
        <v>0</v>
      </c>
      <c r="BE242" t="str">
        <f>IF(AVERAGE($O242:$Q242)&gt;=6,"Likely",IF(AVERAGE($O242:$Q242)&gt;=4,"Possible","Unlikely"))</f>
        <v>Unlikely</v>
      </c>
      <c r="BG242" t="str">
        <f>IF(VLOOKUP($B242,'Draft List'!$D$4:$AB$2598,BG$3,FALSE)&lt;&gt;0,VLOOKUP($B242,'Draft List'!$D$4:$AB$2598,BG$3,FALSE),"")</f>
        <v/>
      </c>
      <c r="BH242" t="str">
        <f>IF(VLOOKUP($B242,'Draft List'!$D$4:$AB$2598,BH$3,FALSE)&lt;&gt;0,VLOOKUP($B242,'Draft List'!$D$4:$AB$2598,BH$3,FALSE),"")</f>
        <v/>
      </c>
      <c r="BI242" t="str">
        <f>IF(VLOOKUP($B242,'Draft List'!$D$4:$AB$2598,BI$3,FALSE)&lt;&gt;0,VLOOKUP($B242,'Draft List'!$D$4:$AB$2598,BI$3,FALSE),"")</f>
        <v/>
      </c>
      <c r="BJ242" t="str">
        <f>IF(OR(C242="SP",C242="MR",C242="CL"),"P",VLOOKUP($A242,Bat!$A$4:$AP$1287,42,FALSE))</f>
        <v>P</v>
      </c>
    </row>
    <row r="243" spans="1:62">
      <c r="A243" t="str">
        <f>C243&amp;D243&amp;E243</f>
        <v>MRDan Lutz21</v>
      </c>
      <c r="B243">
        <f>VLOOKUP($A243,draft_listing_pitchers_stats!$A$1:$B$1324,2,FALSE)</f>
        <v>9392</v>
      </c>
      <c r="C243" s="1" t="s">
        <v>2021</v>
      </c>
      <c r="D243" s="1" t="s">
        <v>1025</v>
      </c>
      <c r="E243" s="1">
        <v>21</v>
      </c>
      <c r="F243" s="1" t="s">
        <v>2022</v>
      </c>
      <c r="G243" s="1" t="s">
        <v>2022</v>
      </c>
      <c r="H243" s="1" t="s">
        <v>2033</v>
      </c>
      <c r="I243" s="31" t="s">
        <v>2033</v>
      </c>
      <c r="J243" s="1" t="s">
        <v>2040</v>
      </c>
      <c r="K243" s="31" t="s">
        <v>2030</v>
      </c>
      <c r="L243" s="1">
        <v>4</v>
      </c>
      <c r="M243" s="1">
        <v>3</v>
      </c>
      <c r="N243" s="31">
        <v>2</v>
      </c>
      <c r="O243" s="1">
        <v>4</v>
      </c>
      <c r="P243" s="1">
        <v>3</v>
      </c>
      <c r="Q243" s="31">
        <v>3</v>
      </c>
      <c r="R243" s="1">
        <v>5</v>
      </c>
      <c r="S243" s="1">
        <v>5</v>
      </c>
      <c r="T243" s="1" t="s">
        <v>2027</v>
      </c>
      <c r="U243" s="1" t="s">
        <v>2027</v>
      </c>
      <c r="V243" s="1">
        <v>2</v>
      </c>
      <c r="W243" s="1">
        <v>4</v>
      </c>
      <c r="X243" s="1">
        <v>3</v>
      </c>
      <c r="Y243" s="1">
        <v>3</v>
      </c>
      <c r="Z243" s="1" t="s">
        <v>2027</v>
      </c>
      <c r="AA243" s="1" t="s">
        <v>2027</v>
      </c>
      <c r="AB243" s="1" t="s">
        <v>2027</v>
      </c>
      <c r="AC243" s="1" t="s">
        <v>2027</v>
      </c>
      <c r="AD243" s="1" t="s">
        <v>2027</v>
      </c>
      <c r="AE243" s="1" t="s">
        <v>2027</v>
      </c>
      <c r="AF243" s="1">
        <v>3</v>
      </c>
      <c r="AG243" s="1">
        <v>3</v>
      </c>
      <c r="AH243" s="1" t="s">
        <v>2027</v>
      </c>
      <c r="AI243" s="1" t="s">
        <v>2027</v>
      </c>
      <c r="AJ243" s="1" t="s">
        <v>2027</v>
      </c>
      <c r="AK243" s="1" t="s">
        <v>2027</v>
      </c>
      <c r="AL243" s="1" t="s">
        <v>2027</v>
      </c>
      <c r="AM243" s="1" t="s">
        <v>2027</v>
      </c>
      <c r="AN243" s="1" t="s">
        <v>2027</v>
      </c>
      <c r="AO243" s="31" t="s">
        <v>2027</v>
      </c>
      <c r="AP243" s="1" t="s">
        <v>2041</v>
      </c>
      <c r="AQ243" s="1">
        <v>8</v>
      </c>
      <c r="AR243" s="32">
        <v>0.4</v>
      </c>
      <c r="AS243" s="45" t="s">
        <v>2029</v>
      </c>
      <c r="AT243" s="9">
        <f>($O$3*(L243-$O$1)/$O$2+$P$3*(M243-$P$1)/$P$2+$Q$3*(N243-$P$1)/$Q$2)/SUM($O$3:$Q$3)</f>
        <v>-1.4842262655258562</v>
      </c>
      <c r="AU243" s="9">
        <f>($O$3*(O243-$O$1)/$O$2+$P$3*(P243-$P$1)/$P$2+$Q$3*(Q243-$Q$1)/$Q$2)/SUM($O$3:$Q$3)</f>
        <v>-0.79641094873467422</v>
      </c>
      <c r="AV243">
        <f>COUNT(R243:AO243)/2</f>
        <v>4</v>
      </c>
      <c r="AW243">
        <f>COUNTIF(R243:AO243,"&gt;5")/2</f>
        <v>0</v>
      </c>
      <c r="AX243" s="6">
        <f>VLOOKUP(AP243,COND!$A$10:$B$31,2,FALSE)</f>
        <v>1</v>
      </c>
      <c r="AY243" s="9">
        <f>($AT$3*AT243+$AU$3*AU243+$AV$3*AV243+$AW$3*AW243)*AX243*IF(AQ243&lt;5,0.95,IF(AQ243&lt;7,0.975,1))+$J$3*VLOOKUP(J243,[1]Con!$A$2:$C$7,2,FALSE)+$K$3*VLOOKUP(K243,[1]Con!$A$2:$C$7,3,FALSE)+IF(BA243="SP",$BA$3,0)</f>
        <v>15.524935772201346</v>
      </c>
      <c r="AZ243" s="37">
        <f>STANDARDIZE(AY243,AVERAGE($AY$5:$AY$1116),STDEVP($AY$5:$AY$1116))</f>
        <v>-1.4604181056691341</v>
      </c>
      <c r="BA243" t="str">
        <f>IF(OR(AND(AQ243&gt;7,AW243&gt;1),AND(AQ243&gt;4,AV243&gt;2)),"SP","RP")</f>
        <v>SP</v>
      </c>
      <c r="BC243">
        <f>VLOOKUP($A243,'Draft List'!$A$4:$V$530,22,FALSE)</f>
        <v>0</v>
      </c>
      <c r="BE243" t="str">
        <f>IF(AVERAGE($O243:$Q243)&gt;=6,"Likely",IF(AVERAGE($O243:$Q243)&gt;=4,"Possible","Unlikely"))</f>
        <v>Unlikely</v>
      </c>
      <c r="BG243" t="str">
        <f>IF(VLOOKUP($B243,'Draft List'!$D$4:$AB$2598,BG$3,FALSE)&lt;&gt;0,VLOOKUP($B243,'Draft List'!$D$4:$AB$2598,BG$3,FALSE),"")</f>
        <v/>
      </c>
      <c r="BH243" t="str">
        <f>IF(VLOOKUP($B243,'Draft List'!$D$4:$AB$2598,BH$3,FALSE)&lt;&gt;0,VLOOKUP($B243,'Draft List'!$D$4:$AB$2598,BH$3,FALSE),"")</f>
        <v/>
      </c>
      <c r="BI243" t="str">
        <f>IF(VLOOKUP($B243,'Draft List'!$D$4:$AB$2598,BI$3,FALSE)&lt;&gt;0,VLOOKUP($B243,'Draft List'!$D$4:$AB$2598,BI$3,FALSE),"")</f>
        <v/>
      </c>
      <c r="BJ243" t="str">
        <f>IF(OR(C243="SP",C243="MR",C243="CL"),"P",VLOOKUP($A243,Bat!$A$4:$AP$1287,42,FALSE))</f>
        <v>P</v>
      </c>
    </row>
    <row r="244" spans="1:62">
      <c r="A244" t="str">
        <f>C244&amp;D244&amp;E244</f>
        <v>MRKeith Yeo18</v>
      </c>
      <c r="B244">
        <f>VLOOKUP($A244,draft_listing_pitchers_stats!$A$1:$B$1324,2,FALSE)</f>
        <v>13805</v>
      </c>
      <c r="C244" s="1" t="s">
        <v>2021</v>
      </c>
      <c r="D244" s="1" t="s">
        <v>1070</v>
      </c>
      <c r="E244" s="1">
        <v>18</v>
      </c>
      <c r="F244" s="1" t="s">
        <v>2022</v>
      </c>
      <c r="G244" s="1" t="s">
        <v>2022</v>
      </c>
      <c r="H244" s="1" t="s">
        <v>2033</v>
      </c>
      <c r="I244" s="31" t="s">
        <v>2033</v>
      </c>
      <c r="J244" s="1" t="s">
        <v>2040</v>
      </c>
      <c r="K244" s="31" t="s">
        <v>2040</v>
      </c>
      <c r="L244" s="1">
        <v>1</v>
      </c>
      <c r="M244" s="1">
        <v>4</v>
      </c>
      <c r="N244" s="31">
        <v>1</v>
      </c>
      <c r="O244" s="1">
        <v>2</v>
      </c>
      <c r="P244" s="1">
        <v>4</v>
      </c>
      <c r="Q244" s="31">
        <v>4</v>
      </c>
      <c r="R244" s="1">
        <v>2</v>
      </c>
      <c r="S244" s="1">
        <v>2</v>
      </c>
      <c r="T244" s="1">
        <v>1</v>
      </c>
      <c r="U244" s="1">
        <v>1</v>
      </c>
      <c r="V244" s="1">
        <v>1</v>
      </c>
      <c r="W244" s="1">
        <v>3</v>
      </c>
      <c r="X244" s="1" t="s">
        <v>2027</v>
      </c>
      <c r="Y244" s="1" t="s">
        <v>2027</v>
      </c>
      <c r="Z244" s="1" t="s">
        <v>2027</v>
      </c>
      <c r="AA244" s="1" t="s">
        <v>2027</v>
      </c>
      <c r="AB244" s="1">
        <v>2</v>
      </c>
      <c r="AC244" s="1">
        <v>3</v>
      </c>
      <c r="AD244" s="1" t="s">
        <v>2027</v>
      </c>
      <c r="AE244" s="1" t="s">
        <v>2027</v>
      </c>
      <c r="AF244" s="1" t="s">
        <v>2027</v>
      </c>
      <c r="AG244" s="1" t="s">
        <v>2027</v>
      </c>
      <c r="AH244" s="1" t="s">
        <v>2027</v>
      </c>
      <c r="AI244" s="1" t="s">
        <v>2027</v>
      </c>
      <c r="AJ244" s="1" t="s">
        <v>2027</v>
      </c>
      <c r="AK244" s="1" t="s">
        <v>2027</v>
      </c>
      <c r="AL244" s="1" t="s">
        <v>2027</v>
      </c>
      <c r="AM244" s="1" t="s">
        <v>2027</v>
      </c>
      <c r="AN244" s="1" t="s">
        <v>2027</v>
      </c>
      <c r="AO244" s="31" t="s">
        <v>2027</v>
      </c>
      <c r="AP244" s="1" t="s">
        <v>2037</v>
      </c>
      <c r="AQ244" s="1">
        <v>10</v>
      </c>
      <c r="AR244" s="32">
        <v>0.53</v>
      </c>
      <c r="AS244" s="45" t="s">
        <v>2029</v>
      </c>
      <c r="AT244" s="9">
        <f>($O$3*(L244-$O$1)/$O$2+$P$3*(M244-$P$1)/$P$2+$Q$3*(N244-$P$1)/$Q$2)/SUM($O$3:$Q$3)</f>
        <v>-2.1151890886774316</v>
      </c>
      <c r="AU244" s="9">
        <f>($O$3*(O244-$O$1)/$O$2+$P$3*(P244-$P$1)/$P$2+$Q$3*(Q244-$Q$1)/$Q$2)/SUM($O$3:$Q$3)</f>
        <v>-0.74804131526885542</v>
      </c>
      <c r="AV244">
        <f>COUNT(R244:AO244)/2</f>
        <v>4</v>
      </c>
      <c r="AW244">
        <f>COUNTIF(R244:AO244,"&gt;5")/2</f>
        <v>0</v>
      </c>
      <c r="AX244" s="6">
        <f>VLOOKUP(AP244,COND!$A$10:$B$31,2,FALSE)</f>
        <v>0.85</v>
      </c>
      <c r="AY244" s="9">
        <f>($AT$3*AT244+$AU$3*AU244+$AV$3*AV244+$AW$3*AW244)*AX244*IF(AQ244&lt;5,0.95,IF(AQ244&lt;7,0.975,1))+$J$3*VLOOKUP(J244,[1]Con!$A$2:$C$7,2,FALSE)+$K$3*VLOOKUP(K244,[1]Con!$A$2:$C$7,3,FALSE)+IF(BA244="SP",$BA$3,0)</f>
        <v>14.623715495354295</v>
      </c>
      <c r="AZ244" s="37">
        <f>STANDARDIZE(AY244,AVERAGE($AY$5:$AY$1116),STDEVP($AY$5:$AY$1116))</f>
        <v>-1.5319628655624022</v>
      </c>
      <c r="BA244" t="str">
        <f>IF(OR(AND(AQ244&gt;7,AW244&gt;1),AND(AQ244&gt;4,AV244&gt;2)),"SP","RP")</f>
        <v>SP</v>
      </c>
      <c r="BC244">
        <f>VLOOKUP($A244,'Draft List'!$A$4:$V$530,22,FALSE)</f>
        <v>0</v>
      </c>
      <c r="BE244" t="str">
        <f>IF(AVERAGE($O244:$Q244)&gt;=6,"Likely",IF(AVERAGE($O244:$Q244)&gt;=4,"Possible","Unlikely"))</f>
        <v>Unlikely</v>
      </c>
      <c r="BG244" t="str">
        <f>IF(VLOOKUP($B244,'Draft List'!$D$4:$AB$2598,BG$3,FALSE)&lt;&gt;0,VLOOKUP($B244,'Draft List'!$D$4:$AB$2598,BG$3,FALSE),"")</f>
        <v/>
      </c>
      <c r="BH244" t="str">
        <f>IF(VLOOKUP($B244,'Draft List'!$D$4:$AB$2598,BH$3,FALSE)&lt;&gt;0,VLOOKUP($B244,'Draft List'!$D$4:$AB$2598,BH$3,FALSE),"")</f>
        <v/>
      </c>
      <c r="BI244" t="str">
        <f>IF(VLOOKUP($B244,'Draft List'!$D$4:$AB$2598,BI$3,FALSE)&lt;&gt;0,VLOOKUP($B244,'Draft List'!$D$4:$AB$2598,BI$3,FALSE),"")</f>
        <v/>
      </c>
      <c r="BJ244" t="str">
        <f>IF(OR(C244="SP",C244="MR",C244="CL"),"P",VLOOKUP($A244,Bat!$A$4:$AP$1287,42,FALSE))</f>
        <v>P</v>
      </c>
    </row>
    <row r="245" spans="1:62">
      <c r="A245" t="str">
        <f>C245&amp;D245&amp;E245</f>
        <v>MRFrank Cantrell18</v>
      </c>
      <c r="B245">
        <f>VLOOKUP($A245,draft_listing_pitchers_stats!$A$1:$B$1324,2,FALSE)</f>
        <v>1133</v>
      </c>
      <c r="C245" s="1" t="s">
        <v>2021</v>
      </c>
      <c r="D245" s="1" t="s">
        <v>1183</v>
      </c>
      <c r="E245" s="1">
        <v>18</v>
      </c>
      <c r="F245" s="1" t="s">
        <v>2022</v>
      </c>
      <c r="G245" s="1" t="s">
        <v>2022</v>
      </c>
      <c r="H245" s="1" t="s">
        <v>2033</v>
      </c>
      <c r="I245" s="31" t="s">
        <v>2033</v>
      </c>
      <c r="J245" s="1" t="s">
        <v>2040</v>
      </c>
      <c r="K245" s="31" t="s">
        <v>2026</v>
      </c>
      <c r="L245" s="1">
        <v>2</v>
      </c>
      <c r="M245" s="1">
        <v>3</v>
      </c>
      <c r="N245" s="31">
        <v>1</v>
      </c>
      <c r="O245" s="1">
        <v>3</v>
      </c>
      <c r="P245" s="1">
        <v>3</v>
      </c>
      <c r="Q245" s="31">
        <v>4</v>
      </c>
      <c r="R245" s="1">
        <v>2</v>
      </c>
      <c r="S245" s="1">
        <v>3</v>
      </c>
      <c r="T245" s="1" t="s">
        <v>2027</v>
      </c>
      <c r="U245" s="1" t="s">
        <v>2027</v>
      </c>
      <c r="V245" s="1" t="s">
        <v>2027</v>
      </c>
      <c r="W245" s="1" t="s">
        <v>2027</v>
      </c>
      <c r="X245" s="1">
        <v>2</v>
      </c>
      <c r="Y245" s="1">
        <v>5</v>
      </c>
      <c r="Z245" s="1" t="s">
        <v>2027</v>
      </c>
      <c r="AA245" s="1" t="s">
        <v>2027</v>
      </c>
      <c r="AB245" s="1" t="s">
        <v>2027</v>
      </c>
      <c r="AC245" s="1" t="s">
        <v>2027</v>
      </c>
      <c r="AD245" s="1" t="s">
        <v>2027</v>
      </c>
      <c r="AE245" s="1" t="s">
        <v>2027</v>
      </c>
      <c r="AF245" s="1" t="s">
        <v>2027</v>
      </c>
      <c r="AG245" s="1" t="s">
        <v>2027</v>
      </c>
      <c r="AH245" s="1" t="s">
        <v>2027</v>
      </c>
      <c r="AI245" s="1" t="s">
        <v>2027</v>
      </c>
      <c r="AJ245" s="1" t="s">
        <v>2027</v>
      </c>
      <c r="AK245" s="1" t="s">
        <v>2027</v>
      </c>
      <c r="AL245" s="1" t="s">
        <v>2027</v>
      </c>
      <c r="AM245" s="1" t="s">
        <v>2027</v>
      </c>
      <c r="AN245" s="1" t="s">
        <v>2027</v>
      </c>
      <c r="AO245" s="31" t="s">
        <v>2027</v>
      </c>
      <c r="AP245" s="1" t="s">
        <v>2037</v>
      </c>
      <c r="AQ245" s="1">
        <v>1</v>
      </c>
      <c r="AR245" s="32">
        <v>0.44</v>
      </c>
      <c r="AS245" s="45" t="s">
        <v>2029</v>
      </c>
      <c r="AT245" s="9">
        <f>($O$3*(L245-$O$1)/$O$2+$P$3*(M245-$P$1)/$P$2+$Q$3*(N245-$P$1)/$Q$2)/SUM($O$3:$Q$3)</f>
        <v>-2.1159294805983135</v>
      </c>
      <c r="AU245" s="9">
        <f>($O$3*(O245-$O$1)/$O$2+$P$3*(P245-$P$1)/$P$2+$Q$3*(Q245-$Q$1)/$Q$2)/SUM($O$3:$Q$3)</f>
        <v>-0.74878170718973724</v>
      </c>
      <c r="AV245">
        <f>COUNT(R245:AO245)/2</f>
        <v>2</v>
      </c>
      <c r="AW245">
        <f>COUNTIF(R245:AO245,"&gt;5")/2</f>
        <v>0</v>
      </c>
      <c r="AX245" s="6">
        <f>VLOOKUP(AP245,COND!$A$10:$B$31,2,FALSE)</f>
        <v>0.85</v>
      </c>
      <c r="AY245" s="9">
        <f>($AT$3*AT245+$AU$3*AU245+$AV$3*AV245+$AW$3*AW245)*AX245*IF(AQ245&lt;5,0.95,IF(AQ245&lt;7,0.975,1))+$J$3*VLOOKUP(J245,[1]Con!$A$2:$C$7,2,FALSE)+$K$3*VLOOKUP(K245,[1]Con!$A$2:$C$7,3,FALSE)+IF(BA245="SP",$BA$3,0)</f>
        <v>14.622952817769118</v>
      </c>
      <c r="AZ245" s="37">
        <f>STANDARDIZE(AY245,AVERAGE($AY$5:$AY$1116),STDEVP($AY$5:$AY$1116))</f>
        <v>-1.53202341189731</v>
      </c>
      <c r="BA245" t="str">
        <f>IF(OR(AND(AQ245&gt;7,AW245&gt;1),AND(AQ245&gt;4,AV245&gt;2)),"SP","RP")</f>
        <v>RP</v>
      </c>
      <c r="BC245">
        <f>VLOOKUP($A245,'Draft List'!$A$4:$V$530,22,FALSE)</f>
        <v>0</v>
      </c>
      <c r="BE245" t="str">
        <f>IF(AVERAGE($O245:$Q245)&gt;=6,"Likely",IF(AVERAGE($O245:$Q245)&gt;=4,"Possible","Unlikely"))</f>
        <v>Unlikely</v>
      </c>
      <c r="BG245" t="str">
        <f>IF(VLOOKUP($B245,'Draft List'!$D$4:$AB$2598,BG$3,FALSE)&lt;&gt;0,VLOOKUP($B245,'Draft List'!$D$4:$AB$2598,BG$3,FALSE),"")</f>
        <v/>
      </c>
      <c r="BH245" t="str">
        <f>IF(VLOOKUP($B245,'Draft List'!$D$4:$AB$2598,BH$3,FALSE)&lt;&gt;0,VLOOKUP($B245,'Draft List'!$D$4:$AB$2598,BH$3,FALSE),"")</f>
        <v/>
      </c>
      <c r="BI245" t="str">
        <f>IF(VLOOKUP($B245,'Draft List'!$D$4:$AB$2598,BI$3,FALSE)&lt;&gt;0,VLOOKUP($B245,'Draft List'!$D$4:$AB$2598,BI$3,FALSE),"")</f>
        <v/>
      </c>
      <c r="BJ245" t="str">
        <f>IF(OR(C245="SP",C245="MR",C245="CL"),"P",VLOOKUP($A245,Bat!$A$4:$AP$1287,42,FALSE))</f>
        <v>P</v>
      </c>
    </row>
    <row r="246" spans="1:62">
      <c r="A246" t="str">
        <f>C246&amp;D246&amp;E246</f>
        <v>MRHarris Robinson18</v>
      </c>
      <c r="B246">
        <f>VLOOKUP($A246,draft_listing_pitchers_stats!$A$1:$B$1324,2,FALSE)</f>
        <v>13823</v>
      </c>
      <c r="C246" s="1" t="s">
        <v>2021</v>
      </c>
      <c r="D246" s="1" t="s">
        <v>1046</v>
      </c>
      <c r="E246" s="1">
        <v>18</v>
      </c>
      <c r="F246" s="1" t="s">
        <v>2022</v>
      </c>
      <c r="G246" s="1" t="s">
        <v>2038</v>
      </c>
      <c r="H246" s="1" t="s">
        <v>2033</v>
      </c>
      <c r="I246" s="31" t="s">
        <v>2033</v>
      </c>
      <c r="J246" s="1" t="s">
        <v>2040</v>
      </c>
      <c r="K246" s="31" t="s">
        <v>2025</v>
      </c>
      <c r="L246" s="1">
        <v>3</v>
      </c>
      <c r="M246" s="1">
        <v>3</v>
      </c>
      <c r="N246" s="31">
        <v>1</v>
      </c>
      <c r="O246" s="1">
        <v>4</v>
      </c>
      <c r="P246" s="1">
        <v>3</v>
      </c>
      <c r="Q246" s="31">
        <v>3</v>
      </c>
      <c r="R246" s="1">
        <v>4</v>
      </c>
      <c r="S246" s="1">
        <v>5</v>
      </c>
      <c r="T246" s="1" t="s">
        <v>2027</v>
      </c>
      <c r="U246" s="1" t="s">
        <v>2027</v>
      </c>
      <c r="V246" s="1">
        <v>2</v>
      </c>
      <c r="W246" s="1">
        <v>4</v>
      </c>
      <c r="X246" s="1" t="s">
        <v>2027</v>
      </c>
      <c r="Y246" s="1" t="s">
        <v>2027</v>
      </c>
      <c r="Z246" s="1" t="s">
        <v>2027</v>
      </c>
      <c r="AA246" s="1" t="s">
        <v>2027</v>
      </c>
      <c r="AB246" s="1" t="s">
        <v>2027</v>
      </c>
      <c r="AC246" s="1" t="s">
        <v>2027</v>
      </c>
      <c r="AD246" s="1" t="s">
        <v>2027</v>
      </c>
      <c r="AE246" s="1" t="s">
        <v>2027</v>
      </c>
      <c r="AF246" s="1" t="s">
        <v>2027</v>
      </c>
      <c r="AG246" s="1" t="s">
        <v>2027</v>
      </c>
      <c r="AH246" s="1" t="s">
        <v>2027</v>
      </c>
      <c r="AI246" s="1" t="s">
        <v>2027</v>
      </c>
      <c r="AJ246" s="1" t="s">
        <v>2027</v>
      </c>
      <c r="AK246" s="1" t="s">
        <v>2027</v>
      </c>
      <c r="AL246" s="1" t="s">
        <v>2027</v>
      </c>
      <c r="AM246" s="1" t="s">
        <v>2027</v>
      </c>
      <c r="AN246" s="1" t="s">
        <v>2027</v>
      </c>
      <c r="AO246" s="31" t="s">
        <v>2027</v>
      </c>
      <c r="AP246" s="1" t="s">
        <v>2042</v>
      </c>
      <c r="AQ246" s="1">
        <v>3</v>
      </c>
      <c r="AR246" s="32">
        <v>0.42</v>
      </c>
      <c r="AS246" s="45">
        <v>3000000</v>
      </c>
      <c r="AT246" s="9">
        <f>($O$3*(L246-$O$1)/$O$2+$P$3*(M246-$P$1)/$P$2+$Q$3*(N246-$P$1)/$Q$2)/SUM($O$3:$Q$3)</f>
        <v>-1.9212381560891401</v>
      </c>
      <c r="AU246" s="9">
        <f>($O$3*(O246-$O$1)/$O$2+$P$3*(P246-$P$1)/$P$2+$Q$3*(Q246-$Q$1)/$Q$2)/SUM($O$3:$Q$3)</f>
        <v>-0.79641094873467422</v>
      </c>
      <c r="AV246">
        <f>COUNT(R246:AO246)/2</f>
        <v>2</v>
      </c>
      <c r="AW246">
        <f>COUNTIF(R246:AO246,"&gt;5")/2</f>
        <v>0</v>
      </c>
      <c r="AX246" s="6">
        <f>VLOOKUP(AP246,COND!$A$10:$B$31,2,FALSE)</f>
        <v>1</v>
      </c>
      <c r="AY246" s="9">
        <f>($AT$3*AT246+$AU$3*AU246+$AV$3*AV246+$AW$3*AW246)*AX246*IF(AQ246&lt;5,0.95,IF(AQ246&lt;7,0.975,1))+$J$3*VLOOKUP(J246,[1]Con!$A$2:$C$7,2,FALSE)+$K$3*VLOOKUP(K246,[1]Con!$A$2:$C$7,3,FALSE)+IF(BA246="SP",$BA$3,0)</f>
        <v>12.453156724384256</v>
      </c>
      <c r="AZ246" s="37">
        <f>STANDARDIZE(AY246,AVERAGE($AY$5:$AY$1116),STDEVP($AY$5:$AY$1116))</f>
        <v>-1.7042760170669085</v>
      </c>
      <c r="BA246" t="str">
        <f>IF(OR(AND(AQ246&gt;7,AW246&gt;1),AND(AQ246&gt;4,AV246&gt;2)),"SP","RP")</f>
        <v>RP</v>
      </c>
      <c r="BC246">
        <f>VLOOKUP($A246,'Draft List'!$A$4:$V$530,22,FALSE)</f>
        <v>0</v>
      </c>
      <c r="BD246" t="s">
        <v>159</v>
      </c>
      <c r="BE246" t="str">
        <f>IF(AVERAGE($O246:$Q246)&gt;=6,"Likely",IF(AVERAGE($O246:$Q246)&gt;=4,"Possible","Unlikely"))</f>
        <v>Unlikely</v>
      </c>
      <c r="BG246" t="str">
        <f>IF(VLOOKUP($B246,'Draft List'!$D$4:$AB$2598,BG$3,FALSE)&lt;&gt;0,VLOOKUP($B246,'Draft List'!$D$4:$AB$2598,BG$3,FALSE),"")</f>
        <v/>
      </c>
      <c r="BH246" t="str">
        <f>IF(VLOOKUP($B246,'Draft List'!$D$4:$AB$2598,BH$3,FALSE)&lt;&gt;0,VLOOKUP($B246,'Draft List'!$D$4:$AB$2598,BH$3,FALSE),"")</f>
        <v/>
      </c>
      <c r="BI246" t="str">
        <f>IF(VLOOKUP($B246,'Draft List'!$D$4:$AB$2598,BI$3,FALSE)&lt;&gt;0,VLOOKUP($B246,'Draft List'!$D$4:$AB$2598,BI$3,FALSE),"")</f>
        <v/>
      </c>
      <c r="BJ246" t="str">
        <f>IF(OR(C246="SP",C246="MR",C246="CL"),"P",VLOOKUP($A246,Bat!$A$4:$AP$1287,42,FALSE))</f>
        <v>P</v>
      </c>
    </row>
    <row r="247" spans="1:62">
      <c r="C247" s="1"/>
      <c r="D247" s="1"/>
      <c r="E247" s="1"/>
      <c r="F247" s="1"/>
      <c r="G247" s="1"/>
      <c r="H247" s="1"/>
      <c r="I247" s="31"/>
      <c r="J247" s="1"/>
      <c r="K247" s="31"/>
      <c r="L247" s="1"/>
      <c r="M247" s="1"/>
      <c r="N247" s="31"/>
      <c r="O247" s="1"/>
      <c r="P247" s="1"/>
      <c r="Q247" s="3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31"/>
      <c r="AP247" s="1"/>
      <c r="AQ247" s="1"/>
      <c r="AR247" s="32"/>
      <c r="AS247" s="36"/>
      <c r="AT247" s="9"/>
      <c r="AU247" s="9"/>
      <c r="AY247" s="9"/>
      <c r="AZ247" s="37"/>
    </row>
    <row r="248" spans="1:62">
      <c r="C248" s="1"/>
      <c r="D248" s="1"/>
      <c r="E248" s="1"/>
      <c r="F248" s="1"/>
      <c r="G248" s="1"/>
      <c r="H248" s="1"/>
      <c r="I248" s="31"/>
      <c r="J248" s="1"/>
      <c r="K248" s="31"/>
      <c r="L248" s="1"/>
      <c r="M248" s="1"/>
      <c r="N248" s="31"/>
      <c r="O248" s="1"/>
      <c r="P248" s="1"/>
      <c r="Q248" s="3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31"/>
      <c r="AP248" s="1"/>
      <c r="AQ248" s="1"/>
      <c r="AR248" s="32"/>
      <c r="AS248" s="36"/>
      <c r="AT248" s="9"/>
      <c r="AU248" s="9"/>
      <c r="AY248" s="9"/>
      <c r="AZ248" s="37"/>
    </row>
    <row r="249" spans="1:62">
      <c r="C249" s="1"/>
      <c r="D249" s="1"/>
      <c r="E249" s="1"/>
      <c r="F249" s="1"/>
      <c r="G249" s="1"/>
      <c r="H249" s="1"/>
      <c r="I249" s="31"/>
      <c r="J249" s="1"/>
      <c r="K249" s="31"/>
      <c r="L249" s="1"/>
      <c r="M249" s="1"/>
      <c r="N249" s="31"/>
      <c r="O249" s="1"/>
      <c r="P249" s="1"/>
      <c r="Q249" s="3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31"/>
      <c r="AP249" s="1"/>
      <c r="AQ249" s="1"/>
      <c r="AR249" s="32"/>
      <c r="AS249" s="36"/>
      <c r="AT249" s="9"/>
      <c r="AU249" s="9"/>
      <c r="AY249" s="9"/>
      <c r="AZ249" s="37"/>
    </row>
    <row r="250" spans="1:62">
      <c r="C250" s="1"/>
      <c r="D250" s="1"/>
      <c r="E250" s="1"/>
      <c r="F250" s="1"/>
      <c r="G250" s="1"/>
      <c r="H250" s="1"/>
      <c r="I250" s="31"/>
      <c r="J250" s="1"/>
      <c r="K250" s="31"/>
      <c r="L250" s="1"/>
      <c r="M250" s="1"/>
      <c r="N250" s="31"/>
      <c r="O250" s="1"/>
      <c r="P250" s="1"/>
      <c r="Q250" s="3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31"/>
      <c r="AP250" s="1"/>
      <c r="AQ250" s="1"/>
      <c r="AR250" s="32"/>
      <c r="AS250" s="35"/>
      <c r="AT250" s="9"/>
      <c r="AU250" s="9"/>
      <c r="AY250" s="9"/>
      <c r="AZ250" s="37"/>
    </row>
    <row r="251" spans="1:62">
      <c r="C251" s="1"/>
      <c r="D251" s="1"/>
      <c r="E251" s="1"/>
      <c r="F251" s="1"/>
      <c r="G251" s="1"/>
      <c r="H251" s="1"/>
      <c r="I251" s="31"/>
      <c r="J251" s="1"/>
      <c r="K251" s="31"/>
      <c r="L251" s="1"/>
      <c r="M251" s="1"/>
      <c r="N251" s="31"/>
      <c r="O251" s="1"/>
      <c r="P251" s="1"/>
      <c r="Q251" s="3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31"/>
      <c r="AP251" s="1"/>
      <c r="AQ251" s="1"/>
      <c r="AR251" s="32"/>
      <c r="AS251" s="36"/>
      <c r="AT251" s="9"/>
      <c r="AU251" s="9"/>
      <c r="AY251" s="9"/>
      <c r="AZ251" s="37"/>
    </row>
    <row r="252" spans="1:62">
      <c r="C252" s="1"/>
      <c r="D252" s="1"/>
      <c r="E252" s="1"/>
      <c r="F252" s="1"/>
      <c r="G252" s="1"/>
      <c r="H252" s="1"/>
      <c r="I252" s="31"/>
      <c r="J252" s="1"/>
      <c r="K252" s="31"/>
      <c r="L252" s="1"/>
      <c r="M252" s="1"/>
      <c r="N252" s="31"/>
      <c r="O252" s="1"/>
      <c r="P252" s="1"/>
      <c r="Q252" s="3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31"/>
      <c r="AP252" s="1"/>
      <c r="AQ252" s="1"/>
      <c r="AR252" s="32"/>
      <c r="AS252" s="35"/>
      <c r="AT252" s="9"/>
      <c r="AU252" s="9"/>
      <c r="AY252" s="9"/>
      <c r="AZ252" s="37"/>
    </row>
    <row r="253" spans="1:62">
      <c r="C253" s="1"/>
      <c r="D253" s="1"/>
      <c r="E253" s="1"/>
      <c r="F253" s="1"/>
      <c r="G253" s="1"/>
      <c r="H253" s="1"/>
      <c r="I253" s="31"/>
      <c r="J253" s="1"/>
      <c r="K253" s="31"/>
      <c r="L253" s="1"/>
      <c r="M253" s="1"/>
      <c r="N253" s="31"/>
      <c r="O253" s="1"/>
      <c r="P253" s="1"/>
      <c r="Q253" s="3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31"/>
      <c r="AP253" s="1"/>
      <c r="AQ253" s="1"/>
      <c r="AR253" s="32"/>
      <c r="AS253" s="36"/>
      <c r="AT253" s="9"/>
      <c r="AU253" s="9"/>
      <c r="AY253" s="9"/>
      <c r="AZ253" s="37"/>
    </row>
    <row r="254" spans="1:62">
      <c r="C254" s="1"/>
      <c r="D254" s="1"/>
      <c r="E254" s="1"/>
      <c r="F254" s="1"/>
      <c r="G254" s="1"/>
      <c r="H254" s="1"/>
      <c r="I254" s="31"/>
      <c r="J254" s="1"/>
      <c r="K254" s="31"/>
      <c r="L254" s="1"/>
      <c r="M254" s="1"/>
      <c r="N254" s="31"/>
      <c r="O254" s="1"/>
      <c r="P254" s="1"/>
      <c r="Q254" s="3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31"/>
      <c r="AP254" s="1"/>
      <c r="AQ254" s="1"/>
      <c r="AR254" s="32"/>
      <c r="AS254" s="36"/>
      <c r="AT254" s="9"/>
      <c r="AU254" s="9"/>
      <c r="AY254" s="9"/>
      <c r="AZ254" s="37"/>
    </row>
    <row r="255" spans="1:62">
      <c r="C255" s="1"/>
      <c r="D255" s="1"/>
      <c r="E255" s="1"/>
      <c r="F255" s="1"/>
      <c r="G255" s="1"/>
      <c r="H255" s="1"/>
      <c r="I255" s="31"/>
      <c r="J255" s="1"/>
      <c r="K255" s="31"/>
      <c r="L255" s="1"/>
      <c r="M255" s="1"/>
      <c r="N255" s="31"/>
      <c r="O255" s="1"/>
      <c r="P255" s="1"/>
      <c r="Q255" s="3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31"/>
      <c r="AP255" s="1"/>
      <c r="AQ255" s="1"/>
      <c r="AR255" s="32"/>
      <c r="AS255" s="36"/>
      <c r="AT255" s="9"/>
      <c r="AU255" s="9"/>
      <c r="AY255" s="9"/>
      <c r="AZ255" s="37"/>
    </row>
    <row r="256" spans="1:62">
      <c r="C256" s="1"/>
      <c r="D256" s="1"/>
      <c r="E256" s="1"/>
      <c r="F256" s="1"/>
      <c r="G256" s="1"/>
      <c r="H256" s="1"/>
      <c r="I256" s="31"/>
      <c r="J256" s="1"/>
      <c r="K256" s="31"/>
      <c r="L256" s="1"/>
      <c r="M256" s="1"/>
      <c r="N256" s="31"/>
      <c r="O256" s="1"/>
      <c r="P256" s="1"/>
      <c r="Q256" s="3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31"/>
      <c r="AP256" s="1"/>
      <c r="AQ256" s="1"/>
      <c r="AR256" s="32"/>
      <c r="AS256" s="36"/>
      <c r="AT256" s="9"/>
      <c r="AU256" s="9"/>
      <c r="AY256" s="9"/>
      <c r="AZ256" s="37"/>
    </row>
    <row r="257" spans="3:52">
      <c r="C257" s="1"/>
      <c r="D257" s="1"/>
      <c r="E257" s="1"/>
      <c r="F257" s="1"/>
      <c r="G257" s="1"/>
      <c r="H257" s="1"/>
      <c r="I257" s="31"/>
      <c r="J257" s="1"/>
      <c r="K257" s="31"/>
      <c r="L257" s="1"/>
      <c r="M257" s="1"/>
      <c r="N257" s="31"/>
      <c r="O257" s="1"/>
      <c r="P257" s="1"/>
      <c r="Q257" s="3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31"/>
      <c r="AP257" s="1"/>
      <c r="AQ257" s="1"/>
      <c r="AR257" s="32"/>
      <c r="AS257" s="35"/>
      <c r="AT257" s="9"/>
      <c r="AU257" s="9"/>
      <c r="AY257" s="9"/>
      <c r="AZ257" s="37"/>
    </row>
    <row r="258" spans="3:52">
      <c r="C258" s="1"/>
      <c r="D258" s="1"/>
      <c r="E258" s="1"/>
      <c r="F258" s="1"/>
      <c r="G258" s="1"/>
      <c r="H258" s="1"/>
      <c r="I258" s="31"/>
      <c r="J258" s="1"/>
      <c r="K258" s="31"/>
      <c r="L258" s="1"/>
      <c r="M258" s="1"/>
      <c r="N258" s="31"/>
      <c r="O258" s="1"/>
      <c r="P258" s="1"/>
      <c r="Q258" s="3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31"/>
      <c r="AP258" s="1"/>
      <c r="AQ258" s="1"/>
      <c r="AR258" s="32"/>
      <c r="AS258" s="35"/>
      <c r="AT258" s="9"/>
      <c r="AU258" s="9"/>
      <c r="AY258" s="9"/>
      <c r="AZ258" s="37"/>
    </row>
    <row r="259" spans="3:52">
      <c r="C259" s="1"/>
      <c r="D259" s="1"/>
      <c r="E259" s="1"/>
      <c r="F259" s="1"/>
      <c r="G259" s="1"/>
      <c r="H259" s="1"/>
      <c r="I259" s="31"/>
      <c r="J259" s="1"/>
      <c r="K259" s="31"/>
      <c r="L259" s="1"/>
      <c r="M259" s="1"/>
      <c r="N259" s="31"/>
      <c r="O259" s="1"/>
      <c r="P259" s="1"/>
      <c r="Q259" s="3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31"/>
      <c r="AP259" s="1"/>
      <c r="AQ259" s="1"/>
      <c r="AR259" s="32"/>
      <c r="AS259" s="36"/>
      <c r="AT259" s="9"/>
      <c r="AU259" s="9"/>
      <c r="AY259" s="9"/>
      <c r="AZ259" s="37"/>
    </row>
    <row r="260" spans="3:52">
      <c r="C260" s="1"/>
      <c r="D260" s="1"/>
      <c r="E260" s="1"/>
      <c r="F260" s="1"/>
      <c r="G260" s="1"/>
      <c r="H260" s="1"/>
      <c r="I260" s="31"/>
      <c r="J260" s="1"/>
      <c r="K260" s="31"/>
      <c r="L260" s="1"/>
      <c r="M260" s="1"/>
      <c r="N260" s="31"/>
      <c r="O260" s="1"/>
      <c r="P260" s="1"/>
      <c r="Q260" s="3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31"/>
      <c r="AP260" s="1"/>
      <c r="AQ260" s="1"/>
      <c r="AR260" s="32"/>
      <c r="AS260" s="36"/>
      <c r="AT260" s="9"/>
      <c r="AU260" s="9"/>
      <c r="AY260" s="9"/>
      <c r="AZ260" s="37"/>
    </row>
    <row r="261" spans="3:52">
      <c r="C261" s="1"/>
      <c r="D261" s="1"/>
      <c r="E261" s="1"/>
      <c r="F261" s="1"/>
      <c r="G261" s="1"/>
      <c r="H261" s="1"/>
      <c r="I261" s="31"/>
      <c r="J261" s="1"/>
      <c r="K261" s="31"/>
      <c r="L261" s="1"/>
      <c r="M261" s="1"/>
      <c r="N261" s="31"/>
      <c r="O261" s="1"/>
      <c r="P261" s="1"/>
      <c r="Q261" s="3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31"/>
      <c r="AP261" s="1"/>
      <c r="AQ261" s="1"/>
      <c r="AR261" s="32"/>
      <c r="AS261" s="36"/>
      <c r="AT261" s="9"/>
      <c r="AU261" s="9"/>
      <c r="AY261" s="9"/>
      <c r="AZ261" s="37"/>
    </row>
  </sheetData>
  <sheetCalcPr fullCalcOnLoad="1"/>
  <sortState ref="A5:BJ248">
    <sortCondition ref="BB6:BB248"/>
    <sortCondition descending="1" ref="AZ6:AZ248"/>
  </sortState>
  <phoneticPr fontId="11" type="noConversion"/>
  <conditionalFormatting sqref="A5:XFD261">
    <cfRule type="expression" dxfId="2" priority="1">
      <formula>IF($BG5&lt;&gt;"",1,0)</formula>
    </cfRule>
    <cfRule type="expression" dxfId="1" priority="3">
      <formula>IF(MOD(ROW(),2)=1,1,0)</formula>
    </cfRule>
  </conditionalFormatting>
  <conditionalFormatting sqref="BG5:BI241 BG247:BI261">
    <cfRule type="expression" dxfId="0" priority="2">
      <formula>IF(MOD(ROW(),2)=1,1,0)</formula>
    </cfRule>
  </conditionalFormatting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E598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W5" sqref="W5"/>
    </sheetView>
  </sheetViews>
  <sheetFormatPr baseColWidth="10" defaultColWidth="8.83203125" defaultRowHeight="14"/>
  <cols>
    <col min="1" max="1" width="8.5" customWidth="1"/>
    <col min="2" max="2" width="4.5" hidden="1" customWidth="1"/>
    <col min="3" max="3" width="5.33203125" hidden="1" customWidth="1"/>
    <col min="4" max="4" width="6" bestFit="1" customWidth="1"/>
    <col min="5" max="5" width="6.6640625" style="12" bestFit="1" customWidth="1"/>
    <col min="6" max="6" width="19.1640625" style="13" bestFit="1" customWidth="1"/>
    <col min="7" max="7" width="4.5" style="13" bestFit="1" customWidth="1"/>
    <col min="8" max="8" width="2.1640625" style="13" bestFit="1" customWidth="1"/>
    <col min="9" max="9" width="2.1640625" style="6" bestFit="1" customWidth="1"/>
    <col min="10" max="10" width="9.5" bestFit="1" customWidth="1"/>
    <col min="11" max="11" width="9.5" style="6" bestFit="1" customWidth="1"/>
    <col min="12" max="12" width="4.5" bestFit="1" customWidth="1"/>
    <col min="13" max="13" width="5" bestFit="1" customWidth="1"/>
    <col min="14" max="14" width="4.83203125" bestFit="1" customWidth="1"/>
    <col min="15" max="15" width="11.1640625" bestFit="1" customWidth="1"/>
    <col min="16" max="16" width="4.5" style="6" bestFit="1" customWidth="1"/>
    <col min="17" max="17" width="6.5" bestFit="1" customWidth="1"/>
    <col min="18" max="18" width="6.6640625" style="6" bestFit="1" customWidth="1"/>
    <col min="19" max="19" width="12.5" bestFit="1" customWidth="1"/>
    <col min="20" max="20" width="4.6640625" style="6" bestFit="1" customWidth="1"/>
    <col min="21" max="21" width="12" bestFit="1" customWidth="1"/>
    <col min="24" max="24" width="8.83203125" style="6"/>
    <col min="28" max="28" width="24.5" customWidth="1"/>
    <col min="29" max="30" width="11.5" bestFit="1" customWidth="1"/>
    <col min="31" max="31" width="10.1640625" bestFit="1" customWidth="1"/>
  </cols>
  <sheetData>
    <row r="1" spans="1:31">
      <c r="D1">
        <v>2</v>
      </c>
      <c r="E1" s="12">
        <v>3</v>
      </c>
      <c r="F1" s="13">
        <v>4</v>
      </c>
      <c r="G1" s="13">
        <v>5</v>
      </c>
      <c r="H1" s="13">
        <v>6</v>
      </c>
      <c r="I1" s="6">
        <v>7</v>
      </c>
      <c r="J1">
        <v>10</v>
      </c>
      <c r="K1" s="6">
        <v>11</v>
      </c>
      <c r="L1">
        <v>17</v>
      </c>
      <c r="M1">
        <v>18</v>
      </c>
      <c r="N1">
        <v>19</v>
      </c>
      <c r="O1">
        <v>20</v>
      </c>
      <c r="P1" s="6">
        <v>21</v>
      </c>
      <c r="Q1">
        <v>41</v>
      </c>
      <c r="R1" s="6">
        <v>42</v>
      </c>
      <c r="S1">
        <v>36</v>
      </c>
      <c r="T1" s="6">
        <v>46</v>
      </c>
      <c r="U1" t="s">
        <v>103</v>
      </c>
      <c r="V1">
        <v>115</v>
      </c>
      <c r="Y1">
        <v>4</v>
      </c>
      <c r="Z1">
        <v>2</v>
      </c>
      <c r="AA1">
        <v>3</v>
      </c>
      <c r="AB1">
        <v>5</v>
      </c>
      <c r="AC1" t="s">
        <v>1810</v>
      </c>
      <c r="AD1" s="11" t="e">
        <f>AVERAGE(AD5:AD683)</f>
        <v>#DIV/0!</v>
      </c>
    </row>
    <row r="2" spans="1:31">
      <c r="D2">
        <v>2</v>
      </c>
      <c r="E2" s="12">
        <v>3</v>
      </c>
      <c r="F2" s="13">
        <v>4</v>
      </c>
      <c r="G2" s="13">
        <v>5</v>
      </c>
      <c r="H2" s="13">
        <v>6</v>
      </c>
      <c r="I2" s="6">
        <v>7</v>
      </c>
      <c r="J2">
        <v>10</v>
      </c>
      <c r="K2" s="6">
        <v>11</v>
      </c>
      <c r="L2">
        <v>15</v>
      </c>
      <c r="M2">
        <v>16</v>
      </c>
      <c r="N2">
        <v>17</v>
      </c>
      <c r="O2">
        <v>42</v>
      </c>
      <c r="P2" s="6">
        <v>43</v>
      </c>
      <c r="Q2">
        <v>51</v>
      </c>
      <c r="R2" s="6">
        <v>52</v>
      </c>
      <c r="S2">
        <v>45</v>
      </c>
      <c r="T2" s="6">
        <v>56</v>
      </c>
    </row>
    <row r="3" spans="1:31">
      <c r="L3" t="s">
        <v>1811</v>
      </c>
      <c r="M3" t="s">
        <v>1812</v>
      </c>
      <c r="N3" t="s">
        <v>1813</v>
      </c>
      <c r="O3" t="s">
        <v>1814</v>
      </c>
      <c r="P3" s="6" t="s">
        <v>1815</v>
      </c>
      <c r="S3" s="11">
        <v>7000000</v>
      </c>
      <c r="Y3">
        <v>24</v>
      </c>
      <c r="Z3">
        <v>8</v>
      </c>
      <c r="AC3" t="s">
        <v>1816</v>
      </c>
      <c r="AD3" s="11" t="e">
        <f>MEDIAN(AD5:AD683)</f>
        <v>#NUM!</v>
      </c>
    </row>
    <row r="4" spans="1:31" s="4" customFormat="1">
      <c r="A4" s="4" t="s">
        <v>1809</v>
      </c>
      <c r="B4" s="4" t="s">
        <v>1609</v>
      </c>
      <c r="C4" s="4" t="s">
        <v>1817</v>
      </c>
      <c r="D4" s="4" t="s">
        <v>1808</v>
      </c>
      <c r="E4" s="14" t="s">
        <v>2137</v>
      </c>
      <c r="F4" s="15" t="s">
        <v>1979</v>
      </c>
      <c r="G4" s="15" t="s">
        <v>1980</v>
      </c>
      <c r="H4" s="15" t="s">
        <v>1981</v>
      </c>
      <c r="I4" s="7" t="s">
        <v>1982</v>
      </c>
      <c r="J4" s="4" t="s">
        <v>1985</v>
      </c>
      <c r="K4" s="7" t="s">
        <v>1986</v>
      </c>
      <c r="L4" s="4" t="s">
        <v>1818</v>
      </c>
      <c r="M4" s="4" t="s">
        <v>1819</v>
      </c>
      <c r="N4" s="4" t="s">
        <v>1811</v>
      </c>
      <c r="O4" s="4" t="s">
        <v>2108</v>
      </c>
      <c r="P4" s="7" t="s">
        <v>1820</v>
      </c>
      <c r="Q4" s="4" t="s">
        <v>2109</v>
      </c>
      <c r="R4" s="7" t="s">
        <v>2110</v>
      </c>
      <c r="S4" s="4" t="s">
        <v>1821</v>
      </c>
      <c r="T4" s="7" t="s">
        <v>2114</v>
      </c>
      <c r="U4" s="4" t="s">
        <v>101</v>
      </c>
      <c r="V4" s="4" t="s">
        <v>102</v>
      </c>
      <c r="W4" s="4" t="s">
        <v>1823</v>
      </c>
      <c r="X4" s="7" t="s">
        <v>1601</v>
      </c>
      <c r="Y4" s="4" t="s">
        <v>1602</v>
      </c>
      <c r="Z4" s="4" t="s">
        <v>1603</v>
      </c>
      <c r="AA4" s="4" t="s">
        <v>1604</v>
      </c>
      <c r="AB4" s="4" t="s">
        <v>1605</v>
      </c>
      <c r="AC4" s="4" t="s">
        <v>1606</v>
      </c>
      <c r="AD4" s="4" t="s">
        <v>1522</v>
      </c>
      <c r="AE4" s="4" t="s">
        <v>1523</v>
      </c>
    </row>
    <row r="5" spans="1:31" s="16" customFormat="1">
      <c r="A5" s="16" t="s">
        <v>1075</v>
      </c>
      <c r="B5" s="16">
        <f t="shared" ref="B5:B68" si="0">COUNTIF($A$5:$A$598,A5)</f>
        <v>1</v>
      </c>
      <c r="C5" s="16" t="str">
        <f t="shared" ref="C5:C68" si="1">IF(OR(MID(A5,1,2)="SP",MID(A5,1,2)="MR",MID(A5,1,2)="CL",MID(A5,1,2)="RP"),"P","B")</f>
        <v>B</v>
      </c>
      <c r="D5" s="17">
        <f>IF($C5="B",VLOOKUP($A5,Bat!$A$4:$BD$2323,D$1,FALSE),VLOOKUP($A5,Pit!$A$4:$AZ$2261,D$2,FALSE))</f>
        <v>3888</v>
      </c>
      <c r="E5" s="16" t="str">
        <f>IF($C5="B",VLOOKUP($A5,Bat!$A$4:$BD$2323,E$1,FALSE),VLOOKUP($A5,Pit!$A$4:$AZ$2261,E$2,FALSE))</f>
        <v>SS</v>
      </c>
      <c r="F5" s="16" t="str">
        <f>IF($C5="B",VLOOKUP($A5,Bat!$A$4:$BD$2323,F$1,FALSE),VLOOKUP($A5,Pit!$A$4:$AZ$2261,F$2,FALSE))</f>
        <v>Royce Raines</v>
      </c>
      <c r="G5" s="16">
        <f>IF($C5="B",VLOOKUP($A5,Bat!$A$4:$BD$2323,G$1,FALSE),VLOOKUP($A5,Pit!$A$4:$AZ$2261,G$2,FALSE))</f>
        <v>21</v>
      </c>
      <c r="H5" s="16" t="str">
        <f>IF($C5="B",VLOOKUP($A5,Bat!$A$4:$BD$2323,H$1,FALSE),VLOOKUP($A5,Pit!$A$4:$AZ$2261,H$2,FALSE))</f>
        <v>R</v>
      </c>
      <c r="I5" s="16" t="str">
        <f>IF($C5="B",VLOOKUP($A5,Bat!$A$4:$BD$2323,I$1,FALSE),VLOOKUP($A5,Pit!$A$4:$AZ$2261,I$2,FALSE))</f>
        <v>R</v>
      </c>
      <c r="J5" s="16" t="str">
        <f>IF($C5="B",VLOOKUP($A5,Bat!$A$4:$BD$2323,J$1,FALSE),VLOOKUP($A5,Pit!$A$4:$AZ$2261,J$2,FALSE))</f>
        <v>Low</v>
      </c>
      <c r="K5" s="17" t="str">
        <f>IF($C5="B",VLOOKUP($A5,Bat!$A$4:$BD$2323,K$1,FALSE),VLOOKUP($A5,Pit!$A$4:$AZ$2261,K$2,FALSE))</f>
        <v>Normal</v>
      </c>
      <c r="L5" s="16">
        <f>IF($C5="B",VLOOKUP($A5,Bat!$A$4:$BD$2323,L$1,FALSE),VLOOKUP($A5,Pit!$A$4:$AZ$2261,L$2,FALSE))</f>
        <v>8</v>
      </c>
      <c r="M5" s="16">
        <f>IF($C5="B",VLOOKUP($A5,Bat!$A$4:$BD$2323,M$1,FALSE),VLOOKUP($A5,Pit!$A$4:$AZ$2261,M$2,FALSE))</f>
        <v>7</v>
      </c>
      <c r="N5" s="16">
        <f>IF($C5="B",VLOOKUP($A5,Bat!$A$4:$BD$2323,N$1,FALSE),VLOOKUP($A5,Pit!$A$4:$AZ$2261,N$2,FALSE))</f>
        <v>7</v>
      </c>
      <c r="O5" s="16">
        <f>IF($C5="B",VLOOKUP($A5,Bat!$A$4:$BD$2323,O$1,FALSE),VLOOKUP($A5,Pit!$A$4:$AZ$2261,O$2,FALSE))</f>
        <v>10</v>
      </c>
      <c r="P5" s="17">
        <f>IF($C5="B",VLOOKUP($A5,Bat!$A$4:$BD$2323,P$1,FALSE),VLOOKUP($A5,Pit!$A$4:$AZ$2261,P$2,FALSE))</f>
        <v>10</v>
      </c>
      <c r="Q5" s="18">
        <f>IF($C5="B",VLOOKUP($A5,Bat!$A$4:$BD$2323,Q$1,FALSE),VLOOKUP($A5,Pit!$A$4:$AZ$2261,Q$2,FALSE))</f>
        <v>37.973572872857083</v>
      </c>
      <c r="R5" s="19">
        <f>IF($C5="B",VLOOKUP($A5,Bat!$A$4:$BD$2323,R$1,FALSE),VLOOKUP($A5,Pit!$A$4:$AZ$2261,R$2,FALSE))</f>
        <v>3.7935970145534461</v>
      </c>
      <c r="S5" s="20">
        <f>IF($C5="B",VLOOKUP($A5,Bat!$A$4:$BD$2323,S$1,FALSE),VLOOKUP($A5,Pit!$A$4:$AZ$2261,S$2,FALSE))</f>
        <v>10000000</v>
      </c>
      <c r="T5" s="17" t="str">
        <f>IF(S5="Slot","",VLOOKUP(IF($C5="B",VLOOKUP($A5,Bat!$A$4:$AT$2323,T$1,FALSE),VLOOKUP($A5,Pit!$A$4:$BD$2261,T$2,FALSE)),COND!$A$34:$B$40,2,FALSE))</f>
        <v>N</v>
      </c>
      <c r="U5" s="21">
        <f>IF($C5="B",VLOOKUP($A5,Bat!$A$4:$AR$1287,44,FALSE),VLOOKUP($A5,Pit!$A$4:$BB$1239,54,FALSE))</f>
        <v>1</v>
      </c>
      <c r="W5" s="16" t="str">
        <f t="shared" ref="W5:W68" si="2">IF(OR(U5=999,AND(S5&gt;$S$3,S5&lt;&gt;"Slot")),"",U5)</f>
        <v/>
      </c>
      <c r="X5" s="17" t="e">
        <f t="shared" ref="X5:X68" si="3">RANK(R5,$R$5:$R$1469)</f>
        <v>#N/A</v>
      </c>
      <c r="Y5" s="16" t="str">
        <f>IF(ISERROR(VLOOKUP($E5&amp;$F5,Results!$A$2:$G$413,Y$1,FALSE)),"",VLOOKUP($E5&amp;$F5,Results!$A$2:$G$413,Y$1,FALSE))</f>
        <v/>
      </c>
      <c r="Z5" s="16" t="str">
        <f>IF(ISERROR(VLOOKUP($E5&amp;$F5,Results!$A$2:$G$413,Z$1,FALSE)),"",VLOOKUP($E5&amp;$F5,Results!$A$2:$G$413,Z$1,FALSE))</f>
        <v/>
      </c>
      <c r="AA5" s="16" t="str">
        <f>IF(ISERROR(VLOOKUP($E5&amp;$F5,Results!$A$2:$G$413,AA$1,FALSE)),"",VLOOKUP($E5&amp;$F5,Results!$A$2:$G$413,AA$1,FALSE))</f>
        <v/>
      </c>
      <c r="AB5" s="16" t="str">
        <f>IF(ISERROR(VLOOKUP($E5&amp;$F5,Results!$A$2:$G$413,AB$1,FALSE)),"",VLOOKUP($E5&amp;$F5,Results!$A$2:$G$413,AB$1,FALSE))</f>
        <v/>
      </c>
      <c r="AD5" s="20" t="str">
        <f>IF(ISERROR(VLOOKUP($AB5&amp;"-"&amp;$F5,Bonuses!$B$1:$G$1000,4,FALSE)),"",INT(VLOOKUP($AB5&amp;"-"&amp;$F5,Bonuses!$B$1:$G$1000,4,FALSE)))</f>
        <v/>
      </c>
      <c r="AE5" s="16" t="str">
        <f>IF(ISERROR(VLOOKUP($AB5&amp;"-"&amp;$F5,Bonuses!$B$1:$G$1000,5,FALSE)),"",IF(VLOOKUP($AB5&amp;"-"&amp;$F5,Bonuses!$B$1:$G$1000,5,FALSE)="","",VLOOKUP($AB5&amp;"-"&amp;$F5,Bonuses!$B$1:$G$1000,6,FALSE)&amp;" yrs, "&amp;VLOOKUP($AB5&amp;"-"&amp;$F5,Bonuses!$B$1:$G$1000,5,FALSE)))</f>
        <v/>
      </c>
    </row>
    <row r="6" spans="1:31" s="21" customFormat="1">
      <c r="A6" s="21" t="s">
        <v>1076</v>
      </c>
      <c r="B6" s="21">
        <f t="shared" si="0"/>
        <v>1</v>
      </c>
      <c r="C6" s="21" t="str">
        <f t="shared" si="1"/>
        <v>B</v>
      </c>
      <c r="D6" s="17">
        <f>IF($C6="B",VLOOKUP($A6,Bat!$A$4:$BD$2323,D$1,FALSE),VLOOKUP($A6,Pit!$A$4:$AZ$2261,D$2,FALSE))</f>
        <v>12949</v>
      </c>
      <c r="E6" s="16" t="str">
        <f>IF($C6="B",VLOOKUP($A6,Bat!$A$4:$BD$2323,E$1,FALSE),VLOOKUP($A6,Pit!$A$4:$AZ$2261,E$2,FALSE))</f>
        <v>LF</v>
      </c>
      <c r="F6" s="16" t="str">
        <f>IF($C6="B",VLOOKUP($A6,Bat!$A$4:$BD$2323,F$1,FALSE),VLOOKUP($A6,Pit!$A$4:$AZ$2261,F$2,FALSE))</f>
        <v>Flint Butler</v>
      </c>
      <c r="G6" s="16">
        <f>IF($C6="B",VLOOKUP($A6,Bat!$A$4:$BD$2323,G$1,FALSE),VLOOKUP($A6,Pit!$A$4:$AZ$2261,G$2,FALSE))</f>
        <v>21</v>
      </c>
      <c r="H6" s="16" t="str">
        <f>IF($C6="B",VLOOKUP($A6,Bat!$A$4:$BD$2323,H$1,FALSE),VLOOKUP($A6,Pit!$A$4:$AZ$2261,H$2,FALSE))</f>
        <v>L</v>
      </c>
      <c r="I6" s="16" t="str">
        <f>IF($C6="B",VLOOKUP($A6,Bat!$A$4:$BD$2323,I$1,FALSE),VLOOKUP($A6,Pit!$A$4:$AZ$2261,I$2,FALSE))</f>
        <v>L</v>
      </c>
      <c r="J6" s="16" t="str">
        <f>IF($C6="B",VLOOKUP($A6,Bat!$A$4:$BD$2323,J$1,FALSE),VLOOKUP($A6,Pit!$A$4:$AZ$2261,J$2,FALSE))</f>
        <v>High</v>
      </c>
      <c r="K6" s="17" t="str">
        <f>IF($C6="B",VLOOKUP($A6,Bat!$A$4:$BD$2323,K$1,FALSE),VLOOKUP($A6,Pit!$A$4:$AZ$2261,K$2,FALSE))</f>
        <v>Low</v>
      </c>
      <c r="L6" s="16">
        <f>IF($C6="B",VLOOKUP($A6,Bat!$A$4:$BD$2323,L$1,FALSE),VLOOKUP($A6,Pit!$A$4:$AZ$2261,L$2,FALSE))</f>
        <v>8</v>
      </c>
      <c r="M6" s="16">
        <f>IF($C6="B",VLOOKUP($A6,Bat!$A$4:$BD$2323,M$1,FALSE),VLOOKUP($A6,Pit!$A$4:$AZ$2261,M$2,FALSE))</f>
        <v>9</v>
      </c>
      <c r="N6" s="16">
        <f>IF($C6="B",VLOOKUP($A6,Bat!$A$4:$BD$2323,N$1,FALSE),VLOOKUP($A6,Pit!$A$4:$AZ$2261,N$2,FALSE))</f>
        <v>5</v>
      </c>
      <c r="O6" s="16">
        <f>IF($C6="B",VLOOKUP($A6,Bat!$A$4:$BD$2323,O$1,FALSE),VLOOKUP($A6,Pit!$A$4:$AZ$2261,O$2,FALSE))</f>
        <v>7</v>
      </c>
      <c r="P6" s="17">
        <f>IF($C6="B",VLOOKUP($A6,Bat!$A$4:$BD$2323,P$1,FALSE),VLOOKUP($A6,Pit!$A$4:$AZ$2261,P$2,FALSE))</f>
        <v>10</v>
      </c>
      <c r="Q6" s="18">
        <f>IF($C6="B",VLOOKUP($A6,Bat!$A$4:$BD$2323,Q$1,FALSE),VLOOKUP($A6,Pit!$A$4:$AZ$2261,Q$2,FALSE))</f>
        <v>32.860425070814266</v>
      </c>
      <c r="R6" s="19">
        <f>IF($C6="B",VLOOKUP($A6,Bat!$A$4:$BD$2323,R$1,FALSE),VLOOKUP($A6,Pit!$A$4:$AZ$2261,R$2,FALSE))</f>
        <v>3.0832598441363541</v>
      </c>
      <c r="S6" s="20">
        <f>IF($C6="B",VLOOKUP($A6,Bat!$A$4:$BD$2323,S$1,FALSE),VLOOKUP($A6,Pit!$A$4:$AZ$2261,S$2,FALSE))</f>
        <v>2200000</v>
      </c>
      <c r="T6" s="17" t="str">
        <f>IF(S6="Slot","",VLOOKUP(IF($C6="B",VLOOKUP($A6,Bat!$A$4:$AT$2323,T$1,FALSE),VLOOKUP($A6,Pit!$A$4:$BD$2261,T$2,FALSE)),COND!$A$34:$B$40,2,FALSE))</f>
        <v>EH</v>
      </c>
      <c r="U6" s="21">
        <f>IF($C6="B",VLOOKUP($A6,Bat!$A$4:$AR$1287,44,FALSE),VLOOKUP($A6,Pit!$A$4:$BB$1239,54,FALSE))</f>
        <v>2</v>
      </c>
      <c r="W6" s="21">
        <f t="shared" si="2"/>
        <v>2</v>
      </c>
      <c r="X6" s="22" t="e">
        <f t="shared" si="3"/>
        <v>#N/A</v>
      </c>
      <c r="Y6" s="16" t="str">
        <f>IF(ISERROR(VLOOKUP($E6&amp;$F6,Results!$A$2:$G$413,Y$1,FALSE)),"",VLOOKUP($E6&amp;$F6,Results!$A$2:$G$413,Y$1,FALSE))</f>
        <v/>
      </c>
      <c r="Z6" s="16" t="str">
        <f>IF(ISERROR(VLOOKUP($E6&amp;$F6,Results!$A$2:$G$413,Z$1,FALSE)),"",VLOOKUP($E6&amp;$F6,Results!$A$2:$G$413,Z$1,FALSE))</f>
        <v/>
      </c>
      <c r="AA6" s="16" t="str">
        <f>IF(ISERROR(VLOOKUP($E6&amp;$F6,Results!$A$2:$G$413,AA$1,FALSE)),"",VLOOKUP($E6&amp;$F6,Results!$A$2:$G$413,AA$1,FALSE))</f>
        <v/>
      </c>
      <c r="AB6" s="16" t="str">
        <f>IF(ISERROR(VLOOKUP($E6&amp;$F6,Results!$A$2:$G$413,AB$1,FALSE)),"",VLOOKUP($E6&amp;$F6,Results!$A$2:$G$413,AB$1,FALSE))</f>
        <v/>
      </c>
      <c r="AC6" s="16"/>
      <c r="AD6" s="20" t="str">
        <f>IF(ISERROR(VLOOKUP($AB6&amp;"-"&amp;$F6,Bonuses!$B$1:$G$1000,4,FALSE)),"",INT(VLOOKUP($AB6&amp;"-"&amp;$F6,Bonuses!$B$1:$G$1000,4,FALSE)))</f>
        <v/>
      </c>
      <c r="AE6" s="16" t="str">
        <f>IF(ISERROR(VLOOKUP($AB6&amp;"-"&amp;$F6,Bonuses!$B$1:$G$1000,5,FALSE)),"",IF(VLOOKUP($AB6&amp;"-"&amp;$F6,Bonuses!$B$1:$G$1000,5,FALSE)="","",VLOOKUP($AB6&amp;"-"&amp;$F6,Bonuses!$B$1:$G$1000,6,FALSE)&amp;" yrs, "&amp;VLOOKUP($AB6&amp;"-"&amp;$F6,Bonuses!$B$1:$G$1000,5,FALSE)))</f>
        <v/>
      </c>
    </row>
    <row r="7" spans="1:31" s="21" customFormat="1">
      <c r="A7" s="21" t="s">
        <v>1077</v>
      </c>
      <c r="B7" s="21">
        <f t="shared" si="0"/>
        <v>1</v>
      </c>
      <c r="C7" s="21" t="str">
        <f t="shared" si="1"/>
        <v>B</v>
      </c>
      <c r="D7" s="17">
        <f>IF($C7="B",VLOOKUP($A7,Bat!$A$4:$BD$2323,D$1,FALSE),VLOOKUP($A7,Pit!$A$4:$AZ$2261,D$2,FALSE))</f>
        <v>9049</v>
      </c>
      <c r="E7" s="16" t="str">
        <f>IF($C7="B",VLOOKUP($A7,Bat!$A$4:$BD$2323,E$1,FALSE),VLOOKUP($A7,Pit!$A$4:$AZ$2261,E$2,FALSE))</f>
        <v>2B</v>
      </c>
      <c r="F7" s="16" t="str">
        <f>IF($C7="B",VLOOKUP($A7,Bat!$A$4:$BD$2323,F$1,FALSE),VLOOKUP($A7,Pit!$A$4:$AZ$2261,F$2,FALSE))</f>
        <v>Bill Gibbs</v>
      </c>
      <c r="G7" s="16">
        <f>IF($C7="B",VLOOKUP($A7,Bat!$A$4:$BD$2323,G$1,FALSE),VLOOKUP($A7,Pit!$A$4:$AZ$2261,G$2,FALSE))</f>
        <v>21</v>
      </c>
      <c r="H7" s="16" t="str">
        <f>IF($C7="B",VLOOKUP($A7,Bat!$A$4:$BD$2323,H$1,FALSE),VLOOKUP($A7,Pit!$A$4:$AZ$2261,H$2,FALSE))</f>
        <v>R</v>
      </c>
      <c r="I7" s="16" t="str">
        <f>IF($C7="B",VLOOKUP($A7,Bat!$A$4:$BD$2323,I$1,FALSE),VLOOKUP($A7,Pit!$A$4:$AZ$2261,I$2,FALSE))</f>
        <v>R</v>
      </c>
      <c r="J7" s="16" t="str">
        <f>IF($C7="B",VLOOKUP($A7,Bat!$A$4:$BD$2323,J$1,FALSE),VLOOKUP($A7,Pit!$A$4:$AZ$2261,J$2,FALSE))</f>
        <v>High</v>
      </c>
      <c r="K7" s="17" t="str">
        <f>IF($C7="B",VLOOKUP($A7,Bat!$A$4:$BD$2323,K$1,FALSE),VLOOKUP($A7,Pit!$A$4:$AZ$2261,K$2,FALSE))</f>
        <v>Very High</v>
      </c>
      <c r="L7" s="16">
        <f>IF($C7="B",VLOOKUP($A7,Bat!$A$4:$BD$2323,L$1,FALSE),VLOOKUP($A7,Pit!$A$4:$AZ$2261,L$2,FALSE))</f>
        <v>7</v>
      </c>
      <c r="M7" s="16">
        <f>IF($C7="B",VLOOKUP($A7,Bat!$A$4:$BD$2323,M$1,FALSE),VLOOKUP($A7,Pit!$A$4:$AZ$2261,M$2,FALSE))</f>
        <v>7</v>
      </c>
      <c r="N7" s="16">
        <f>IF($C7="B",VLOOKUP($A7,Bat!$A$4:$BD$2323,N$1,FALSE),VLOOKUP($A7,Pit!$A$4:$AZ$2261,N$2,FALSE))</f>
        <v>6</v>
      </c>
      <c r="O7" s="16">
        <f>IF($C7="B",VLOOKUP($A7,Bat!$A$4:$BD$2323,O$1,FALSE),VLOOKUP($A7,Pit!$A$4:$AZ$2261,O$2,FALSE))</f>
        <v>8</v>
      </c>
      <c r="P7" s="17">
        <f>IF($C7="B",VLOOKUP($A7,Bat!$A$4:$BD$2323,P$1,FALSE),VLOOKUP($A7,Pit!$A$4:$AZ$2261,P$2,FALSE))</f>
        <v>10</v>
      </c>
      <c r="Q7" s="18">
        <f>IF($C7="B",VLOOKUP($A7,Bat!$A$4:$BD$2323,Q$1,FALSE),VLOOKUP($A7,Pit!$A$4:$AZ$2261,Q$2,FALSE))</f>
        <v>29.764416595910106</v>
      </c>
      <c r="R7" s="19">
        <f>IF($C7="B",VLOOKUP($A7,Bat!$A$4:$BD$2323,R$1,FALSE),VLOOKUP($A7,Pit!$A$4:$AZ$2261,R$2,FALSE))</f>
        <v>2.6531510374298231</v>
      </c>
      <c r="S7" s="20">
        <f>IF($C7="B",VLOOKUP($A7,Bat!$A$4:$BD$2323,S$1,FALSE),VLOOKUP($A7,Pit!$A$4:$AZ$2261,S$2,FALSE))</f>
        <v>3000000</v>
      </c>
      <c r="T7" s="17" t="str">
        <f>IF(S7="Slot","",VLOOKUP(IF($C7="B",VLOOKUP($A7,Bat!$A$4:$AT$2323,T$1,FALSE),VLOOKUP($A7,Pit!$A$4:$BD$2261,T$2,FALSE)),COND!$A$34:$B$40,2,FALSE))</f>
        <v>N</v>
      </c>
      <c r="U7" s="21">
        <f>IF($C7="B",VLOOKUP($A7,Bat!$A$4:$AR$1287,44,FALSE),VLOOKUP($A7,Pit!$A$4:$BB$1239,54,FALSE))</f>
        <v>3</v>
      </c>
      <c r="W7" s="21">
        <f t="shared" si="2"/>
        <v>3</v>
      </c>
      <c r="X7" s="22" t="e">
        <f t="shared" si="3"/>
        <v>#N/A</v>
      </c>
      <c r="Y7" s="16" t="str">
        <f>IF(ISERROR(VLOOKUP($E7&amp;$F7,Results!$A$2:$G$413,Y$1,FALSE)),"",VLOOKUP($E7&amp;$F7,Results!$A$2:$G$413,Y$1,FALSE))</f>
        <v/>
      </c>
      <c r="Z7" s="16" t="str">
        <f>IF(ISERROR(VLOOKUP($E7&amp;$F7,Results!$A$2:$G$413,Z$1,FALSE)),"",VLOOKUP($E7&amp;$F7,Results!$A$2:$G$413,Z$1,FALSE))</f>
        <v/>
      </c>
      <c r="AA7" s="16" t="str">
        <f>IF(ISERROR(VLOOKUP($E7&amp;$F7,Results!$A$2:$G$413,AA$1,FALSE)),"",VLOOKUP($E7&amp;$F7,Results!$A$2:$G$413,AA$1,FALSE))</f>
        <v/>
      </c>
      <c r="AB7" s="16" t="str">
        <f>IF(ISERROR(VLOOKUP($E7&amp;$F7,Results!$A$2:$G$413,AB$1,FALSE)),"",VLOOKUP($E7&amp;$F7,Results!$A$2:$G$413,AB$1,FALSE))</f>
        <v/>
      </c>
      <c r="AC7" s="16"/>
      <c r="AD7" s="20" t="str">
        <f>IF(ISERROR(VLOOKUP($AB7&amp;"-"&amp;$F7,Bonuses!$B$1:$G$1000,4,FALSE)),"",INT(VLOOKUP($AB7&amp;"-"&amp;$F7,Bonuses!$B$1:$G$1000,4,FALSE)))</f>
        <v/>
      </c>
      <c r="AE7" s="16" t="str">
        <f>IF(ISERROR(VLOOKUP($AB7&amp;"-"&amp;$F7,Bonuses!$B$1:$G$1000,5,FALSE)),"",IF(VLOOKUP($AB7&amp;"-"&amp;$F7,Bonuses!$B$1:$G$1000,5,FALSE)="","",VLOOKUP($AB7&amp;"-"&amp;$F7,Bonuses!$B$1:$G$1000,6,FALSE)&amp;" yrs, "&amp;VLOOKUP($AB7&amp;"-"&amp;$F7,Bonuses!$B$1:$G$1000,5,FALSE)))</f>
        <v/>
      </c>
    </row>
    <row r="8" spans="1:31" s="21" customFormat="1">
      <c r="A8" s="21" t="s">
        <v>1083</v>
      </c>
      <c r="B8" s="21">
        <f t="shared" si="0"/>
        <v>1</v>
      </c>
      <c r="C8" s="21" t="str">
        <f t="shared" si="1"/>
        <v>B</v>
      </c>
      <c r="D8" s="17">
        <f>IF($C8="B",VLOOKUP($A8,Bat!$A$4:$BD$2323,D$1,FALSE),VLOOKUP($A8,Pit!$A$4:$AZ$2261,D$2,FALSE))</f>
        <v>7364</v>
      </c>
      <c r="E8" s="16" t="str">
        <f>IF($C8="B",VLOOKUP($A8,Bat!$A$4:$BD$2323,E$1,FALSE),VLOOKUP($A8,Pit!$A$4:$AZ$2261,E$2,FALSE))</f>
        <v>RF</v>
      </c>
      <c r="F8" s="16" t="str">
        <f>IF($C8="B",VLOOKUP($A8,Bat!$A$4:$BD$2323,F$1,FALSE),VLOOKUP($A8,Pit!$A$4:$AZ$2261,F$2,FALSE))</f>
        <v>Reggie Myers</v>
      </c>
      <c r="G8" s="16">
        <f>IF($C8="B",VLOOKUP($A8,Bat!$A$4:$BD$2323,G$1,FALSE),VLOOKUP($A8,Pit!$A$4:$AZ$2261,G$2,FALSE))</f>
        <v>21</v>
      </c>
      <c r="H8" s="16" t="str">
        <f>IF($C8="B",VLOOKUP($A8,Bat!$A$4:$BD$2323,H$1,FALSE),VLOOKUP($A8,Pit!$A$4:$AZ$2261,H$2,FALSE))</f>
        <v>L</v>
      </c>
      <c r="I8" s="16" t="str">
        <f>IF($C8="B",VLOOKUP($A8,Bat!$A$4:$BD$2323,I$1,FALSE),VLOOKUP($A8,Pit!$A$4:$AZ$2261,I$2,FALSE))</f>
        <v>L</v>
      </c>
      <c r="J8" s="16" t="str">
        <f>IF($C8="B",VLOOKUP($A8,Bat!$A$4:$BD$2323,J$1,FALSE),VLOOKUP($A8,Pit!$A$4:$AZ$2261,J$2,FALSE))</f>
        <v>Normal</v>
      </c>
      <c r="K8" s="17" t="str">
        <f>IF($C8="B",VLOOKUP($A8,Bat!$A$4:$BD$2323,K$1,FALSE),VLOOKUP($A8,Pit!$A$4:$AZ$2261,K$2,FALSE))</f>
        <v>Low</v>
      </c>
      <c r="L8" s="16">
        <f>IF($C8="B",VLOOKUP($A8,Bat!$A$4:$BD$2323,L$1,FALSE),VLOOKUP($A8,Pit!$A$4:$AZ$2261,L$2,FALSE))</f>
        <v>8</v>
      </c>
      <c r="M8" s="16">
        <f>IF($C8="B",VLOOKUP($A8,Bat!$A$4:$BD$2323,M$1,FALSE),VLOOKUP($A8,Pit!$A$4:$AZ$2261,M$2,FALSE))</f>
        <v>8</v>
      </c>
      <c r="N8" s="16">
        <f>IF($C8="B",VLOOKUP($A8,Bat!$A$4:$BD$2323,N$1,FALSE),VLOOKUP($A8,Pit!$A$4:$AZ$2261,N$2,FALSE))</f>
        <v>1</v>
      </c>
      <c r="O8" s="16">
        <f>IF($C8="B",VLOOKUP($A8,Bat!$A$4:$BD$2323,O$1,FALSE),VLOOKUP($A8,Pit!$A$4:$AZ$2261,O$2,FALSE))</f>
        <v>10</v>
      </c>
      <c r="P8" s="17">
        <f>IF($C8="B",VLOOKUP($A8,Bat!$A$4:$BD$2323,P$1,FALSE),VLOOKUP($A8,Pit!$A$4:$AZ$2261,P$2,FALSE))</f>
        <v>7</v>
      </c>
      <c r="Q8" s="18">
        <f>IF($C8="B",VLOOKUP($A8,Bat!$A$4:$BD$2323,Q$1,FALSE),VLOOKUP($A8,Pit!$A$4:$AZ$2261,Q$2,FALSE))</f>
        <v>29.999183846851409</v>
      </c>
      <c r="R8" s="19">
        <f>IF($C8="B",VLOOKUP($A8,Bat!$A$4:$BD$2323,R$1,FALSE),VLOOKUP($A8,Pit!$A$4:$AZ$2261,R$2,FALSE))</f>
        <v>2.6857657615091113</v>
      </c>
      <c r="S8" s="20">
        <f>IF($C8="B",VLOOKUP($A8,Bat!$A$4:$BD$2323,S$1,FALSE),VLOOKUP($A8,Pit!$A$4:$AZ$2261,S$2,FALSE))</f>
        <v>4400000</v>
      </c>
      <c r="T8" s="17" t="str">
        <f>IF(S8="Slot","",VLOOKUP(IF($C8="B",VLOOKUP($A8,Bat!$A$4:$AT$2323,T$1,FALSE),VLOOKUP($A8,Pit!$A$4:$BD$2261,T$2,FALSE)),COND!$A$34:$B$40,2,FALSE))</f>
        <v>EH</v>
      </c>
      <c r="U8" s="21">
        <f>IF($C8="B",VLOOKUP($A8,Bat!$A$4:$AR$1287,44,FALSE),VLOOKUP($A8,Pit!$A$4:$BB$1239,54,FALSE))</f>
        <v>4</v>
      </c>
      <c r="W8" s="21">
        <f t="shared" si="2"/>
        <v>4</v>
      </c>
      <c r="X8" s="22" t="e">
        <f t="shared" si="3"/>
        <v>#N/A</v>
      </c>
      <c r="Y8" s="16" t="str">
        <f>IF(ISERROR(VLOOKUP($E8&amp;$F8,Results!$A$2:$G$413,Y$1,FALSE)),"",VLOOKUP($E8&amp;$F8,Results!$A$2:$G$413,Y$1,FALSE))</f>
        <v/>
      </c>
      <c r="Z8" s="16" t="str">
        <f>IF(ISERROR(VLOOKUP($E8&amp;$F8,Results!$A$2:$G$413,Z$1,FALSE)),"",VLOOKUP($E8&amp;$F8,Results!$A$2:$G$413,Z$1,FALSE))</f>
        <v/>
      </c>
      <c r="AA8" s="16" t="str">
        <f>IF(ISERROR(VLOOKUP($E8&amp;$F8,Results!$A$2:$G$413,AA$1,FALSE)),"",VLOOKUP($E8&amp;$F8,Results!$A$2:$G$413,AA$1,FALSE))</f>
        <v/>
      </c>
      <c r="AB8" s="16" t="str">
        <f>IF(ISERROR(VLOOKUP($E8&amp;$F8,Results!$A$2:$G$413,AB$1,FALSE)),"",VLOOKUP($E8&amp;$F8,Results!$A$2:$G$413,AB$1,FALSE))</f>
        <v/>
      </c>
      <c r="AC8" s="16"/>
      <c r="AD8" s="20" t="str">
        <f>IF(ISERROR(VLOOKUP($AB8&amp;"-"&amp;$F8,Bonuses!$B$1:$G$1000,4,FALSE)),"",INT(VLOOKUP($AB8&amp;"-"&amp;$F8,Bonuses!$B$1:$G$1000,4,FALSE)))</f>
        <v/>
      </c>
      <c r="AE8" s="16" t="str">
        <f>IF(ISERROR(VLOOKUP($AB8&amp;"-"&amp;$F8,Bonuses!$B$1:$G$1000,5,FALSE)),"",IF(VLOOKUP($AB8&amp;"-"&amp;$F8,Bonuses!$B$1:$G$1000,5,FALSE)="","",VLOOKUP($AB8&amp;"-"&amp;$F8,Bonuses!$B$1:$G$1000,6,FALSE)&amp;" yrs, "&amp;VLOOKUP($AB8&amp;"-"&amp;$F8,Bonuses!$B$1:$G$1000,5,FALSE)))</f>
        <v/>
      </c>
    </row>
    <row r="9" spans="1:31" s="21" customFormat="1">
      <c r="A9" s="21" t="s">
        <v>280</v>
      </c>
      <c r="B9" s="21">
        <f t="shared" si="0"/>
        <v>1</v>
      </c>
      <c r="C9" s="21" t="str">
        <f t="shared" si="1"/>
        <v>B</v>
      </c>
      <c r="D9" s="17">
        <f>IF($C9="B",VLOOKUP($A9,Bat!$A$4:$BD$2323,D$1,FALSE),VLOOKUP($A9,Pit!$A$4:$AZ$2261,D$2,FALSE))</f>
        <v>8725</v>
      </c>
      <c r="E9" s="16" t="str">
        <f>IF($C9="B",VLOOKUP($A9,Bat!$A$4:$BD$2323,E$1,FALSE),VLOOKUP($A9,Pit!$A$4:$AZ$2261,E$2,FALSE))</f>
        <v>RF</v>
      </c>
      <c r="F9" s="16" t="str">
        <f>IF($C9="B",VLOOKUP($A9,Bat!$A$4:$BD$2323,F$1,FALSE),VLOOKUP($A9,Pit!$A$4:$AZ$2261,F$2,FALSE))</f>
        <v>Bruce McGuire</v>
      </c>
      <c r="G9" s="16">
        <f>IF($C9="B",VLOOKUP($A9,Bat!$A$4:$BD$2323,G$1,FALSE),VLOOKUP($A9,Pit!$A$4:$AZ$2261,G$2,FALSE))</f>
        <v>21</v>
      </c>
      <c r="H9" s="16" t="str">
        <f>IF($C9="B",VLOOKUP($A9,Bat!$A$4:$BD$2323,H$1,FALSE),VLOOKUP($A9,Pit!$A$4:$AZ$2261,H$2,FALSE))</f>
        <v>R</v>
      </c>
      <c r="I9" s="16" t="str">
        <f>IF($C9="B",VLOOKUP($A9,Bat!$A$4:$BD$2323,I$1,FALSE),VLOOKUP($A9,Pit!$A$4:$AZ$2261,I$2,FALSE))</f>
        <v>R</v>
      </c>
      <c r="J9" s="16" t="str">
        <f>IF($C9="B",VLOOKUP($A9,Bat!$A$4:$BD$2323,J$1,FALSE),VLOOKUP($A9,Pit!$A$4:$AZ$2261,J$2,FALSE))</f>
        <v>Low</v>
      </c>
      <c r="K9" s="17" t="str">
        <f>IF($C9="B",VLOOKUP($A9,Bat!$A$4:$BD$2323,K$1,FALSE),VLOOKUP($A9,Pit!$A$4:$AZ$2261,K$2,FALSE))</f>
        <v>High</v>
      </c>
      <c r="L9" s="16">
        <f>IF($C9="B",VLOOKUP($A9,Bat!$A$4:$BD$2323,L$1,FALSE),VLOOKUP($A9,Pit!$A$4:$AZ$2261,L$2,FALSE))</f>
        <v>8</v>
      </c>
      <c r="M9" s="16">
        <f>IF($C9="B",VLOOKUP($A9,Bat!$A$4:$BD$2323,M$1,FALSE),VLOOKUP($A9,Pit!$A$4:$AZ$2261,M$2,FALSE))</f>
        <v>7</v>
      </c>
      <c r="N9" s="16">
        <f>IF($C9="B",VLOOKUP($A9,Bat!$A$4:$BD$2323,N$1,FALSE),VLOOKUP($A9,Pit!$A$4:$AZ$2261,N$2,FALSE))</f>
        <v>8</v>
      </c>
      <c r="O9" s="16">
        <f>IF($C9="B",VLOOKUP($A9,Bat!$A$4:$BD$2323,O$1,FALSE),VLOOKUP($A9,Pit!$A$4:$AZ$2261,O$2,FALSE))</f>
        <v>8</v>
      </c>
      <c r="P9" s="17">
        <f>IF($C9="B",VLOOKUP($A9,Bat!$A$4:$BD$2323,P$1,FALSE),VLOOKUP($A9,Pit!$A$4:$AZ$2261,P$2,FALSE))</f>
        <v>5</v>
      </c>
      <c r="Q9" s="18">
        <f>IF($C9="B",VLOOKUP($A9,Bat!$A$4:$BD$2323,Q$1,FALSE),VLOOKUP($A9,Pit!$A$4:$AZ$2261,Q$2,FALSE))</f>
        <v>33.283792439832865</v>
      </c>
      <c r="R9" s="19">
        <f>IF($C9="B",VLOOKUP($A9,Bat!$A$4:$BD$2323,R$1,FALSE),VLOOKUP($A9,Pit!$A$4:$AZ$2261,R$2,FALSE))</f>
        <v>3.1420755855540872</v>
      </c>
      <c r="S9" s="20">
        <f>IF($C9="B",VLOOKUP($A9,Bat!$A$4:$BD$2323,S$1,FALSE),VLOOKUP($A9,Pit!$A$4:$AZ$2261,S$2,FALSE))</f>
        <v>7000000</v>
      </c>
      <c r="T9" s="17" t="str">
        <f>IF(S9="Slot","",VLOOKUP(IF($C9="B",VLOOKUP($A9,Bat!$A$4:$AT$2323,T$1,FALSE),VLOOKUP($A9,Pit!$A$4:$BD$2261,T$2,FALSE)),COND!$A$34:$B$40,2,FALSE))</f>
        <v>N</v>
      </c>
      <c r="U9" s="21">
        <f>IF($C9="B",VLOOKUP($A9,Bat!$A$4:$AR$1287,44,FALSE),VLOOKUP($A9,Pit!$A$4:$BB$1239,54,FALSE))</f>
        <v>5</v>
      </c>
      <c r="W9" s="21">
        <f t="shared" si="2"/>
        <v>5</v>
      </c>
      <c r="X9" s="22" t="e">
        <f t="shared" si="3"/>
        <v>#N/A</v>
      </c>
      <c r="Y9" s="16" t="str">
        <f>IF(ISERROR(VLOOKUP($E9&amp;$F9,Results!$A$2:$G$413,Y$1,FALSE)),"",VLOOKUP($E9&amp;$F9,Results!$A$2:$G$413,Y$1,FALSE))</f>
        <v/>
      </c>
      <c r="Z9" s="16" t="str">
        <f>IF(ISERROR(VLOOKUP($E9&amp;$F9,Results!$A$2:$G$413,Z$1,FALSE)),"",VLOOKUP($E9&amp;$F9,Results!$A$2:$G$413,Z$1,FALSE))</f>
        <v/>
      </c>
      <c r="AA9" s="16" t="str">
        <f>IF(ISERROR(VLOOKUP($E9&amp;$F9,Results!$A$2:$G$413,AA$1,FALSE)),"",VLOOKUP($E9&amp;$F9,Results!$A$2:$G$413,AA$1,FALSE))</f>
        <v/>
      </c>
      <c r="AB9" s="16" t="str">
        <f>IF(ISERROR(VLOOKUP($E9&amp;$F9,Results!$A$2:$G$413,AB$1,FALSE)),"",VLOOKUP($E9&amp;$F9,Results!$A$2:$G$413,AB$1,FALSE))</f>
        <v/>
      </c>
      <c r="AC9" s="16"/>
      <c r="AD9" s="20" t="str">
        <f>IF(ISERROR(VLOOKUP($AB9&amp;"-"&amp;$F9,Bonuses!$B$1:$G$1000,4,FALSE)),"",INT(VLOOKUP($AB9&amp;"-"&amp;$F9,Bonuses!$B$1:$G$1000,4,FALSE)))</f>
        <v/>
      </c>
      <c r="AE9" s="16" t="str">
        <f>IF(ISERROR(VLOOKUP($AB9&amp;"-"&amp;$F9,Bonuses!$B$1:$G$1000,5,FALSE)),"",IF(VLOOKUP($AB9&amp;"-"&amp;$F9,Bonuses!$B$1:$G$1000,5,FALSE)="","",VLOOKUP($AB9&amp;"-"&amp;$F9,Bonuses!$B$1:$G$1000,6,FALSE)&amp;" yrs, "&amp;VLOOKUP($AB9&amp;"-"&amp;$F9,Bonuses!$B$1:$G$1000,5,FALSE)))</f>
        <v/>
      </c>
    </row>
    <row r="10" spans="1:31" s="21" customFormat="1">
      <c r="A10" s="21" t="s">
        <v>628</v>
      </c>
      <c r="B10" s="21">
        <f t="shared" si="0"/>
        <v>1</v>
      </c>
      <c r="C10" s="21" t="str">
        <f t="shared" si="1"/>
        <v>B</v>
      </c>
      <c r="D10" s="17" t="e">
        <f>IF($C10="B",VLOOKUP($A10,Bat!$A$4:$BD$2323,D$1,FALSE),VLOOKUP($A10,Pit!$A$4:$AZ$2261,D$2,FALSE))</f>
        <v>#N/A</v>
      </c>
      <c r="E10" s="16" t="str">
        <f>IF($C10="B",VLOOKUP($A10,Bat!$A$4:$BD$2323,E$1,FALSE),VLOOKUP($A10,Pit!$A$4:$AZ$2261,E$2,FALSE))</f>
        <v>C</v>
      </c>
      <c r="F10" s="16" t="str">
        <f>IF($C10="B",VLOOKUP($A10,Bat!$A$4:$BD$2323,F$1,FALSE),VLOOKUP($A10,Pit!$A$4:$AZ$2261,F$2,FALSE))</f>
        <v>Germán Hernández</v>
      </c>
      <c r="G10" s="16">
        <f>IF($C10="B",VLOOKUP($A10,Bat!$A$4:$BD$2323,G$1,FALSE),VLOOKUP($A10,Pit!$A$4:$AZ$2261,G$2,FALSE))</f>
        <v>21</v>
      </c>
      <c r="H10" s="16" t="str">
        <f>IF($C10="B",VLOOKUP($A10,Bat!$A$4:$BD$2323,H$1,FALSE),VLOOKUP($A10,Pit!$A$4:$AZ$2261,H$2,FALSE))</f>
        <v>L</v>
      </c>
      <c r="I10" s="16" t="str">
        <f>IF($C10="B",VLOOKUP($A10,Bat!$A$4:$BD$2323,I$1,FALSE),VLOOKUP($A10,Pit!$A$4:$AZ$2261,I$2,FALSE))</f>
        <v>R</v>
      </c>
      <c r="J10" s="16" t="str">
        <f>IF($C10="B",VLOOKUP($A10,Bat!$A$4:$BD$2323,J$1,FALSE),VLOOKUP($A10,Pit!$A$4:$AZ$2261,J$2,FALSE))</f>
        <v>Normal</v>
      </c>
      <c r="K10" s="17" t="str">
        <f>IF($C10="B",VLOOKUP($A10,Bat!$A$4:$BD$2323,K$1,FALSE),VLOOKUP($A10,Pit!$A$4:$AZ$2261,K$2,FALSE))</f>
        <v>High</v>
      </c>
      <c r="L10" s="16">
        <f>IF($C10="B",VLOOKUP($A10,Bat!$A$4:$BD$2323,L$1,FALSE),VLOOKUP($A10,Pit!$A$4:$AZ$2261,L$2,FALSE))</f>
        <v>5</v>
      </c>
      <c r="M10" s="16">
        <f>IF($C10="B",VLOOKUP($A10,Bat!$A$4:$BD$2323,M$1,FALSE),VLOOKUP($A10,Pit!$A$4:$AZ$2261,M$2,FALSE))</f>
        <v>8</v>
      </c>
      <c r="N10" s="16">
        <f>IF($C10="B",VLOOKUP($A10,Bat!$A$4:$BD$2323,N$1,FALSE),VLOOKUP($A10,Pit!$A$4:$AZ$2261,N$2,FALSE))</f>
        <v>8</v>
      </c>
      <c r="O10" s="16">
        <f>IF($C10="B",VLOOKUP($A10,Bat!$A$4:$BD$2323,O$1,FALSE),VLOOKUP($A10,Pit!$A$4:$AZ$2261,O$2,FALSE))</f>
        <v>6</v>
      </c>
      <c r="P10" s="17">
        <f>IF($C10="B",VLOOKUP($A10,Bat!$A$4:$BD$2323,P$1,FALSE),VLOOKUP($A10,Pit!$A$4:$AZ$2261,P$2,FALSE))</f>
        <v>5</v>
      </c>
      <c r="Q10" s="18">
        <f>IF($C10="B",VLOOKUP($A10,Bat!$A$4:$BD$2323,Q$1,FALSE),VLOOKUP($A10,Pit!$A$4:$AZ$2261,Q$2,FALSE))</f>
        <v>20.818581401829135</v>
      </c>
      <c r="R10" s="19">
        <f>IF($C10="B",VLOOKUP($A10,Bat!$A$4:$BD$2323,R$1,FALSE),VLOOKUP($A10,Pit!$A$4:$AZ$2261,R$2,FALSE))</f>
        <v>1.4103629341322177</v>
      </c>
      <c r="S10" s="20">
        <f>IF($C10="B",VLOOKUP($A10,Bat!$A$4:$BD$2323,S$1,FALSE),VLOOKUP($A10,Pit!$A$4:$AZ$2261,S$2,FALSE))</f>
        <v>1900000</v>
      </c>
      <c r="T10" s="17" t="str">
        <f>IF(S10="Slot","",VLOOKUP(IF($C10="B",VLOOKUP($A10,Bat!$A$4:$AT$2323,T$1,FALSE),VLOOKUP($A10,Pit!$A$4:$BD$2261,T$2,FALSE)),COND!$A$34:$B$40,2,FALSE))</f>
        <v>H</v>
      </c>
      <c r="U10" s="21">
        <f>IF($C10="B",VLOOKUP($A10,Bat!$A$4:$AR$1287,44,FALSE),VLOOKUP($A10,Pit!$A$4:$BB$1239,54,FALSE))</f>
        <v>7</v>
      </c>
      <c r="W10" s="21">
        <f t="shared" si="2"/>
        <v>7</v>
      </c>
      <c r="X10" s="22" t="e">
        <f t="shared" si="3"/>
        <v>#N/A</v>
      </c>
      <c r="Y10" s="16" t="str">
        <f>IF(ISERROR(VLOOKUP($E10&amp;$F10,Results!$A$2:$G$413,Y$1,FALSE)),"",VLOOKUP($E10&amp;$F10,Results!$A$2:$G$413,Y$1,FALSE))</f>
        <v/>
      </c>
      <c r="Z10" s="16" t="str">
        <f>IF(ISERROR(VLOOKUP($E10&amp;$F10,Results!$A$2:$G$413,Z$1,FALSE)),"",VLOOKUP($E10&amp;$F10,Results!$A$2:$G$413,Z$1,FALSE))</f>
        <v/>
      </c>
      <c r="AA10" s="16" t="str">
        <f>IF(ISERROR(VLOOKUP($E10&amp;$F10,Results!$A$2:$G$413,AA$1,FALSE)),"",VLOOKUP($E10&amp;$F10,Results!$A$2:$G$413,AA$1,FALSE))</f>
        <v/>
      </c>
      <c r="AB10" s="16" t="str">
        <f>IF(ISERROR(VLOOKUP($E10&amp;$F10,Results!$A$2:$G$413,AB$1,FALSE)),"",VLOOKUP($E10&amp;$F10,Results!$A$2:$G$413,AB$1,FALSE))</f>
        <v/>
      </c>
      <c r="AC10" s="16"/>
      <c r="AD10" s="20" t="str">
        <f>IF(ISERROR(VLOOKUP($AB10&amp;"-"&amp;$F10,Bonuses!$B$1:$G$1000,4,FALSE)),"",INT(VLOOKUP($AB10&amp;"-"&amp;$F10,Bonuses!$B$1:$G$1000,4,FALSE)))</f>
        <v/>
      </c>
      <c r="AE10" s="16" t="str">
        <f>IF(ISERROR(VLOOKUP($AB10&amp;"-"&amp;$F10,Bonuses!$B$1:$G$1000,5,FALSE)),"",IF(VLOOKUP($AB10&amp;"-"&amp;$F10,Bonuses!$B$1:$G$1000,5,FALSE)="","",VLOOKUP($AB10&amp;"-"&amp;$F10,Bonuses!$B$1:$G$1000,6,FALSE)&amp;" yrs, "&amp;VLOOKUP($AB10&amp;"-"&amp;$F10,Bonuses!$B$1:$G$1000,5,FALSE)))</f>
        <v/>
      </c>
    </row>
    <row r="11" spans="1:31" s="21" customFormat="1">
      <c r="A11" s="21" t="s">
        <v>1081</v>
      </c>
      <c r="B11" s="21">
        <f t="shared" si="0"/>
        <v>1</v>
      </c>
      <c r="C11" s="21" t="str">
        <f t="shared" si="1"/>
        <v>B</v>
      </c>
      <c r="D11" s="17">
        <f>IF($C11="B",VLOOKUP($A11,Bat!$A$4:$BD$2323,D$1,FALSE),VLOOKUP($A11,Pit!$A$4:$AZ$2261,D$2,FALSE))</f>
        <v>5888</v>
      </c>
      <c r="E11" s="16" t="str">
        <f>IF($C11="B",VLOOKUP($A11,Bat!$A$4:$BD$2323,E$1,FALSE),VLOOKUP($A11,Pit!$A$4:$AZ$2261,E$2,FALSE))</f>
        <v>CF</v>
      </c>
      <c r="F11" s="16" t="str">
        <f>IF($C11="B",VLOOKUP($A11,Bat!$A$4:$BD$2323,F$1,FALSE),VLOOKUP($A11,Pit!$A$4:$AZ$2261,F$2,FALSE))</f>
        <v>Carlos Ryan</v>
      </c>
      <c r="G11" s="16">
        <f>IF($C11="B",VLOOKUP($A11,Bat!$A$4:$BD$2323,G$1,FALSE),VLOOKUP($A11,Pit!$A$4:$AZ$2261,G$2,FALSE))</f>
        <v>21</v>
      </c>
      <c r="H11" s="16" t="str">
        <f>IF($C11="B",VLOOKUP($A11,Bat!$A$4:$BD$2323,H$1,FALSE),VLOOKUP($A11,Pit!$A$4:$AZ$2261,H$2,FALSE))</f>
        <v>R</v>
      </c>
      <c r="I11" s="16" t="str">
        <f>IF($C11="B",VLOOKUP($A11,Bat!$A$4:$BD$2323,I$1,FALSE),VLOOKUP($A11,Pit!$A$4:$AZ$2261,I$2,FALSE))</f>
        <v>R</v>
      </c>
      <c r="J11" s="16" t="str">
        <f>IF($C11="B",VLOOKUP($A11,Bat!$A$4:$BD$2323,J$1,FALSE),VLOOKUP($A11,Pit!$A$4:$AZ$2261,J$2,FALSE))</f>
        <v>Normal</v>
      </c>
      <c r="K11" s="17" t="str">
        <f>IF($C11="B",VLOOKUP($A11,Bat!$A$4:$BD$2323,K$1,FALSE),VLOOKUP($A11,Pit!$A$4:$AZ$2261,K$2,FALSE))</f>
        <v>Normal</v>
      </c>
      <c r="L11" s="16">
        <f>IF($C11="B",VLOOKUP($A11,Bat!$A$4:$BD$2323,L$1,FALSE),VLOOKUP($A11,Pit!$A$4:$AZ$2261,L$2,FALSE))</f>
        <v>6</v>
      </c>
      <c r="M11" s="16">
        <f>IF($C11="B",VLOOKUP($A11,Bat!$A$4:$BD$2323,M$1,FALSE),VLOOKUP($A11,Pit!$A$4:$AZ$2261,M$2,FALSE))</f>
        <v>6</v>
      </c>
      <c r="N11" s="16">
        <f>IF($C11="B",VLOOKUP($A11,Bat!$A$4:$BD$2323,N$1,FALSE),VLOOKUP($A11,Pit!$A$4:$AZ$2261,N$2,FALSE))</f>
        <v>8</v>
      </c>
      <c r="O11" s="16">
        <f>IF($C11="B",VLOOKUP($A11,Bat!$A$4:$BD$2323,O$1,FALSE),VLOOKUP($A11,Pit!$A$4:$AZ$2261,O$2,FALSE))</f>
        <v>9</v>
      </c>
      <c r="P11" s="17">
        <f>IF($C11="B",VLOOKUP($A11,Bat!$A$4:$BD$2323,P$1,FALSE),VLOOKUP($A11,Pit!$A$4:$AZ$2261,P$2,FALSE))</f>
        <v>6</v>
      </c>
      <c r="Q11" s="18">
        <f>IF($C11="B",VLOOKUP($A11,Bat!$A$4:$BD$2323,Q$1,FALSE),VLOOKUP($A11,Pit!$A$4:$AZ$2261,Q$2,FALSE))</f>
        <v>27.425901872506696</v>
      </c>
      <c r="R11" s="19">
        <f>IF($C11="B",VLOOKUP($A11,Bat!$A$4:$BD$2323,R$1,FALSE),VLOOKUP($A11,Pit!$A$4:$AZ$2261,R$2,FALSE))</f>
        <v>2.3282760297217675</v>
      </c>
      <c r="S11" s="20">
        <f>IF($C11="B",VLOOKUP($A11,Bat!$A$4:$BD$2323,S$1,FALSE),VLOOKUP($A11,Pit!$A$4:$AZ$2261,S$2,FALSE))</f>
        <v>6000000</v>
      </c>
      <c r="T11" s="17" t="str">
        <f>IF(S11="Slot","",VLOOKUP(IF($C11="B",VLOOKUP($A11,Bat!$A$4:$AT$2323,T$1,FALSE),VLOOKUP($A11,Pit!$A$4:$BD$2261,T$2,FALSE)),COND!$A$34:$B$40,2,FALSE))</f>
        <v>EH</v>
      </c>
      <c r="U11" s="21">
        <f>IF($C11="B",VLOOKUP($A11,Bat!$A$4:$AR$1287,44,FALSE),VLOOKUP($A11,Pit!$A$4:$BB$1239,54,FALSE))</f>
        <v>9</v>
      </c>
      <c r="W11" s="21">
        <f t="shared" si="2"/>
        <v>9</v>
      </c>
      <c r="X11" s="22" t="e">
        <f t="shared" si="3"/>
        <v>#N/A</v>
      </c>
      <c r="Y11" s="16" t="str">
        <f>IF(ISERROR(VLOOKUP($E11&amp;$F11,Results!$A$2:$G$413,Y$1,FALSE)),"",VLOOKUP($E11&amp;$F11,Results!$A$2:$G$413,Y$1,FALSE))</f>
        <v/>
      </c>
      <c r="Z11" s="16" t="str">
        <f>IF(ISERROR(VLOOKUP($E11&amp;$F11,Results!$A$2:$G$413,Z$1,FALSE)),"",VLOOKUP($E11&amp;$F11,Results!$A$2:$G$413,Z$1,FALSE))</f>
        <v/>
      </c>
      <c r="AA11" s="16" t="str">
        <f>IF(ISERROR(VLOOKUP($E11&amp;$F11,Results!$A$2:$G$413,AA$1,FALSE)),"",VLOOKUP($E11&amp;$F11,Results!$A$2:$G$413,AA$1,FALSE))</f>
        <v/>
      </c>
      <c r="AB11" s="16" t="str">
        <f>IF(ISERROR(VLOOKUP($E11&amp;$F11,Results!$A$2:$G$413,AB$1,FALSE)),"",VLOOKUP($E11&amp;$F11,Results!$A$2:$G$413,AB$1,FALSE))</f>
        <v/>
      </c>
      <c r="AC11" s="16"/>
      <c r="AD11" s="20" t="str">
        <f>IF(ISERROR(VLOOKUP($AB11&amp;"-"&amp;$F11,Bonuses!$B$1:$G$1000,4,FALSE)),"",INT(VLOOKUP($AB11&amp;"-"&amp;$F11,Bonuses!$B$1:$G$1000,4,FALSE)))</f>
        <v/>
      </c>
      <c r="AE11" s="16" t="str">
        <f>IF(ISERROR(VLOOKUP($AB11&amp;"-"&amp;$F11,Bonuses!$B$1:$G$1000,5,FALSE)),"",IF(VLOOKUP($AB11&amp;"-"&amp;$F11,Bonuses!$B$1:$G$1000,5,FALSE)="","",VLOOKUP($AB11&amp;"-"&amp;$F11,Bonuses!$B$1:$G$1000,6,FALSE)&amp;" yrs, "&amp;VLOOKUP($AB11&amp;"-"&amp;$F11,Bonuses!$B$1:$G$1000,5,FALSE)))</f>
        <v/>
      </c>
    </row>
    <row r="12" spans="1:31" s="21" customFormat="1">
      <c r="A12" s="21" t="s">
        <v>1086</v>
      </c>
      <c r="B12" s="21">
        <f t="shared" si="0"/>
        <v>1</v>
      </c>
      <c r="C12" s="21" t="str">
        <f t="shared" si="1"/>
        <v>B</v>
      </c>
      <c r="D12" s="17">
        <f>IF($C12="B",VLOOKUP($A12,Bat!$A$4:$BD$2323,D$1,FALSE),VLOOKUP($A12,Pit!$A$4:$AZ$2261,D$2,FALSE))</f>
        <v>2882</v>
      </c>
      <c r="E12" s="16" t="str">
        <f>IF($C12="B",VLOOKUP($A12,Bat!$A$4:$BD$2323,E$1,FALSE),VLOOKUP($A12,Pit!$A$4:$AZ$2261,E$2,FALSE))</f>
        <v>3B</v>
      </c>
      <c r="F12" s="16" t="str">
        <f>IF($C12="B",VLOOKUP($A12,Bat!$A$4:$BD$2323,F$1,FALSE),VLOOKUP($A12,Pit!$A$4:$AZ$2261,F$2,FALSE))</f>
        <v>Gordon Fuller</v>
      </c>
      <c r="G12" s="16">
        <f>IF($C12="B",VLOOKUP($A12,Bat!$A$4:$BD$2323,G$1,FALSE),VLOOKUP($A12,Pit!$A$4:$AZ$2261,G$2,FALSE))</f>
        <v>21</v>
      </c>
      <c r="H12" s="16" t="str">
        <f>IF($C12="B",VLOOKUP($A12,Bat!$A$4:$BD$2323,H$1,FALSE),VLOOKUP($A12,Pit!$A$4:$AZ$2261,H$2,FALSE))</f>
        <v>R</v>
      </c>
      <c r="I12" s="16" t="str">
        <f>IF($C12="B",VLOOKUP($A12,Bat!$A$4:$BD$2323,I$1,FALSE),VLOOKUP($A12,Pit!$A$4:$AZ$2261,I$2,FALSE))</f>
        <v>R</v>
      </c>
      <c r="J12" s="16" t="str">
        <f>IF($C12="B",VLOOKUP($A12,Bat!$A$4:$BD$2323,J$1,FALSE),VLOOKUP($A12,Pit!$A$4:$AZ$2261,J$2,FALSE))</f>
        <v>High</v>
      </c>
      <c r="K12" s="17" t="str">
        <f>IF($C12="B",VLOOKUP($A12,Bat!$A$4:$BD$2323,K$1,FALSE),VLOOKUP($A12,Pit!$A$4:$AZ$2261,K$2,FALSE))</f>
        <v>High</v>
      </c>
      <c r="L12" s="16">
        <f>IF($C12="B",VLOOKUP($A12,Bat!$A$4:$BD$2323,L$1,FALSE),VLOOKUP($A12,Pit!$A$4:$AZ$2261,L$2,FALSE))</f>
        <v>7</v>
      </c>
      <c r="M12" s="16">
        <f>IF($C12="B",VLOOKUP($A12,Bat!$A$4:$BD$2323,M$1,FALSE),VLOOKUP($A12,Pit!$A$4:$AZ$2261,M$2,FALSE))</f>
        <v>8</v>
      </c>
      <c r="N12" s="16">
        <f>IF($C12="B",VLOOKUP($A12,Bat!$A$4:$BD$2323,N$1,FALSE),VLOOKUP($A12,Pit!$A$4:$AZ$2261,N$2,FALSE))</f>
        <v>7</v>
      </c>
      <c r="O12" s="16">
        <f>IF($C12="B",VLOOKUP($A12,Bat!$A$4:$BD$2323,O$1,FALSE),VLOOKUP($A12,Pit!$A$4:$AZ$2261,O$2,FALSE))</f>
        <v>6</v>
      </c>
      <c r="P12" s="17">
        <f>IF($C12="B",VLOOKUP($A12,Bat!$A$4:$BD$2323,P$1,FALSE),VLOOKUP($A12,Pit!$A$4:$AZ$2261,P$2,FALSE))</f>
        <v>5</v>
      </c>
      <c r="Q12" s="18">
        <f>IF($C12="B",VLOOKUP($A12,Bat!$A$4:$BD$2323,Q$1,FALSE),VLOOKUP($A12,Pit!$A$4:$AZ$2261,Q$2,FALSE))</f>
        <v>26.735561310667848</v>
      </c>
      <c r="R12" s="19">
        <f>IF($C12="B",VLOOKUP($A12,Bat!$A$4:$BD$2323,R$1,FALSE),VLOOKUP($A12,Pit!$A$4:$AZ$2261,R$2,FALSE))</f>
        <v>2.2323713971342185</v>
      </c>
      <c r="S12" s="20">
        <f>IF($C12="B",VLOOKUP($A12,Bat!$A$4:$BD$2323,S$1,FALSE),VLOOKUP($A12,Pit!$A$4:$AZ$2261,S$2,FALSE))</f>
        <v>1700000</v>
      </c>
      <c r="T12" s="17" t="str">
        <f>IF(S12="Slot","",VLOOKUP(IF($C12="B",VLOOKUP($A12,Bat!$A$4:$AT$2323,T$1,FALSE),VLOOKUP($A12,Pit!$A$4:$BD$2261,T$2,FALSE)),COND!$A$34:$B$40,2,FALSE))</f>
        <v>N</v>
      </c>
      <c r="U12" s="21">
        <f>IF($C12="B",VLOOKUP($A12,Bat!$A$4:$AR$1287,44,FALSE),VLOOKUP($A12,Pit!$A$4:$BB$1239,54,FALSE))</f>
        <v>11</v>
      </c>
      <c r="W12" s="21">
        <f t="shared" si="2"/>
        <v>11</v>
      </c>
      <c r="X12" s="22" t="e">
        <f t="shared" si="3"/>
        <v>#N/A</v>
      </c>
      <c r="Y12" s="16" t="str">
        <f>IF(ISERROR(VLOOKUP($E12&amp;$F12,Results!$A$2:$G$413,Y$1,FALSE)),"",VLOOKUP($E12&amp;$F12,Results!$A$2:$G$413,Y$1,FALSE))</f>
        <v/>
      </c>
      <c r="Z12" s="16" t="str">
        <f>IF(ISERROR(VLOOKUP($E12&amp;$F12,Results!$A$2:$G$413,Z$1,FALSE)),"",VLOOKUP($E12&amp;$F12,Results!$A$2:$G$413,Z$1,FALSE))</f>
        <v/>
      </c>
      <c r="AA12" s="16" t="str">
        <f>IF(ISERROR(VLOOKUP($E12&amp;$F12,Results!$A$2:$G$413,AA$1,FALSE)),"",VLOOKUP($E12&amp;$F12,Results!$A$2:$G$413,AA$1,FALSE))</f>
        <v/>
      </c>
      <c r="AB12" s="16" t="str">
        <f>IF(ISERROR(VLOOKUP($E12&amp;$F12,Results!$A$2:$G$413,AB$1,FALSE)),"",VLOOKUP($E12&amp;$F12,Results!$A$2:$G$413,AB$1,FALSE))</f>
        <v/>
      </c>
      <c r="AC12" s="16"/>
      <c r="AD12" s="20" t="str">
        <f>IF(ISERROR(VLOOKUP($AB12&amp;"-"&amp;$F12,Bonuses!$B$1:$G$1000,4,FALSE)),"",INT(VLOOKUP($AB12&amp;"-"&amp;$F12,Bonuses!$B$1:$G$1000,4,FALSE)))</f>
        <v/>
      </c>
      <c r="AE12" s="16" t="str">
        <f>IF(ISERROR(VLOOKUP($AB12&amp;"-"&amp;$F12,Bonuses!$B$1:$G$1000,5,FALSE)),"",IF(VLOOKUP($AB12&amp;"-"&amp;$F12,Bonuses!$B$1:$G$1000,5,FALSE)="","",VLOOKUP($AB12&amp;"-"&amp;$F12,Bonuses!$B$1:$G$1000,6,FALSE)&amp;" yrs, "&amp;VLOOKUP($AB12&amp;"-"&amp;$F12,Bonuses!$B$1:$G$1000,5,FALSE)))</f>
        <v/>
      </c>
    </row>
    <row r="13" spans="1:31" s="21" customFormat="1">
      <c r="A13" s="21" t="s">
        <v>902</v>
      </c>
      <c r="B13" s="21">
        <f t="shared" si="0"/>
        <v>1</v>
      </c>
      <c r="C13" s="21" t="str">
        <f t="shared" si="1"/>
        <v>B</v>
      </c>
      <c r="D13" s="17">
        <f>IF($C13="B",VLOOKUP($A13,Bat!$A$4:$BD$2323,D$1,FALSE),VLOOKUP($A13,Pit!$A$4:$AZ$2261,D$2,FALSE))</f>
        <v>3923</v>
      </c>
      <c r="E13" s="16" t="str">
        <f>IF($C13="B",VLOOKUP($A13,Bat!$A$4:$BD$2323,E$1,FALSE),VLOOKUP($A13,Pit!$A$4:$AZ$2261,E$2,FALSE))</f>
        <v>1B</v>
      </c>
      <c r="F13" s="16" t="str">
        <f>IF($C13="B",VLOOKUP($A13,Bat!$A$4:$BD$2323,F$1,FALSE),VLOOKUP($A13,Pit!$A$4:$AZ$2261,F$2,FALSE))</f>
        <v>Dominic Maye</v>
      </c>
      <c r="G13" s="16">
        <f>IF($C13="B",VLOOKUP($A13,Bat!$A$4:$BD$2323,G$1,FALSE),VLOOKUP($A13,Pit!$A$4:$AZ$2261,G$2,FALSE))</f>
        <v>21</v>
      </c>
      <c r="H13" s="16" t="str">
        <f>IF($C13="B",VLOOKUP($A13,Bat!$A$4:$BD$2323,H$1,FALSE),VLOOKUP($A13,Pit!$A$4:$AZ$2261,H$2,FALSE))</f>
        <v>L</v>
      </c>
      <c r="I13" s="16" t="str">
        <f>IF($C13="B",VLOOKUP($A13,Bat!$A$4:$BD$2323,I$1,FALSE),VLOOKUP($A13,Pit!$A$4:$AZ$2261,I$2,FALSE))</f>
        <v>L</v>
      </c>
      <c r="J13" s="16" t="str">
        <f>IF($C13="B",VLOOKUP($A13,Bat!$A$4:$BD$2323,J$1,FALSE),VLOOKUP($A13,Pit!$A$4:$AZ$2261,J$2,FALSE))</f>
        <v>High</v>
      </c>
      <c r="K13" s="17" t="str">
        <f>IF($C13="B",VLOOKUP($A13,Bat!$A$4:$BD$2323,K$1,FALSE),VLOOKUP($A13,Pit!$A$4:$AZ$2261,K$2,FALSE))</f>
        <v>Very Low</v>
      </c>
      <c r="L13" s="16">
        <f>IF($C13="B",VLOOKUP($A13,Bat!$A$4:$BD$2323,L$1,FALSE),VLOOKUP($A13,Pit!$A$4:$AZ$2261,L$2,FALSE))</f>
        <v>8</v>
      </c>
      <c r="M13" s="16">
        <f>IF($C13="B",VLOOKUP($A13,Bat!$A$4:$BD$2323,M$1,FALSE),VLOOKUP($A13,Pit!$A$4:$AZ$2261,M$2,FALSE))</f>
        <v>7</v>
      </c>
      <c r="N13" s="16">
        <f>IF($C13="B",VLOOKUP($A13,Bat!$A$4:$BD$2323,N$1,FALSE),VLOOKUP($A13,Pit!$A$4:$AZ$2261,N$2,FALSE))</f>
        <v>7</v>
      </c>
      <c r="O13" s="16">
        <f>IF($C13="B",VLOOKUP($A13,Bat!$A$4:$BD$2323,O$1,FALSE),VLOOKUP($A13,Pit!$A$4:$AZ$2261,O$2,FALSE))</f>
        <v>5</v>
      </c>
      <c r="P13" s="17">
        <f>IF($C13="B",VLOOKUP($A13,Bat!$A$4:$BD$2323,P$1,FALSE),VLOOKUP($A13,Pit!$A$4:$AZ$2261,P$2,FALSE))</f>
        <v>5</v>
      </c>
      <c r="Q13" s="18">
        <f>IF($C13="B",VLOOKUP($A13,Bat!$A$4:$BD$2323,Q$1,FALSE),VLOOKUP($A13,Pit!$A$4:$AZ$2261,Q$2,FALSE))</f>
        <v>27.836181120485222</v>
      </c>
      <c r="R13" s="19">
        <f>IF($C13="B",VLOOKUP($A13,Bat!$A$4:$BD$2323,R$1,FALSE),VLOOKUP($A13,Pit!$A$4:$AZ$2261,R$2,FALSE))</f>
        <v>2.3852735215551708</v>
      </c>
      <c r="S13" s="20">
        <f>IF($C13="B",VLOOKUP($A13,Bat!$A$4:$BD$2323,S$1,FALSE),VLOOKUP($A13,Pit!$A$4:$AZ$2261,S$2,FALSE))</f>
        <v>1600000</v>
      </c>
      <c r="T13" s="17" t="str">
        <f>IF(S13="Slot","",VLOOKUP(IF($C13="B",VLOOKUP($A13,Bat!$A$4:$AT$2323,T$1,FALSE),VLOOKUP($A13,Pit!$A$4:$BD$2261,T$2,FALSE)),COND!$A$34:$B$40,2,FALSE))</f>
        <v>EH</v>
      </c>
      <c r="U13" s="21">
        <f>IF($C13="B",VLOOKUP($A13,Bat!$A$4:$AR$1287,44,FALSE),VLOOKUP($A13,Pit!$A$4:$BB$1239,54,FALSE))</f>
        <v>22</v>
      </c>
      <c r="W13" s="21">
        <f t="shared" si="2"/>
        <v>22</v>
      </c>
      <c r="X13" s="22" t="e">
        <f t="shared" si="3"/>
        <v>#N/A</v>
      </c>
      <c r="Y13" s="16" t="str">
        <f>IF(ISERROR(VLOOKUP($E13&amp;$F13,Results!$A$2:$G$413,Y$1,FALSE)),"",VLOOKUP($E13&amp;$F13,Results!$A$2:$G$413,Y$1,FALSE))</f>
        <v/>
      </c>
      <c r="Z13" s="16" t="str">
        <f>IF(ISERROR(VLOOKUP($E13&amp;$F13,Results!$A$2:$G$413,Z$1,FALSE)),"",VLOOKUP($E13&amp;$F13,Results!$A$2:$G$413,Z$1,FALSE))</f>
        <v/>
      </c>
      <c r="AA13" s="16" t="str">
        <f>IF(ISERROR(VLOOKUP($E13&amp;$F13,Results!$A$2:$G$413,AA$1,FALSE)),"",VLOOKUP($E13&amp;$F13,Results!$A$2:$G$413,AA$1,FALSE))</f>
        <v/>
      </c>
      <c r="AB13" s="16" t="str">
        <f>IF(ISERROR(VLOOKUP($E13&amp;$F13,Results!$A$2:$G$413,AB$1,FALSE)),"",VLOOKUP($E13&amp;$F13,Results!$A$2:$G$413,AB$1,FALSE))</f>
        <v/>
      </c>
      <c r="AC13" s="16"/>
      <c r="AD13" s="20" t="str">
        <f>IF(ISERROR(VLOOKUP($AB13&amp;"-"&amp;$F13,Bonuses!$B$1:$G$1000,4,FALSE)),"",INT(VLOOKUP($AB13&amp;"-"&amp;$F13,Bonuses!$B$1:$G$1000,4,FALSE)))</f>
        <v/>
      </c>
      <c r="AE13" s="16" t="str">
        <f>IF(ISERROR(VLOOKUP($AB13&amp;"-"&amp;$F13,Bonuses!$B$1:$G$1000,5,FALSE)),"",IF(VLOOKUP($AB13&amp;"-"&amp;$F13,Bonuses!$B$1:$G$1000,5,FALSE)="","",VLOOKUP($AB13&amp;"-"&amp;$F13,Bonuses!$B$1:$G$1000,6,FALSE)&amp;" yrs, "&amp;VLOOKUP($AB13&amp;"-"&amp;$F13,Bonuses!$B$1:$G$1000,5,FALSE)))</f>
        <v/>
      </c>
    </row>
    <row r="14" spans="1:31" s="21" customFormat="1">
      <c r="A14" s="21" t="s">
        <v>1078</v>
      </c>
      <c r="B14" s="21">
        <f t="shared" si="0"/>
        <v>1</v>
      </c>
      <c r="C14" s="21" t="str">
        <f t="shared" si="1"/>
        <v>B</v>
      </c>
      <c r="D14" s="17">
        <f>IF($C14="B",VLOOKUP($A14,Bat!$A$4:$BD$2323,D$1,FALSE),VLOOKUP($A14,Pit!$A$4:$AZ$2261,D$2,FALSE))</f>
        <v>7069</v>
      </c>
      <c r="E14" s="16" t="str">
        <f>IF($C14="B",VLOOKUP($A14,Bat!$A$4:$BD$2323,E$1,FALSE),VLOOKUP($A14,Pit!$A$4:$AZ$2261,E$2,FALSE))</f>
        <v>RF</v>
      </c>
      <c r="F14" s="16" t="str">
        <f>IF($C14="B",VLOOKUP($A14,Bat!$A$4:$BD$2323,F$1,FALSE),VLOOKUP($A14,Pit!$A$4:$AZ$2261,F$2,FALSE))</f>
        <v>Stephen Hooper</v>
      </c>
      <c r="G14" s="16">
        <f>IF($C14="B",VLOOKUP($A14,Bat!$A$4:$BD$2323,G$1,FALSE),VLOOKUP($A14,Pit!$A$4:$AZ$2261,G$2,FALSE))</f>
        <v>21</v>
      </c>
      <c r="H14" s="16" t="str">
        <f>IF($C14="B",VLOOKUP($A14,Bat!$A$4:$BD$2323,H$1,FALSE),VLOOKUP($A14,Pit!$A$4:$AZ$2261,H$2,FALSE))</f>
        <v>L</v>
      </c>
      <c r="I14" s="16" t="str">
        <f>IF($C14="B",VLOOKUP($A14,Bat!$A$4:$BD$2323,I$1,FALSE),VLOOKUP($A14,Pit!$A$4:$AZ$2261,I$2,FALSE))</f>
        <v>L</v>
      </c>
      <c r="J14" s="16" t="str">
        <f>IF($C14="B",VLOOKUP($A14,Bat!$A$4:$BD$2323,J$1,FALSE),VLOOKUP($A14,Pit!$A$4:$AZ$2261,J$2,FALSE))</f>
        <v>Normal</v>
      </c>
      <c r="K14" s="17" t="str">
        <f>IF($C14="B",VLOOKUP($A14,Bat!$A$4:$BD$2323,K$1,FALSE),VLOOKUP($A14,Pit!$A$4:$AZ$2261,K$2,FALSE))</f>
        <v>Normal</v>
      </c>
      <c r="L14" s="16">
        <f>IF($C14="B",VLOOKUP($A14,Bat!$A$4:$BD$2323,L$1,FALSE),VLOOKUP($A14,Pit!$A$4:$AZ$2261,L$2,FALSE))</f>
        <v>7</v>
      </c>
      <c r="M14" s="16">
        <f>IF($C14="B",VLOOKUP($A14,Bat!$A$4:$BD$2323,M$1,FALSE),VLOOKUP($A14,Pit!$A$4:$AZ$2261,M$2,FALSE))</f>
        <v>9</v>
      </c>
      <c r="N14" s="16">
        <f>IF($C14="B",VLOOKUP($A14,Bat!$A$4:$BD$2323,N$1,FALSE),VLOOKUP($A14,Pit!$A$4:$AZ$2261,N$2,FALSE))</f>
        <v>7</v>
      </c>
      <c r="O14" s="16">
        <f>IF($C14="B",VLOOKUP($A14,Bat!$A$4:$BD$2323,O$1,FALSE),VLOOKUP($A14,Pit!$A$4:$AZ$2261,O$2,FALSE))</f>
        <v>7</v>
      </c>
      <c r="P14" s="17">
        <f>IF($C14="B",VLOOKUP($A14,Bat!$A$4:$BD$2323,P$1,FALSE),VLOOKUP($A14,Pit!$A$4:$AZ$2261,P$2,FALSE))</f>
        <v>6</v>
      </c>
      <c r="Q14" s="18">
        <f>IF($C14="B",VLOOKUP($A14,Bat!$A$4:$BD$2323,Q$1,FALSE),VLOOKUP($A14,Pit!$A$4:$AZ$2261,Q$2,FALSE))</f>
        <v>29.133144429937914</v>
      </c>
      <c r="R14" s="19">
        <f>IF($C14="B",VLOOKUP($A14,Bat!$A$4:$BD$2323,R$1,FALSE),VLOOKUP($A14,Pit!$A$4:$AZ$2261,R$2,FALSE))</f>
        <v>2.5654524021663163</v>
      </c>
      <c r="S14" s="20">
        <f>IF($C14="B",VLOOKUP($A14,Bat!$A$4:$BD$2323,S$1,FALSE),VLOOKUP($A14,Pit!$A$4:$AZ$2261,S$2,FALSE))</f>
        <v>4600000</v>
      </c>
      <c r="T14" s="17" t="str">
        <f>IF(S14="Slot","",VLOOKUP(IF($C14="B",VLOOKUP($A14,Bat!$A$4:$AT$2323,T$1,FALSE),VLOOKUP($A14,Pit!$A$4:$BD$2261,T$2,FALSE)),COND!$A$34:$B$40,2,FALSE))</f>
        <v>EZ</v>
      </c>
      <c r="U14" s="21">
        <f>IF($C14="B",VLOOKUP($A14,Bat!$A$4:$AR$1287,44,FALSE),VLOOKUP($A14,Pit!$A$4:$BB$1239,54,FALSE))</f>
        <v>6</v>
      </c>
      <c r="W14" s="21">
        <f t="shared" si="2"/>
        <v>6</v>
      </c>
      <c r="X14" s="22" t="e">
        <f t="shared" si="3"/>
        <v>#N/A</v>
      </c>
      <c r="Y14" s="16" t="str">
        <f>IF(ISERROR(VLOOKUP($E14&amp;$F14,Results!$A$2:$G$413,Y$1,FALSE)),"",VLOOKUP($E14&amp;$F14,Results!$A$2:$G$413,Y$1,FALSE))</f>
        <v/>
      </c>
      <c r="Z14" s="16" t="str">
        <f>IF(ISERROR(VLOOKUP($E14&amp;$F14,Results!$A$2:$G$413,Z$1,FALSE)),"",VLOOKUP($E14&amp;$F14,Results!$A$2:$G$413,Z$1,FALSE))</f>
        <v/>
      </c>
      <c r="AA14" s="16" t="str">
        <f>IF(ISERROR(VLOOKUP($E14&amp;$F14,Results!$A$2:$G$413,AA$1,FALSE)),"",VLOOKUP($E14&amp;$F14,Results!$A$2:$G$413,AA$1,FALSE))</f>
        <v/>
      </c>
      <c r="AB14" s="16" t="str">
        <f>IF(ISERROR(VLOOKUP($E14&amp;$F14,Results!$A$2:$G$413,AB$1,FALSE)),"",VLOOKUP($E14&amp;$F14,Results!$A$2:$G$413,AB$1,FALSE))</f>
        <v/>
      </c>
      <c r="AC14" s="16"/>
      <c r="AD14" s="20" t="str">
        <f>IF(ISERROR(VLOOKUP($AB14&amp;"-"&amp;$F14,Bonuses!$B$1:$G$1000,4,FALSE)),"",INT(VLOOKUP($AB14&amp;"-"&amp;$F14,Bonuses!$B$1:$G$1000,4,FALSE)))</f>
        <v/>
      </c>
      <c r="AE14" s="16" t="str">
        <f>IF(ISERROR(VLOOKUP($AB14&amp;"-"&amp;$F14,Bonuses!$B$1:$G$1000,5,FALSE)),"",IF(VLOOKUP($AB14&amp;"-"&amp;$F14,Bonuses!$B$1:$G$1000,5,FALSE)="","",VLOOKUP($AB14&amp;"-"&amp;$F14,Bonuses!$B$1:$G$1000,6,FALSE)&amp;" yrs, "&amp;VLOOKUP($AB14&amp;"-"&amp;$F14,Bonuses!$B$1:$G$1000,5,FALSE)))</f>
        <v/>
      </c>
    </row>
    <row r="15" spans="1:31" s="21" customFormat="1">
      <c r="A15" s="21" t="s">
        <v>907</v>
      </c>
      <c r="B15" s="21">
        <f t="shared" si="0"/>
        <v>1</v>
      </c>
      <c r="C15" s="21" t="str">
        <f t="shared" si="1"/>
        <v>B</v>
      </c>
      <c r="D15" s="17">
        <f>IF($C15="B",VLOOKUP($A15,Bat!$A$4:$BD$2323,D$1,FALSE),VLOOKUP($A15,Pit!$A$4:$AZ$2261,D$2,FALSE))</f>
        <v>986</v>
      </c>
      <c r="E15" s="16" t="str">
        <f>IF($C15="B",VLOOKUP($A15,Bat!$A$4:$BD$2323,E$1,FALSE),VLOOKUP($A15,Pit!$A$4:$AZ$2261,E$2,FALSE))</f>
        <v>2B</v>
      </c>
      <c r="F15" s="16" t="str">
        <f>IF($C15="B",VLOOKUP($A15,Bat!$A$4:$BD$2323,F$1,FALSE),VLOOKUP($A15,Pit!$A$4:$AZ$2261,F$2,FALSE))</f>
        <v>Lonnie Evans</v>
      </c>
      <c r="G15" s="16">
        <f>IF($C15="B",VLOOKUP($A15,Bat!$A$4:$BD$2323,G$1,FALSE),VLOOKUP($A15,Pit!$A$4:$AZ$2261,G$2,FALSE))</f>
        <v>18</v>
      </c>
      <c r="H15" s="16" t="str">
        <f>IF($C15="B",VLOOKUP($A15,Bat!$A$4:$BD$2323,H$1,FALSE),VLOOKUP($A15,Pit!$A$4:$AZ$2261,H$2,FALSE))</f>
        <v>R</v>
      </c>
      <c r="I15" s="16" t="str">
        <f>IF($C15="B",VLOOKUP($A15,Bat!$A$4:$BD$2323,I$1,FALSE),VLOOKUP($A15,Pit!$A$4:$AZ$2261,I$2,FALSE))</f>
        <v>R</v>
      </c>
      <c r="J15" s="16" t="str">
        <f>IF($C15="B",VLOOKUP($A15,Bat!$A$4:$BD$2323,J$1,FALSE),VLOOKUP($A15,Pit!$A$4:$AZ$2261,J$2,FALSE))</f>
        <v>Normal</v>
      </c>
      <c r="K15" s="17" t="str">
        <f>IF($C15="B",VLOOKUP($A15,Bat!$A$4:$BD$2323,K$1,FALSE),VLOOKUP($A15,Pit!$A$4:$AZ$2261,K$2,FALSE))</f>
        <v>Low</v>
      </c>
      <c r="L15" s="16">
        <f>IF($C15="B",VLOOKUP($A15,Bat!$A$4:$BD$2323,L$1,FALSE),VLOOKUP($A15,Pit!$A$4:$AZ$2261,L$2,FALSE))</f>
        <v>8</v>
      </c>
      <c r="M15" s="16">
        <f>IF($C15="B",VLOOKUP($A15,Bat!$A$4:$BD$2323,M$1,FALSE),VLOOKUP($A15,Pit!$A$4:$AZ$2261,M$2,FALSE))</f>
        <v>5</v>
      </c>
      <c r="N15" s="16">
        <f>IF($C15="B",VLOOKUP($A15,Bat!$A$4:$BD$2323,N$1,FALSE),VLOOKUP($A15,Pit!$A$4:$AZ$2261,N$2,FALSE))</f>
        <v>4</v>
      </c>
      <c r="O15" s="16">
        <f>IF($C15="B",VLOOKUP($A15,Bat!$A$4:$BD$2323,O$1,FALSE),VLOOKUP($A15,Pit!$A$4:$AZ$2261,O$2,FALSE))</f>
        <v>5</v>
      </c>
      <c r="P15" s="17">
        <f>IF($C15="B",VLOOKUP($A15,Bat!$A$4:$BD$2323,P$1,FALSE),VLOOKUP($A15,Pit!$A$4:$AZ$2261,P$2,FALSE))</f>
        <v>8</v>
      </c>
      <c r="Q15" s="18">
        <f>IF($C15="B",VLOOKUP($A15,Bat!$A$4:$BD$2323,Q$1,FALSE),VLOOKUP($A15,Pit!$A$4:$AZ$2261,Q$2,FALSE))</f>
        <v>25.107961636398038</v>
      </c>
      <c r="R15" s="19">
        <f>IF($C15="B",VLOOKUP($A15,Bat!$A$4:$BD$2323,R$1,FALSE),VLOOKUP($A15,Pit!$A$4:$AZ$2261,R$2,FALSE))</f>
        <v>2.0062593049450013</v>
      </c>
      <c r="S15" s="20" t="str">
        <f>IF($C15="B",VLOOKUP($A15,Bat!$A$4:$BD$2323,S$1,FALSE),VLOOKUP($A15,Pit!$A$4:$AZ$2261,S$2,FALSE))</f>
        <v>Slot</v>
      </c>
      <c r="T15" s="17" t="str">
        <f>IF(S15="Slot","",VLOOKUP(IF($C15="B",VLOOKUP($A15,Bat!$A$4:$AT$2323,T$1,FALSE),VLOOKUP($A15,Pit!$A$4:$BD$2261,T$2,FALSE)),COND!$A$34:$B$40,2,FALSE))</f>
        <v/>
      </c>
      <c r="U15" s="21">
        <f>IF($C15="B",VLOOKUP($A15,Bat!$A$4:$AR$1287,44,FALSE),VLOOKUP($A15,Pit!$A$4:$BB$1239,54,FALSE))</f>
        <v>8</v>
      </c>
      <c r="W15" s="21">
        <f t="shared" si="2"/>
        <v>8</v>
      </c>
      <c r="X15" s="22" t="e">
        <f t="shared" si="3"/>
        <v>#N/A</v>
      </c>
      <c r="Y15" s="16" t="str">
        <f>IF(ISERROR(VLOOKUP($E15&amp;$F15,Results!$A$2:$G$413,Y$1,FALSE)),"",VLOOKUP($E15&amp;$F15,Results!$A$2:$G$413,Y$1,FALSE))</f>
        <v/>
      </c>
      <c r="Z15" s="16" t="str">
        <f>IF(ISERROR(VLOOKUP($E15&amp;$F15,Results!$A$2:$G$413,Z$1,FALSE)),"",VLOOKUP($E15&amp;$F15,Results!$A$2:$G$413,Z$1,FALSE))</f>
        <v/>
      </c>
      <c r="AA15" s="16" t="str">
        <f>IF(ISERROR(VLOOKUP($E15&amp;$F15,Results!$A$2:$G$413,AA$1,FALSE)),"",VLOOKUP($E15&amp;$F15,Results!$A$2:$G$413,AA$1,FALSE))</f>
        <v/>
      </c>
      <c r="AB15" s="16" t="str">
        <f>IF(ISERROR(VLOOKUP($E15&amp;$F15,Results!$A$2:$G$413,AB$1,FALSE)),"",VLOOKUP($E15&amp;$F15,Results!$A$2:$G$413,AB$1,FALSE))</f>
        <v/>
      </c>
      <c r="AC15" s="16"/>
      <c r="AD15" s="20" t="str">
        <f>IF(ISERROR(VLOOKUP($AB15&amp;"-"&amp;$F15,Bonuses!$B$1:$G$1000,4,FALSE)),"",INT(VLOOKUP($AB15&amp;"-"&amp;$F15,Bonuses!$B$1:$G$1000,4,FALSE)))</f>
        <v/>
      </c>
      <c r="AE15" s="16" t="str">
        <f>IF(ISERROR(VLOOKUP($AB15&amp;"-"&amp;$F15,Bonuses!$B$1:$G$1000,5,FALSE)),"",IF(VLOOKUP($AB15&amp;"-"&amp;$F15,Bonuses!$B$1:$G$1000,5,FALSE)="","",VLOOKUP($AB15&amp;"-"&amp;$F15,Bonuses!$B$1:$G$1000,6,FALSE)&amp;" yrs, "&amp;VLOOKUP($AB15&amp;"-"&amp;$F15,Bonuses!$B$1:$G$1000,5,FALSE)))</f>
        <v/>
      </c>
    </row>
    <row r="16" spans="1:31" s="21" customFormat="1">
      <c r="A16" s="21" t="s">
        <v>905</v>
      </c>
      <c r="B16" s="21">
        <f t="shared" si="0"/>
        <v>1</v>
      </c>
      <c r="C16" s="21" t="str">
        <f t="shared" si="1"/>
        <v>B</v>
      </c>
      <c r="D16" s="17">
        <f>IF($C16="B",VLOOKUP($A16,Bat!$A$4:$BD$2323,D$1,FALSE),VLOOKUP($A16,Pit!$A$4:$AZ$2261,D$2,FALSE))</f>
        <v>8302</v>
      </c>
      <c r="E16" s="16" t="str">
        <f>IF($C16="B",VLOOKUP($A16,Bat!$A$4:$BD$2323,E$1,FALSE),VLOOKUP($A16,Pit!$A$4:$AZ$2261,E$2,FALSE))</f>
        <v>CF</v>
      </c>
      <c r="F16" s="16" t="str">
        <f>IF($C16="B",VLOOKUP($A16,Bat!$A$4:$BD$2323,F$1,FALSE),VLOOKUP($A16,Pit!$A$4:$AZ$2261,F$2,FALSE))</f>
        <v>King Bailey</v>
      </c>
      <c r="G16" s="16">
        <f>IF($C16="B",VLOOKUP($A16,Bat!$A$4:$BD$2323,G$1,FALSE),VLOOKUP($A16,Pit!$A$4:$AZ$2261,G$2,FALSE))</f>
        <v>21</v>
      </c>
      <c r="H16" s="16" t="str">
        <f>IF($C16="B",VLOOKUP($A16,Bat!$A$4:$BD$2323,H$1,FALSE),VLOOKUP($A16,Pit!$A$4:$AZ$2261,H$2,FALSE))</f>
        <v>R</v>
      </c>
      <c r="I16" s="16" t="str">
        <f>IF($C16="B",VLOOKUP($A16,Bat!$A$4:$BD$2323,I$1,FALSE),VLOOKUP($A16,Pit!$A$4:$AZ$2261,I$2,FALSE))</f>
        <v>R</v>
      </c>
      <c r="J16" s="16" t="str">
        <f>IF($C16="B",VLOOKUP($A16,Bat!$A$4:$BD$2323,J$1,FALSE),VLOOKUP($A16,Pit!$A$4:$AZ$2261,J$2,FALSE))</f>
        <v>Normal</v>
      </c>
      <c r="K16" s="17" t="str">
        <f>IF($C16="B",VLOOKUP($A16,Bat!$A$4:$BD$2323,K$1,FALSE),VLOOKUP($A16,Pit!$A$4:$AZ$2261,K$2,FALSE))</f>
        <v>Very Low</v>
      </c>
      <c r="L16" s="16">
        <f>IF($C16="B",VLOOKUP($A16,Bat!$A$4:$BD$2323,L$1,FALSE),VLOOKUP($A16,Pit!$A$4:$AZ$2261,L$2,FALSE))</f>
        <v>6</v>
      </c>
      <c r="M16" s="16">
        <f>IF($C16="B",VLOOKUP($A16,Bat!$A$4:$BD$2323,M$1,FALSE),VLOOKUP($A16,Pit!$A$4:$AZ$2261,M$2,FALSE))</f>
        <v>7</v>
      </c>
      <c r="N16" s="16">
        <f>IF($C16="B",VLOOKUP($A16,Bat!$A$4:$BD$2323,N$1,FALSE),VLOOKUP($A16,Pit!$A$4:$AZ$2261,N$2,FALSE))</f>
        <v>6</v>
      </c>
      <c r="O16" s="16">
        <f>IF($C16="B",VLOOKUP($A16,Bat!$A$4:$BD$2323,O$1,FALSE),VLOOKUP($A16,Pit!$A$4:$AZ$2261,O$2,FALSE))</f>
        <v>6</v>
      </c>
      <c r="P16" s="17">
        <f>IF($C16="B",VLOOKUP($A16,Bat!$A$4:$BD$2323,P$1,FALSE),VLOOKUP($A16,Pit!$A$4:$AZ$2261,P$2,FALSE))</f>
        <v>5</v>
      </c>
      <c r="Q16" s="18">
        <f>IF($C16="B",VLOOKUP($A16,Bat!$A$4:$BD$2323,Q$1,FALSE),VLOOKUP($A16,Pit!$A$4:$AZ$2261,Q$2,FALSE))</f>
        <v>22.339235437834205</v>
      </c>
      <c r="R16" s="19">
        <f>IF($C16="B",VLOOKUP($A16,Bat!$A$4:$BD$2323,R$1,FALSE),VLOOKUP($A16,Pit!$A$4:$AZ$2261,R$2,FALSE))</f>
        <v>1.6216177475932361</v>
      </c>
      <c r="S16" s="20">
        <f>IF($C16="B",VLOOKUP($A16,Bat!$A$4:$BD$2323,S$1,FALSE),VLOOKUP($A16,Pit!$A$4:$AZ$2261,S$2,FALSE))</f>
        <v>5500000</v>
      </c>
      <c r="T16" s="17" t="str">
        <f>IF(S16="Slot","",VLOOKUP(IF($C16="B",VLOOKUP($A16,Bat!$A$4:$AT$2323,T$1,FALSE),VLOOKUP($A16,Pit!$A$4:$BD$2261,T$2,FALSE)),COND!$A$34:$B$40,2,FALSE))</f>
        <v>N</v>
      </c>
      <c r="U16" s="21">
        <f>IF($C16="B",VLOOKUP($A16,Bat!$A$4:$AR$1287,44,FALSE),VLOOKUP($A16,Pit!$A$4:$BB$1239,54,FALSE))</f>
        <v>10</v>
      </c>
      <c r="W16" s="21">
        <f t="shared" si="2"/>
        <v>10</v>
      </c>
      <c r="X16" s="22" t="e">
        <f t="shared" si="3"/>
        <v>#N/A</v>
      </c>
      <c r="Y16" s="16" t="str">
        <f>IF(ISERROR(VLOOKUP($E16&amp;$F16,Results!$A$2:$G$413,Y$1,FALSE)),"",VLOOKUP($E16&amp;$F16,Results!$A$2:$G$413,Y$1,FALSE))</f>
        <v/>
      </c>
      <c r="Z16" s="16" t="str">
        <f>IF(ISERROR(VLOOKUP($E16&amp;$F16,Results!$A$2:$G$413,Z$1,FALSE)),"",VLOOKUP($E16&amp;$F16,Results!$A$2:$G$413,Z$1,FALSE))</f>
        <v/>
      </c>
      <c r="AA16" s="16" t="str">
        <f>IF(ISERROR(VLOOKUP($E16&amp;$F16,Results!$A$2:$G$413,AA$1,FALSE)),"",VLOOKUP($E16&amp;$F16,Results!$A$2:$G$413,AA$1,FALSE))</f>
        <v/>
      </c>
      <c r="AB16" s="16" t="str">
        <f>IF(ISERROR(VLOOKUP($E16&amp;$F16,Results!$A$2:$G$413,AB$1,FALSE)),"",VLOOKUP($E16&amp;$F16,Results!$A$2:$G$413,AB$1,FALSE))</f>
        <v/>
      </c>
      <c r="AC16" s="16"/>
      <c r="AD16" s="20" t="str">
        <f>IF(ISERROR(VLOOKUP($AB16&amp;"-"&amp;$F16,Bonuses!$B$1:$G$1000,4,FALSE)),"",INT(VLOOKUP($AB16&amp;"-"&amp;$F16,Bonuses!$B$1:$G$1000,4,FALSE)))</f>
        <v/>
      </c>
      <c r="AE16" s="16" t="str">
        <f>IF(ISERROR(VLOOKUP($AB16&amp;"-"&amp;$F16,Bonuses!$B$1:$G$1000,5,FALSE)),"",IF(VLOOKUP($AB16&amp;"-"&amp;$F16,Bonuses!$B$1:$G$1000,5,FALSE)="","",VLOOKUP($AB16&amp;"-"&amp;$F16,Bonuses!$B$1:$G$1000,6,FALSE)&amp;" yrs, "&amp;VLOOKUP($AB16&amp;"-"&amp;$F16,Bonuses!$B$1:$G$1000,5,FALSE)))</f>
        <v/>
      </c>
    </row>
    <row r="17" spans="1:31" s="21" customFormat="1">
      <c r="A17" s="21" t="s">
        <v>1080</v>
      </c>
      <c r="B17" s="21">
        <f t="shared" si="0"/>
        <v>1</v>
      </c>
      <c r="C17" s="21" t="str">
        <f t="shared" si="1"/>
        <v>B</v>
      </c>
      <c r="D17" s="17" t="e">
        <f>IF($C17="B",VLOOKUP($A17,Bat!$A$4:$BD$2323,D$1,FALSE),VLOOKUP($A17,Pit!$A$4:$AZ$2261,D$2,FALSE))</f>
        <v>#N/A</v>
      </c>
      <c r="E17" s="16" t="str">
        <f>IF($C17="B",VLOOKUP($A17,Bat!$A$4:$BD$2323,E$1,FALSE),VLOOKUP($A17,Pit!$A$4:$AZ$2261,E$2,FALSE))</f>
        <v>LF</v>
      </c>
      <c r="F17" s="16" t="str">
        <f>IF($C17="B",VLOOKUP($A17,Bat!$A$4:$BD$2323,F$1,FALSE),VLOOKUP($A17,Pit!$A$4:$AZ$2261,F$2,FALSE))</f>
        <v>Gabriel Martínez</v>
      </c>
      <c r="G17" s="16">
        <f>IF($C17="B",VLOOKUP($A17,Bat!$A$4:$BD$2323,G$1,FALSE),VLOOKUP($A17,Pit!$A$4:$AZ$2261,G$2,FALSE))</f>
        <v>21</v>
      </c>
      <c r="H17" s="16" t="str">
        <f>IF($C17="B",VLOOKUP($A17,Bat!$A$4:$BD$2323,H$1,FALSE),VLOOKUP($A17,Pit!$A$4:$AZ$2261,H$2,FALSE))</f>
        <v>L</v>
      </c>
      <c r="I17" s="16" t="str">
        <f>IF($C17="B",VLOOKUP($A17,Bat!$A$4:$BD$2323,I$1,FALSE),VLOOKUP($A17,Pit!$A$4:$AZ$2261,I$2,FALSE))</f>
        <v>L</v>
      </c>
      <c r="J17" s="16" t="str">
        <f>IF($C17="B",VLOOKUP($A17,Bat!$A$4:$BD$2323,J$1,FALSE),VLOOKUP($A17,Pit!$A$4:$AZ$2261,J$2,FALSE))</f>
        <v>Very High</v>
      </c>
      <c r="K17" s="17" t="str">
        <f>IF($C17="B",VLOOKUP($A17,Bat!$A$4:$BD$2323,K$1,FALSE),VLOOKUP($A17,Pit!$A$4:$AZ$2261,K$2,FALSE))</f>
        <v>Normal</v>
      </c>
      <c r="L17" s="16">
        <f>IF($C17="B",VLOOKUP($A17,Bat!$A$4:$BD$2323,L$1,FALSE),VLOOKUP($A17,Pit!$A$4:$AZ$2261,L$2,FALSE))</f>
        <v>8</v>
      </c>
      <c r="M17" s="16">
        <f>IF($C17="B",VLOOKUP($A17,Bat!$A$4:$BD$2323,M$1,FALSE),VLOOKUP($A17,Pit!$A$4:$AZ$2261,M$2,FALSE))</f>
        <v>8</v>
      </c>
      <c r="N17" s="16">
        <f>IF($C17="B",VLOOKUP($A17,Bat!$A$4:$BD$2323,N$1,FALSE),VLOOKUP($A17,Pit!$A$4:$AZ$2261,N$2,FALSE))</f>
        <v>7</v>
      </c>
      <c r="O17" s="16">
        <f>IF($C17="B",VLOOKUP($A17,Bat!$A$4:$BD$2323,O$1,FALSE),VLOOKUP($A17,Pit!$A$4:$AZ$2261,O$2,FALSE))</f>
        <v>6</v>
      </c>
      <c r="P17" s="17">
        <f>IF($C17="B",VLOOKUP($A17,Bat!$A$4:$BD$2323,P$1,FALSE),VLOOKUP($A17,Pit!$A$4:$AZ$2261,P$2,FALSE))</f>
        <v>6</v>
      </c>
      <c r="Q17" s="18">
        <f>IF($C17="B",VLOOKUP($A17,Bat!$A$4:$BD$2323,Q$1,FALSE),VLOOKUP($A17,Pit!$A$4:$AZ$2261,Q$2,FALSE))</f>
        <v>30.561097357535022</v>
      </c>
      <c r="R17" s="19">
        <f>IF($C17="B",VLOOKUP($A17,Bat!$A$4:$BD$2323,R$1,FALSE),VLOOKUP($A17,Pit!$A$4:$AZ$2261,R$2,FALSE))</f>
        <v>2.7638288390205146</v>
      </c>
      <c r="S17" s="20">
        <f>IF($C17="B",VLOOKUP($A17,Bat!$A$4:$BD$2323,S$1,FALSE),VLOOKUP($A17,Pit!$A$4:$AZ$2261,S$2,FALSE))</f>
        <v>2400000</v>
      </c>
      <c r="T17" s="17" t="str">
        <f>IF(S17="Slot","",VLOOKUP(IF($C17="B",VLOOKUP($A17,Bat!$A$4:$AT$2323,T$1,FALSE),VLOOKUP($A17,Pit!$A$4:$BD$2261,T$2,FALSE)),COND!$A$34:$B$40,2,FALSE))</f>
        <v>EH</v>
      </c>
      <c r="U17" s="21">
        <f>IF($C17="B",VLOOKUP($A17,Bat!$A$4:$AR$1287,44,FALSE),VLOOKUP($A17,Pit!$A$4:$BB$1239,54,FALSE))</f>
        <v>12</v>
      </c>
      <c r="W17" s="21">
        <f t="shared" si="2"/>
        <v>12</v>
      </c>
      <c r="X17" s="22" t="e">
        <f t="shared" si="3"/>
        <v>#N/A</v>
      </c>
      <c r="Y17" s="16" t="str">
        <f>IF(ISERROR(VLOOKUP($E17&amp;$F17,Results!$A$2:$G$413,Y$1,FALSE)),"",VLOOKUP($E17&amp;$F17,Results!$A$2:$G$413,Y$1,FALSE))</f>
        <v/>
      </c>
      <c r="Z17" s="16" t="str">
        <f>IF(ISERROR(VLOOKUP($E17&amp;$F17,Results!$A$2:$G$413,Z$1,FALSE)),"",VLOOKUP($E17&amp;$F17,Results!$A$2:$G$413,Z$1,FALSE))</f>
        <v/>
      </c>
      <c r="AA17" s="16" t="str">
        <f>IF(ISERROR(VLOOKUP($E17&amp;$F17,Results!$A$2:$G$413,AA$1,FALSE)),"",VLOOKUP($E17&amp;$F17,Results!$A$2:$G$413,AA$1,FALSE))</f>
        <v/>
      </c>
      <c r="AB17" s="16" t="str">
        <f>IF(ISERROR(VLOOKUP($E17&amp;$F17,Results!$A$2:$G$413,AB$1,FALSE)),"",VLOOKUP($E17&amp;$F17,Results!$A$2:$G$413,AB$1,FALSE))</f>
        <v/>
      </c>
      <c r="AC17" s="16"/>
      <c r="AD17" s="20" t="str">
        <f>IF(ISERROR(VLOOKUP($AB17&amp;"-"&amp;$F17,Bonuses!$B$1:$G$1000,4,FALSE)),"",INT(VLOOKUP($AB17&amp;"-"&amp;$F17,Bonuses!$B$1:$G$1000,4,FALSE)))</f>
        <v/>
      </c>
      <c r="AE17" s="16" t="str">
        <f>IF(ISERROR(VLOOKUP($AB17&amp;"-"&amp;$F17,Bonuses!$B$1:$G$1000,5,FALSE)),"",IF(VLOOKUP($AB17&amp;"-"&amp;$F17,Bonuses!$B$1:$G$1000,5,FALSE)="","",VLOOKUP($AB17&amp;"-"&amp;$F17,Bonuses!$B$1:$G$1000,6,FALSE)&amp;" yrs, "&amp;VLOOKUP($AB17&amp;"-"&amp;$F17,Bonuses!$B$1:$G$1000,5,FALSE)))</f>
        <v/>
      </c>
    </row>
    <row r="18" spans="1:31" s="21" customFormat="1">
      <c r="A18" s="21" t="s">
        <v>629</v>
      </c>
      <c r="B18" s="21">
        <f t="shared" si="0"/>
        <v>1</v>
      </c>
      <c r="C18" s="21" t="str">
        <f t="shared" si="1"/>
        <v>B</v>
      </c>
      <c r="D18" s="17">
        <f>IF($C18="B",VLOOKUP($A18,Bat!$A$4:$BD$2323,D$1,FALSE),VLOOKUP($A18,Pit!$A$4:$AZ$2261,D$2,FALSE))</f>
        <v>8370</v>
      </c>
      <c r="E18" s="16" t="str">
        <f>IF($C18="B",VLOOKUP($A18,Bat!$A$4:$BD$2323,E$1,FALSE),VLOOKUP($A18,Pit!$A$4:$AZ$2261,E$2,FALSE))</f>
        <v>C</v>
      </c>
      <c r="F18" s="16" t="str">
        <f>IF($C18="B",VLOOKUP($A18,Bat!$A$4:$BD$2323,F$1,FALSE),VLOOKUP($A18,Pit!$A$4:$AZ$2261,F$2,FALSE))</f>
        <v>John Klinger</v>
      </c>
      <c r="G18" s="16">
        <f>IF($C18="B",VLOOKUP($A18,Bat!$A$4:$BD$2323,G$1,FALSE),VLOOKUP($A18,Pit!$A$4:$AZ$2261,G$2,FALSE))</f>
        <v>21</v>
      </c>
      <c r="H18" s="16" t="str">
        <f>IF($C18="B",VLOOKUP($A18,Bat!$A$4:$BD$2323,H$1,FALSE),VLOOKUP($A18,Pit!$A$4:$AZ$2261,H$2,FALSE))</f>
        <v>R</v>
      </c>
      <c r="I18" s="16" t="str">
        <f>IF($C18="B",VLOOKUP($A18,Bat!$A$4:$BD$2323,I$1,FALSE),VLOOKUP($A18,Pit!$A$4:$AZ$2261,I$2,FALSE))</f>
        <v>R</v>
      </c>
      <c r="J18" s="16" t="str">
        <f>IF($C18="B",VLOOKUP($A18,Bat!$A$4:$BD$2323,J$1,FALSE),VLOOKUP($A18,Pit!$A$4:$AZ$2261,J$2,FALSE))</f>
        <v>Normal</v>
      </c>
      <c r="K18" s="17" t="str">
        <f>IF($C18="B",VLOOKUP($A18,Bat!$A$4:$BD$2323,K$1,FALSE),VLOOKUP($A18,Pit!$A$4:$AZ$2261,K$2,FALSE))</f>
        <v>Normal</v>
      </c>
      <c r="L18" s="16">
        <f>IF($C18="B",VLOOKUP($A18,Bat!$A$4:$BD$2323,L$1,FALSE),VLOOKUP($A18,Pit!$A$4:$AZ$2261,L$2,FALSE))</f>
        <v>5</v>
      </c>
      <c r="M18" s="16">
        <f>IF($C18="B",VLOOKUP($A18,Bat!$A$4:$BD$2323,M$1,FALSE),VLOOKUP($A18,Pit!$A$4:$AZ$2261,M$2,FALSE))</f>
        <v>8</v>
      </c>
      <c r="N18" s="16">
        <f>IF($C18="B",VLOOKUP($A18,Bat!$A$4:$BD$2323,N$1,FALSE),VLOOKUP($A18,Pit!$A$4:$AZ$2261,N$2,FALSE))</f>
        <v>7</v>
      </c>
      <c r="O18" s="16">
        <f>IF($C18="B",VLOOKUP($A18,Bat!$A$4:$BD$2323,O$1,FALSE),VLOOKUP($A18,Pit!$A$4:$AZ$2261,O$2,FALSE))</f>
        <v>5</v>
      </c>
      <c r="P18" s="17">
        <f>IF($C18="B",VLOOKUP($A18,Bat!$A$4:$BD$2323,P$1,FALSE),VLOOKUP($A18,Pit!$A$4:$AZ$2261,P$2,FALSE))</f>
        <v>5</v>
      </c>
      <c r="Q18" s="18">
        <f>IF($C18="B",VLOOKUP($A18,Bat!$A$4:$BD$2323,Q$1,FALSE),VLOOKUP($A18,Pit!$A$4:$AZ$2261,Q$2,FALSE))</f>
        <v>18.618504598698824</v>
      </c>
      <c r="R18" s="19">
        <f>IF($C18="B",VLOOKUP($A18,Bat!$A$4:$BD$2323,R$1,FALSE),VLOOKUP($A18,Pit!$A$4:$AZ$2261,R$2,FALSE))</f>
        <v>1.1047202280067474</v>
      </c>
      <c r="S18" s="20" t="str">
        <f>IF($C18="B",VLOOKUP($A18,Bat!$A$4:$BD$2323,S$1,FALSE),VLOOKUP($A18,Pit!$A$4:$AZ$2261,S$2,FALSE))</f>
        <v>Slot</v>
      </c>
      <c r="T18" s="17" t="str">
        <f>IF(S18="Slot","",VLOOKUP(IF($C18="B",VLOOKUP($A18,Bat!$A$4:$AT$2323,T$1,FALSE),VLOOKUP($A18,Pit!$A$4:$BD$2261,T$2,FALSE)),COND!$A$34:$B$40,2,FALSE))</f>
        <v/>
      </c>
      <c r="U18" s="21">
        <f>IF($C18="B",VLOOKUP($A18,Bat!$A$4:$AR$1287,44,FALSE),VLOOKUP($A18,Pit!$A$4:$BB$1239,54,FALSE))</f>
        <v>13</v>
      </c>
      <c r="W18" s="21">
        <f t="shared" si="2"/>
        <v>13</v>
      </c>
      <c r="X18" s="22" t="e">
        <f t="shared" si="3"/>
        <v>#N/A</v>
      </c>
      <c r="Y18" s="16" t="str">
        <f>IF(ISERROR(VLOOKUP($E18&amp;$F18,Results!$A$2:$G$413,Y$1,FALSE)),"",VLOOKUP($E18&amp;$F18,Results!$A$2:$G$413,Y$1,FALSE))</f>
        <v/>
      </c>
      <c r="Z18" s="16" t="str">
        <f>IF(ISERROR(VLOOKUP($E18&amp;$F18,Results!$A$2:$G$413,Z$1,FALSE)),"",VLOOKUP($E18&amp;$F18,Results!$A$2:$G$413,Z$1,FALSE))</f>
        <v/>
      </c>
      <c r="AA18" s="16" t="str">
        <f>IF(ISERROR(VLOOKUP($E18&amp;$F18,Results!$A$2:$G$413,AA$1,FALSE)),"",VLOOKUP($E18&amp;$F18,Results!$A$2:$G$413,AA$1,FALSE))</f>
        <v/>
      </c>
      <c r="AB18" s="16" t="str">
        <f>IF(ISERROR(VLOOKUP($E18&amp;$F18,Results!$A$2:$G$413,AB$1,FALSE)),"",VLOOKUP($E18&amp;$F18,Results!$A$2:$G$413,AB$1,FALSE))</f>
        <v/>
      </c>
      <c r="AC18" s="16"/>
      <c r="AD18" s="20" t="str">
        <f>IF(ISERROR(VLOOKUP($AB18&amp;"-"&amp;$F18,Bonuses!$B$1:$G$1000,4,FALSE)),"",INT(VLOOKUP($AB18&amp;"-"&amp;$F18,Bonuses!$B$1:$G$1000,4,FALSE)))</f>
        <v/>
      </c>
      <c r="AE18" s="16" t="str">
        <f>IF(ISERROR(VLOOKUP($AB18&amp;"-"&amp;$F18,Bonuses!$B$1:$G$1000,5,FALSE)),"",IF(VLOOKUP($AB18&amp;"-"&amp;$F18,Bonuses!$B$1:$G$1000,5,FALSE)="","",VLOOKUP($AB18&amp;"-"&amp;$F18,Bonuses!$B$1:$G$1000,6,FALSE)&amp;" yrs, "&amp;VLOOKUP($AB18&amp;"-"&amp;$F18,Bonuses!$B$1:$G$1000,5,FALSE)))</f>
        <v/>
      </c>
    </row>
    <row r="19" spans="1:31" s="21" customFormat="1">
      <c r="A19" s="21" t="s">
        <v>1085</v>
      </c>
      <c r="B19" s="21">
        <f t="shared" si="0"/>
        <v>1</v>
      </c>
      <c r="C19" s="21" t="str">
        <f t="shared" si="1"/>
        <v>B</v>
      </c>
      <c r="D19" s="17">
        <f>IF($C19="B",VLOOKUP($A19,Bat!$A$4:$BD$2323,D$1,FALSE),VLOOKUP($A19,Pit!$A$4:$AZ$2261,D$2,FALSE))</f>
        <v>5718</v>
      </c>
      <c r="E19" s="16" t="str">
        <f>IF($C19="B",VLOOKUP($A19,Bat!$A$4:$BD$2323,E$1,FALSE),VLOOKUP($A19,Pit!$A$4:$AZ$2261,E$2,FALSE))</f>
        <v>RF</v>
      </c>
      <c r="F19" s="16" t="str">
        <f>IF($C19="B",VLOOKUP($A19,Bat!$A$4:$BD$2323,F$1,FALSE),VLOOKUP($A19,Pit!$A$4:$AZ$2261,F$2,FALSE))</f>
        <v>Michael Gray</v>
      </c>
      <c r="G19" s="16">
        <f>IF($C19="B",VLOOKUP($A19,Bat!$A$4:$BD$2323,G$1,FALSE),VLOOKUP($A19,Pit!$A$4:$AZ$2261,G$2,FALSE))</f>
        <v>22</v>
      </c>
      <c r="H19" s="16" t="str">
        <f>IF($C19="B",VLOOKUP($A19,Bat!$A$4:$BD$2323,H$1,FALSE),VLOOKUP($A19,Pit!$A$4:$AZ$2261,H$2,FALSE))</f>
        <v>R</v>
      </c>
      <c r="I19" s="16" t="str">
        <f>IF($C19="B",VLOOKUP($A19,Bat!$A$4:$BD$2323,I$1,FALSE),VLOOKUP($A19,Pit!$A$4:$AZ$2261,I$2,FALSE))</f>
        <v>L</v>
      </c>
      <c r="J19" s="16" t="str">
        <f>IF($C19="B",VLOOKUP($A19,Bat!$A$4:$BD$2323,J$1,FALSE),VLOOKUP($A19,Pit!$A$4:$AZ$2261,J$2,FALSE))</f>
        <v>Low</v>
      </c>
      <c r="K19" s="17" t="str">
        <f>IF($C19="B",VLOOKUP($A19,Bat!$A$4:$BD$2323,K$1,FALSE),VLOOKUP($A19,Pit!$A$4:$AZ$2261,K$2,FALSE))</f>
        <v>Normal</v>
      </c>
      <c r="L19" s="16">
        <f>IF($C19="B",VLOOKUP($A19,Bat!$A$4:$BD$2323,L$1,FALSE),VLOOKUP($A19,Pit!$A$4:$AZ$2261,L$2,FALSE))</f>
        <v>7</v>
      </c>
      <c r="M19" s="16">
        <f>IF($C19="B",VLOOKUP($A19,Bat!$A$4:$BD$2323,M$1,FALSE),VLOOKUP($A19,Pit!$A$4:$AZ$2261,M$2,FALSE))</f>
        <v>8</v>
      </c>
      <c r="N19" s="16">
        <f>IF($C19="B",VLOOKUP($A19,Bat!$A$4:$BD$2323,N$1,FALSE),VLOOKUP($A19,Pit!$A$4:$AZ$2261,N$2,FALSE))</f>
        <v>7</v>
      </c>
      <c r="O19" s="16">
        <f>IF($C19="B",VLOOKUP($A19,Bat!$A$4:$BD$2323,O$1,FALSE),VLOOKUP($A19,Pit!$A$4:$AZ$2261,O$2,FALSE))</f>
        <v>6</v>
      </c>
      <c r="P19" s="17">
        <f>IF($C19="B",VLOOKUP($A19,Bat!$A$4:$BD$2323,P$1,FALSE),VLOOKUP($A19,Pit!$A$4:$AZ$2261,P$2,FALSE))</f>
        <v>7</v>
      </c>
      <c r="Q19" s="18">
        <f>IF($C19="B",VLOOKUP($A19,Bat!$A$4:$BD$2323,Q$1,FALSE),VLOOKUP($A19,Pit!$A$4:$AZ$2261,Q$2,FALSE))</f>
        <v>27.263087444920899</v>
      </c>
      <c r="R19" s="19">
        <f>IF($C19="B",VLOOKUP($A19,Bat!$A$4:$BD$2323,R$1,FALSE),VLOOKUP($A19,Pit!$A$4:$AZ$2261,R$2,FALSE))</f>
        <v>2.3056572546986467</v>
      </c>
      <c r="S19" s="20">
        <f>IF($C19="B",VLOOKUP($A19,Bat!$A$4:$BD$2323,S$1,FALSE),VLOOKUP($A19,Pit!$A$4:$AZ$2261,S$2,FALSE))</f>
        <v>2400000</v>
      </c>
      <c r="T19" s="17" t="str">
        <f>IF(S19="Slot","",VLOOKUP(IF($C19="B",VLOOKUP($A19,Bat!$A$4:$AT$2323,T$1,FALSE),VLOOKUP($A19,Pit!$A$4:$BD$2261,T$2,FALSE)),COND!$A$34:$B$40,2,FALSE))</f>
        <v>VE</v>
      </c>
      <c r="U19" s="21">
        <f>IF($C19="B",VLOOKUP($A19,Bat!$A$4:$AR$1287,44,FALSE),VLOOKUP($A19,Pit!$A$4:$BB$1239,54,FALSE))</f>
        <v>14</v>
      </c>
      <c r="W19" s="21">
        <f t="shared" si="2"/>
        <v>14</v>
      </c>
      <c r="X19" s="22" t="e">
        <f t="shared" si="3"/>
        <v>#N/A</v>
      </c>
      <c r="Y19" s="16" t="str">
        <f>IF(ISERROR(VLOOKUP($E19&amp;$F19,Results!$A$2:$G$413,Y$1,FALSE)),"",VLOOKUP($E19&amp;$F19,Results!$A$2:$G$413,Y$1,FALSE))</f>
        <v/>
      </c>
      <c r="Z19" s="16" t="str">
        <f>IF(ISERROR(VLOOKUP($E19&amp;$F19,Results!$A$2:$G$413,Z$1,FALSE)),"",VLOOKUP($E19&amp;$F19,Results!$A$2:$G$413,Z$1,FALSE))</f>
        <v/>
      </c>
      <c r="AA19" s="16" t="str">
        <f>IF(ISERROR(VLOOKUP($E19&amp;$F19,Results!$A$2:$G$413,AA$1,FALSE)),"",VLOOKUP($E19&amp;$F19,Results!$A$2:$G$413,AA$1,FALSE))</f>
        <v/>
      </c>
      <c r="AB19" s="16" t="str">
        <f>IF(ISERROR(VLOOKUP($E19&amp;$F19,Results!$A$2:$G$413,AB$1,FALSE)),"",VLOOKUP($E19&amp;$F19,Results!$A$2:$G$413,AB$1,FALSE))</f>
        <v/>
      </c>
      <c r="AC19" s="16"/>
      <c r="AD19" s="20" t="str">
        <f>IF(ISERROR(VLOOKUP($AB19&amp;"-"&amp;$F19,Bonuses!$B$1:$G$1000,4,FALSE)),"",INT(VLOOKUP($AB19&amp;"-"&amp;$F19,Bonuses!$B$1:$G$1000,4,FALSE)))</f>
        <v/>
      </c>
      <c r="AE19" s="16" t="str">
        <f>IF(ISERROR(VLOOKUP($AB19&amp;"-"&amp;$F19,Bonuses!$B$1:$G$1000,5,FALSE)),"",IF(VLOOKUP($AB19&amp;"-"&amp;$F19,Bonuses!$B$1:$G$1000,5,FALSE)="","",VLOOKUP($AB19&amp;"-"&amp;$F19,Bonuses!$B$1:$G$1000,6,FALSE)&amp;" yrs, "&amp;VLOOKUP($AB19&amp;"-"&amp;$F19,Bonuses!$B$1:$G$1000,5,FALSE)))</f>
        <v/>
      </c>
    </row>
    <row r="20" spans="1:31" s="21" customFormat="1">
      <c r="A20" s="21" t="s">
        <v>906</v>
      </c>
      <c r="B20" s="21">
        <f t="shared" si="0"/>
        <v>1</v>
      </c>
      <c r="C20" s="21" t="str">
        <f t="shared" si="1"/>
        <v>B</v>
      </c>
      <c r="D20" s="17">
        <f>IF($C20="B",VLOOKUP($A20,Bat!$A$4:$BD$2323,D$1,FALSE),VLOOKUP($A20,Pit!$A$4:$AZ$2261,D$2,FALSE))</f>
        <v>8953</v>
      </c>
      <c r="E20" s="16" t="str">
        <f>IF($C20="B",VLOOKUP($A20,Bat!$A$4:$BD$2323,E$1,FALSE),VLOOKUP($A20,Pit!$A$4:$AZ$2261,E$2,FALSE))</f>
        <v>SS</v>
      </c>
      <c r="F20" s="16" t="str">
        <f>IF($C20="B",VLOOKUP($A20,Bat!$A$4:$BD$2323,F$1,FALSE),VLOOKUP($A20,Pit!$A$4:$AZ$2261,F$2,FALSE))</f>
        <v>Michael Manley</v>
      </c>
      <c r="G20" s="16">
        <f>IF($C20="B",VLOOKUP($A20,Bat!$A$4:$BD$2323,G$1,FALSE),VLOOKUP($A20,Pit!$A$4:$AZ$2261,G$2,FALSE))</f>
        <v>21</v>
      </c>
      <c r="H20" s="16" t="str">
        <f>IF($C20="B",VLOOKUP($A20,Bat!$A$4:$BD$2323,H$1,FALSE),VLOOKUP($A20,Pit!$A$4:$AZ$2261,H$2,FALSE))</f>
        <v>R</v>
      </c>
      <c r="I20" s="16" t="str">
        <f>IF($C20="B",VLOOKUP($A20,Bat!$A$4:$BD$2323,I$1,FALSE),VLOOKUP($A20,Pit!$A$4:$AZ$2261,I$2,FALSE))</f>
        <v>R</v>
      </c>
      <c r="J20" s="16" t="str">
        <f>IF($C20="B",VLOOKUP($A20,Bat!$A$4:$BD$2323,J$1,FALSE),VLOOKUP($A20,Pit!$A$4:$AZ$2261,J$2,FALSE))</f>
        <v>Low</v>
      </c>
      <c r="K20" s="17" t="str">
        <f>IF($C20="B",VLOOKUP($A20,Bat!$A$4:$BD$2323,K$1,FALSE),VLOOKUP($A20,Pit!$A$4:$AZ$2261,K$2,FALSE))</f>
        <v>High</v>
      </c>
      <c r="L20" s="16">
        <f>IF($C20="B",VLOOKUP($A20,Bat!$A$4:$BD$2323,L$1,FALSE),VLOOKUP($A20,Pit!$A$4:$AZ$2261,L$2,FALSE))</f>
        <v>8</v>
      </c>
      <c r="M20" s="16">
        <f>IF($C20="B",VLOOKUP($A20,Bat!$A$4:$BD$2323,M$1,FALSE),VLOOKUP($A20,Pit!$A$4:$AZ$2261,M$2,FALSE))</f>
        <v>6</v>
      </c>
      <c r="N20" s="16">
        <f>IF($C20="B",VLOOKUP($A20,Bat!$A$4:$BD$2323,N$1,FALSE),VLOOKUP($A20,Pit!$A$4:$AZ$2261,N$2,FALSE))</f>
        <v>2</v>
      </c>
      <c r="O20" s="16">
        <f>IF($C20="B",VLOOKUP($A20,Bat!$A$4:$BD$2323,O$1,FALSE),VLOOKUP($A20,Pit!$A$4:$AZ$2261,O$2,FALSE))</f>
        <v>5</v>
      </c>
      <c r="P20" s="17">
        <f>IF($C20="B",VLOOKUP($A20,Bat!$A$4:$BD$2323,P$1,FALSE),VLOOKUP($A20,Pit!$A$4:$AZ$2261,P$2,FALSE))</f>
        <v>7</v>
      </c>
      <c r="Q20" s="18">
        <f>IF($C20="B",VLOOKUP($A20,Bat!$A$4:$BD$2323,Q$1,FALSE),VLOOKUP($A20,Pit!$A$4:$AZ$2261,Q$2,FALSE))</f>
        <v>24.75572953954002</v>
      </c>
      <c r="R20" s="19">
        <f>IF($C20="B",VLOOKUP($A20,Bat!$A$4:$BD$2323,R$1,FALSE),VLOOKUP($A20,Pit!$A$4:$AZ$2261,R$2,FALSE))</f>
        <v>1.957325935385013</v>
      </c>
      <c r="S20" s="20" t="str">
        <f>IF($C20="B",VLOOKUP($A20,Bat!$A$4:$BD$2323,S$1,FALSE),VLOOKUP($A20,Pit!$A$4:$AZ$2261,S$2,FALSE))</f>
        <v>Slot</v>
      </c>
      <c r="T20" s="17" t="str">
        <f>IF(S20="Slot","",VLOOKUP(IF($C20="B",VLOOKUP($A20,Bat!$A$4:$AT$2323,T$1,FALSE),VLOOKUP($A20,Pit!$A$4:$BD$2261,T$2,FALSE)),COND!$A$34:$B$40,2,FALSE))</f>
        <v/>
      </c>
      <c r="U20" s="21">
        <f>IF($C20="B",VLOOKUP($A20,Bat!$A$4:$AR$1287,44,FALSE),VLOOKUP($A20,Pit!$A$4:$BB$1239,54,FALSE))</f>
        <v>15</v>
      </c>
      <c r="W20" s="21">
        <f t="shared" si="2"/>
        <v>15</v>
      </c>
      <c r="X20" s="22" t="e">
        <f t="shared" si="3"/>
        <v>#N/A</v>
      </c>
      <c r="Y20" s="16" t="str">
        <f>IF(ISERROR(VLOOKUP($E20&amp;$F20,Results!$A$2:$G$413,Y$1,FALSE)),"",VLOOKUP($E20&amp;$F20,Results!$A$2:$G$413,Y$1,FALSE))</f>
        <v/>
      </c>
      <c r="Z20" s="16" t="str">
        <f>IF(ISERROR(VLOOKUP($E20&amp;$F20,Results!$A$2:$G$413,Z$1,FALSE)),"",VLOOKUP($E20&amp;$F20,Results!$A$2:$G$413,Z$1,FALSE))</f>
        <v/>
      </c>
      <c r="AA20" s="16" t="str">
        <f>IF(ISERROR(VLOOKUP($E20&amp;$F20,Results!$A$2:$G$413,AA$1,FALSE)),"",VLOOKUP($E20&amp;$F20,Results!$A$2:$G$413,AA$1,FALSE))</f>
        <v/>
      </c>
      <c r="AB20" s="16" t="str">
        <f>IF(ISERROR(VLOOKUP($E20&amp;$F20,Results!$A$2:$G$413,AB$1,FALSE)),"",VLOOKUP($E20&amp;$F20,Results!$A$2:$G$413,AB$1,FALSE))</f>
        <v/>
      </c>
      <c r="AC20" s="16"/>
      <c r="AD20" s="20" t="str">
        <f>IF(ISERROR(VLOOKUP($AB20&amp;"-"&amp;$F20,Bonuses!$B$1:$G$1000,4,FALSE)),"",INT(VLOOKUP($AB20&amp;"-"&amp;$F20,Bonuses!$B$1:$G$1000,4,FALSE)))</f>
        <v/>
      </c>
      <c r="AE20" s="16" t="str">
        <f>IF(ISERROR(VLOOKUP($AB20&amp;"-"&amp;$F20,Bonuses!$B$1:$G$1000,5,FALSE)),"",IF(VLOOKUP($AB20&amp;"-"&amp;$F20,Bonuses!$B$1:$G$1000,5,FALSE)="","",VLOOKUP($AB20&amp;"-"&amp;$F20,Bonuses!$B$1:$G$1000,6,FALSE)&amp;" yrs, "&amp;VLOOKUP($AB20&amp;"-"&amp;$F20,Bonuses!$B$1:$G$1000,5,FALSE)))</f>
        <v/>
      </c>
    </row>
    <row r="21" spans="1:31" s="21" customFormat="1">
      <c r="A21" s="21" t="s">
        <v>916</v>
      </c>
      <c r="B21" s="21">
        <f t="shared" si="0"/>
        <v>1</v>
      </c>
      <c r="C21" s="21" t="str">
        <f t="shared" si="1"/>
        <v>B</v>
      </c>
      <c r="D21" s="17">
        <f>IF($C21="B",VLOOKUP($A21,Bat!$A$4:$BD$2323,D$1,FALSE),VLOOKUP($A21,Pit!$A$4:$AZ$2261,D$2,FALSE))</f>
        <v>2633</v>
      </c>
      <c r="E21" s="16" t="str">
        <f>IF($C21="B",VLOOKUP($A21,Bat!$A$4:$BD$2323,E$1,FALSE),VLOOKUP($A21,Pit!$A$4:$AZ$2261,E$2,FALSE))</f>
        <v>1B</v>
      </c>
      <c r="F21" s="16" t="str">
        <f>IF($C21="B",VLOOKUP($A21,Bat!$A$4:$BD$2323,F$1,FALSE),VLOOKUP($A21,Pit!$A$4:$AZ$2261,F$2,FALSE))</f>
        <v>Sherwood Alldritt</v>
      </c>
      <c r="G21" s="16">
        <f>IF($C21="B",VLOOKUP($A21,Bat!$A$4:$BD$2323,G$1,FALSE),VLOOKUP($A21,Pit!$A$4:$AZ$2261,G$2,FALSE))</f>
        <v>21</v>
      </c>
      <c r="H21" s="16" t="str">
        <f>IF($C21="B",VLOOKUP($A21,Bat!$A$4:$BD$2323,H$1,FALSE),VLOOKUP($A21,Pit!$A$4:$AZ$2261,H$2,FALSE))</f>
        <v>L</v>
      </c>
      <c r="I21" s="16" t="str">
        <f>IF($C21="B",VLOOKUP($A21,Bat!$A$4:$BD$2323,I$1,FALSE),VLOOKUP($A21,Pit!$A$4:$AZ$2261,I$2,FALSE))</f>
        <v>R</v>
      </c>
      <c r="J21" s="16" t="str">
        <f>IF($C21="B",VLOOKUP($A21,Bat!$A$4:$BD$2323,J$1,FALSE),VLOOKUP($A21,Pit!$A$4:$AZ$2261,J$2,FALSE))</f>
        <v>Very Low</v>
      </c>
      <c r="K21" s="17" t="str">
        <f>IF($C21="B",VLOOKUP($A21,Bat!$A$4:$BD$2323,K$1,FALSE),VLOOKUP($A21,Pit!$A$4:$AZ$2261,K$2,FALSE))</f>
        <v>Normal</v>
      </c>
      <c r="L21" s="16">
        <f>IF($C21="B",VLOOKUP($A21,Bat!$A$4:$BD$2323,L$1,FALSE),VLOOKUP($A21,Pit!$A$4:$AZ$2261,L$2,FALSE))</f>
        <v>7</v>
      </c>
      <c r="M21" s="16">
        <f>IF($C21="B",VLOOKUP($A21,Bat!$A$4:$BD$2323,M$1,FALSE),VLOOKUP($A21,Pit!$A$4:$AZ$2261,M$2,FALSE))</f>
        <v>5</v>
      </c>
      <c r="N21" s="16">
        <f>IF($C21="B",VLOOKUP($A21,Bat!$A$4:$BD$2323,N$1,FALSE),VLOOKUP($A21,Pit!$A$4:$AZ$2261,N$2,FALSE))</f>
        <v>5</v>
      </c>
      <c r="O21" s="16">
        <f>IF($C21="B",VLOOKUP($A21,Bat!$A$4:$BD$2323,O$1,FALSE),VLOOKUP($A21,Pit!$A$4:$AZ$2261,O$2,FALSE))</f>
        <v>6</v>
      </c>
      <c r="P21" s="17">
        <f>IF($C21="B",VLOOKUP($A21,Bat!$A$4:$BD$2323,P$1,FALSE),VLOOKUP($A21,Pit!$A$4:$AZ$2261,P$2,FALSE))</f>
        <v>6</v>
      </c>
      <c r="Q21" s="18">
        <f>IF($C21="B",VLOOKUP($A21,Bat!$A$4:$BD$2323,Q$1,FALSE),VLOOKUP($A21,Pit!$A$4:$AZ$2261,Q$2,FALSE))</f>
        <v>21.902195602935489</v>
      </c>
      <c r="R21" s="19">
        <f>IF($C21="B",VLOOKUP($A21,Bat!$A$4:$BD$2323,R$1,FALSE),VLOOKUP($A21,Pit!$A$4:$AZ$2261,R$2,FALSE))</f>
        <v>1.560902577271448</v>
      </c>
      <c r="S21" s="20" t="str">
        <f>IF($C21="B",VLOOKUP($A21,Bat!$A$4:$BD$2323,S$1,FALSE),VLOOKUP($A21,Pit!$A$4:$AZ$2261,S$2,FALSE))</f>
        <v>Slot</v>
      </c>
      <c r="T21" s="17" t="str">
        <f>IF(S21="Slot","",VLOOKUP(IF($C21="B",VLOOKUP($A21,Bat!$A$4:$AT$2323,T$1,FALSE),VLOOKUP($A21,Pit!$A$4:$BD$2261,T$2,FALSE)),COND!$A$34:$B$40,2,FALSE))</f>
        <v/>
      </c>
      <c r="U21" s="21">
        <f>IF($C21="B",VLOOKUP($A21,Bat!$A$4:$AR$1287,44,FALSE),VLOOKUP($A21,Pit!$A$4:$BB$1239,54,FALSE))</f>
        <v>23</v>
      </c>
      <c r="W21" s="21">
        <f t="shared" si="2"/>
        <v>23</v>
      </c>
      <c r="X21" s="22" t="e">
        <f t="shared" si="3"/>
        <v>#N/A</v>
      </c>
      <c r="Y21" s="16" t="str">
        <f>IF(ISERROR(VLOOKUP($E21&amp;$F21,Results!$A$2:$G$413,Y$1,FALSE)),"",VLOOKUP($E21&amp;$F21,Results!$A$2:$G$413,Y$1,FALSE))</f>
        <v/>
      </c>
      <c r="Z21" s="16" t="str">
        <f>IF(ISERROR(VLOOKUP($E21&amp;$F21,Results!$A$2:$G$413,Z$1,FALSE)),"",VLOOKUP($E21&amp;$F21,Results!$A$2:$G$413,Z$1,FALSE))</f>
        <v/>
      </c>
      <c r="AA21" s="16" t="str">
        <f>IF(ISERROR(VLOOKUP($E21&amp;$F21,Results!$A$2:$G$413,AA$1,FALSE)),"",VLOOKUP($E21&amp;$F21,Results!$A$2:$G$413,AA$1,FALSE))</f>
        <v/>
      </c>
      <c r="AB21" s="16" t="str">
        <f>IF(ISERROR(VLOOKUP($E21&amp;$F21,Results!$A$2:$G$413,AB$1,FALSE)),"",VLOOKUP($E21&amp;$F21,Results!$A$2:$G$413,AB$1,FALSE))</f>
        <v/>
      </c>
      <c r="AC21" s="16"/>
      <c r="AD21" s="20" t="str">
        <f>IF(ISERROR(VLOOKUP($AB21&amp;"-"&amp;$F21,Bonuses!$B$1:$G$1000,4,FALSE)),"",INT(VLOOKUP($AB21&amp;"-"&amp;$F21,Bonuses!$B$1:$G$1000,4,FALSE)))</f>
        <v/>
      </c>
      <c r="AE21" s="16" t="str">
        <f>IF(ISERROR(VLOOKUP($AB21&amp;"-"&amp;$F21,Bonuses!$B$1:$G$1000,5,FALSE)),"",IF(VLOOKUP($AB21&amp;"-"&amp;$F21,Bonuses!$B$1:$G$1000,5,FALSE)="","",VLOOKUP($AB21&amp;"-"&amp;$F21,Bonuses!$B$1:$G$1000,6,FALSE)&amp;" yrs, "&amp;VLOOKUP($AB21&amp;"-"&amp;$F21,Bonuses!$B$1:$G$1000,5,FALSE)))</f>
        <v/>
      </c>
    </row>
    <row r="22" spans="1:31" s="21" customFormat="1">
      <c r="A22" s="21" t="s">
        <v>904</v>
      </c>
      <c r="B22" s="21">
        <f t="shared" si="0"/>
        <v>1</v>
      </c>
      <c r="C22" s="21" t="str">
        <f t="shared" si="1"/>
        <v>B</v>
      </c>
      <c r="D22" s="17" t="e">
        <f>IF($C22="B",VLOOKUP($A22,Bat!$A$4:$BD$2323,D$1,FALSE),VLOOKUP($A22,Pit!$A$4:$AZ$2261,D$2,FALSE))</f>
        <v>#N/A</v>
      </c>
      <c r="E22" s="16" t="str">
        <f>IF($C22="B",VLOOKUP($A22,Bat!$A$4:$BD$2323,E$1,FALSE),VLOOKUP($A22,Pit!$A$4:$AZ$2261,E$2,FALSE))</f>
        <v>1B</v>
      </c>
      <c r="F22" s="16" t="str">
        <f>IF($C22="B",VLOOKUP($A22,Bat!$A$4:$BD$2323,F$1,FALSE),VLOOKUP($A22,Pit!$A$4:$AZ$2261,F$2,FALSE))</f>
        <v>Jesús López</v>
      </c>
      <c r="G22" s="16">
        <f>IF($C22="B",VLOOKUP($A22,Bat!$A$4:$BD$2323,G$1,FALSE),VLOOKUP($A22,Pit!$A$4:$AZ$2261,G$2,FALSE))</f>
        <v>21</v>
      </c>
      <c r="H22" s="16" t="str">
        <f>IF($C22="B",VLOOKUP($A22,Bat!$A$4:$BD$2323,H$1,FALSE),VLOOKUP($A22,Pit!$A$4:$AZ$2261,H$2,FALSE))</f>
        <v>R</v>
      </c>
      <c r="I22" s="16" t="str">
        <f>IF($C22="B",VLOOKUP($A22,Bat!$A$4:$BD$2323,I$1,FALSE),VLOOKUP($A22,Pit!$A$4:$AZ$2261,I$2,FALSE))</f>
        <v>R</v>
      </c>
      <c r="J22" s="16" t="str">
        <f>IF($C22="B",VLOOKUP($A22,Bat!$A$4:$BD$2323,J$1,FALSE),VLOOKUP($A22,Pit!$A$4:$AZ$2261,J$2,FALSE))</f>
        <v>Very Low</v>
      </c>
      <c r="K22" s="17" t="str">
        <f>IF($C22="B",VLOOKUP($A22,Bat!$A$4:$BD$2323,K$1,FALSE),VLOOKUP($A22,Pit!$A$4:$AZ$2261,K$2,FALSE))</f>
        <v>Very High</v>
      </c>
      <c r="L22" s="16">
        <f>IF($C22="B",VLOOKUP($A22,Bat!$A$4:$BD$2323,L$1,FALSE),VLOOKUP($A22,Pit!$A$4:$AZ$2261,L$2,FALSE))</f>
        <v>7</v>
      </c>
      <c r="M22" s="16">
        <f>IF($C22="B",VLOOKUP($A22,Bat!$A$4:$BD$2323,M$1,FALSE),VLOOKUP($A22,Pit!$A$4:$AZ$2261,M$2,FALSE))</f>
        <v>5</v>
      </c>
      <c r="N22" s="16">
        <f>IF($C22="B",VLOOKUP($A22,Bat!$A$4:$BD$2323,N$1,FALSE),VLOOKUP($A22,Pit!$A$4:$AZ$2261,N$2,FALSE))</f>
        <v>7</v>
      </c>
      <c r="O22" s="16">
        <f>IF($C22="B",VLOOKUP($A22,Bat!$A$4:$BD$2323,O$1,FALSE),VLOOKUP($A22,Pit!$A$4:$AZ$2261,O$2,FALSE))</f>
        <v>6</v>
      </c>
      <c r="P22" s="17">
        <f>IF($C22="B",VLOOKUP($A22,Bat!$A$4:$BD$2323,P$1,FALSE),VLOOKUP($A22,Pit!$A$4:$AZ$2261,P$2,FALSE))</f>
        <v>7</v>
      </c>
      <c r="Q22" s="18">
        <f>IF($C22="B",VLOOKUP($A22,Bat!$A$4:$BD$2323,Q$1,FALSE),VLOOKUP($A22,Pit!$A$4:$AZ$2261,Q$2,FALSE))</f>
        <v>25.08974698665477</v>
      </c>
      <c r="R22" s="19">
        <f>IF($C22="B",VLOOKUP($A22,Bat!$A$4:$BD$2323,R$1,FALSE),VLOOKUP($A22,Pit!$A$4:$AZ$2261,R$2,FALSE))</f>
        <v>2.0037288592665874</v>
      </c>
      <c r="S22" s="20" t="str">
        <f>IF($C22="B",VLOOKUP($A22,Bat!$A$4:$BD$2323,S$1,FALSE),VLOOKUP($A22,Pit!$A$4:$AZ$2261,S$2,FALSE))</f>
        <v>Slot</v>
      </c>
      <c r="T22" s="17" t="str">
        <f>IF(S22="Slot","",VLOOKUP(IF($C22="B",VLOOKUP($A22,Bat!$A$4:$AT$2323,T$1,FALSE),VLOOKUP($A22,Pit!$A$4:$BD$2261,T$2,FALSE)),COND!$A$34:$B$40,2,FALSE))</f>
        <v/>
      </c>
      <c r="U22" s="21">
        <f>IF($C22="B",VLOOKUP($A22,Bat!$A$4:$AR$1287,44,FALSE),VLOOKUP($A22,Pit!$A$4:$BB$1239,54,FALSE))</f>
        <v>16</v>
      </c>
      <c r="W22" s="21">
        <f t="shared" si="2"/>
        <v>16</v>
      </c>
      <c r="X22" s="22" t="e">
        <f t="shared" si="3"/>
        <v>#N/A</v>
      </c>
      <c r="Y22" s="16" t="str">
        <f>IF(ISERROR(VLOOKUP($E22&amp;$F22,Results!$A$2:$G$413,Y$1,FALSE)),"",VLOOKUP($E22&amp;$F22,Results!$A$2:$G$413,Y$1,FALSE))</f>
        <v/>
      </c>
      <c r="Z22" s="16" t="str">
        <f>IF(ISERROR(VLOOKUP($E22&amp;$F22,Results!$A$2:$G$413,Z$1,FALSE)),"",VLOOKUP($E22&amp;$F22,Results!$A$2:$G$413,Z$1,FALSE))</f>
        <v/>
      </c>
      <c r="AA22" s="16" t="str">
        <f>IF(ISERROR(VLOOKUP($E22&amp;$F22,Results!$A$2:$G$413,AA$1,FALSE)),"",VLOOKUP($E22&amp;$F22,Results!$A$2:$G$413,AA$1,FALSE))</f>
        <v/>
      </c>
      <c r="AB22" s="16" t="str">
        <f>IF(ISERROR(VLOOKUP($E22&amp;$F22,Results!$A$2:$G$413,AB$1,FALSE)),"",VLOOKUP($E22&amp;$F22,Results!$A$2:$G$413,AB$1,FALSE))</f>
        <v/>
      </c>
      <c r="AC22" s="16"/>
      <c r="AD22" s="20" t="str">
        <f>IF(ISERROR(VLOOKUP($AB22&amp;"-"&amp;$F22,Bonuses!$B$1:$G$1000,4,FALSE)),"",INT(VLOOKUP($AB22&amp;"-"&amp;$F22,Bonuses!$B$1:$G$1000,4,FALSE)))</f>
        <v/>
      </c>
      <c r="AE22" s="16" t="str">
        <f>IF(ISERROR(VLOOKUP($AB22&amp;"-"&amp;$F22,Bonuses!$B$1:$G$1000,5,FALSE)),"",IF(VLOOKUP($AB22&amp;"-"&amp;$F22,Bonuses!$B$1:$G$1000,5,FALSE)="","",VLOOKUP($AB22&amp;"-"&amp;$F22,Bonuses!$B$1:$G$1000,6,FALSE)&amp;" yrs, "&amp;VLOOKUP($AB22&amp;"-"&amp;$F22,Bonuses!$B$1:$G$1000,5,FALSE)))</f>
        <v/>
      </c>
    </row>
    <row r="23" spans="1:31" s="21" customFormat="1">
      <c r="A23" s="21" t="s">
        <v>1082</v>
      </c>
      <c r="B23" s="21">
        <f t="shared" si="0"/>
        <v>1</v>
      </c>
      <c r="C23" s="21" t="str">
        <f t="shared" si="1"/>
        <v>B</v>
      </c>
      <c r="D23" s="17" t="e">
        <f>IF($C23="B",VLOOKUP($A23,Bat!$A$4:$BD$2323,D$1,FALSE),VLOOKUP($A23,Pit!$A$4:$AZ$2261,D$2,FALSE))</f>
        <v>#N/A</v>
      </c>
      <c r="E23" s="16" t="str">
        <f>IF($C23="B",VLOOKUP($A23,Bat!$A$4:$BD$2323,E$1,FALSE),VLOOKUP($A23,Pit!$A$4:$AZ$2261,E$2,FALSE))</f>
        <v>3B</v>
      </c>
      <c r="F23" s="16" t="str">
        <f>IF($C23="B",VLOOKUP($A23,Bat!$A$4:$BD$2323,F$1,FALSE),VLOOKUP($A23,Pit!$A$4:$AZ$2261,F$2,FALSE))</f>
        <v>Marcos Sánchez</v>
      </c>
      <c r="G23" s="16">
        <f>IF($C23="B",VLOOKUP($A23,Bat!$A$4:$BD$2323,G$1,FALSE),VLOOKUP($A23,Pit!$A$4:$AZ$2261,G$2,FALSE))</f>
        <v>18</v>
      </c>
      <c r="H23" s="16" t="str">
        <f>IF($C23="B",VLOOKUP($A23,Bat!$A$4:$BD$2323,H$1,FALSE),VLOOKUP($A23,Pit!$A$4:$AZ$2261,H$2,FALSE))</f>
        <v>S</v>
      </c>
      <c r="I23" s="16" t="str">
        <f>IF($C23="B",VLOOKUP($A23,Bat!$A$4:$BD$2323,I$1,FALSE),VLOOKUP($A23,Pit!$A$4:$AZ$2261,I$2,FALSE))</f>
        <v>R</v>
      </c>
      <c r="J23" s="16" t="str">
        <f>IF($C23="B",VLOOKUP($A23,Bat!$A$4:$BD$2323,J$1,FALSE),VLOOKUP($A23,Pit!$A$4:$AZ$2261,J$2,FALSE))</f>
        <v>Very High</v>
      </c>
      <c r="K23" s="17" t="str">
        <f>IF($C23="B",VLOOKUP($A23,Bat!$A$4:$BD$2323,K$1,FALSE),VLOOKUP($A23,Pit!$A$4:$AZ$2261,K$2,FALSE))</f>
        <v>Low</v>
      </c>
      <c r="L23" s="16">
        <f>IF($C23="B",VLOOKUP($A23,Bat!$A$4:$BD$2323,L$1,FALSE),VLOOKUP($A23,Pit!$A$4:$AZ$2261,L$2,FALSE))</f>
        <v>8</v>
      </c>
      <c r="M23" s="16">
        <f>IF($C23="B",VLOOKUP($A23,Bat!$A$4:$BD$2323,M$1,FALSE),VLOOKUP($A23,Pit!$A$4:$AZ$2261,M$2,FALSE))</f>
        <v>7</v>
      </c>
      <c r="N23" s="16">
        <f>IF($C23="B",VLOOKUP($A23,Bat!$A$4:$BD$2323,N$1,FALSE),VLOOKUP($A23,Pit!$A$4:$AZ$2261,N$2,FALSE))</f>
        <v>8</v>
      </c>
      <c r="O23" s="16">
        <f>IF($C23="B",VLOOKUP($A23,Bat!$A$4:$BD$2323,O$1,FALSE),VLOOKUP($A23,Pit!$A$4:$AZ$2261,O$2,FALSE))</f>
        <v>6</v>
      </c>
      <c r="P23" s="17">
        <f>IF($C23="B",VLOOKUP($A23,Bat!$A$4:$BD$2323,P$1,FALSE),VLOOKUP($A23,Pit!$A$4:$AZ$2261,P$2,FALSE))</f>
        <v>5</v>
      </c>
      <c r="Q23" s="18">
        <f>IF($C23="B",VLOOKUP($A23,Bat!$A$4:$BD$2323,Q$1,FALSE),VLOOKUP($A23,Pit!$A$4:$AZ$2261,Q$2,FALSE))</f>
        <v>30.494381987824561</v>
      </c>
      <c r="R23" s="19">
        <f>IF($C23="B",VLOOKUP($A23,Bat!$A$4:$BD$2323,R$1,FALSE),VLOOKUP($A23,Pit!$A$4:$AZ$2261,R$2,FALSE))</f>
        <v>2.7545604961565506</v>
      </c>
      <c r="S23" s="20">
        <f>IF($C23="B",VLOOKUP($A23,Bat!$A$4:$BD$2323,S$1,FALSE),VLOOKUP($A23,Pit!$A$4:$AZ$2261,S$2,FALSE))</f>
        <v>6000000</v>
      </c>
      <c r="T23" s="17" t="str">
        <f>IF(S23="Slot","",VLOOKUP(IF($C23="B",VLOOKUP($A23,Bat!$A$4:$AT$2323,T$1,FALSE),VLOOKUP($A23,Pit!$A$4:$BD$2261,T$2,FALSE)),COND!$A$34:$B$40,2,FALSE))</f>
        <v>N</v>
      </c>
      <c r="U23" s="21">
        <f>IF($C23="B",VLOOKUP($A23,Bat!$A$4:$AR$1287,44,FALSE),VLOOKUP($A23,Pit!$A$4:$BB$1239,54,FALSE))</f>
        <v>17</v>
      </c>
      <c r="W23" s="21">
        <f t="shared" si="2"/>
        <v>17</v>
      </c>
      <c r="X23" s="22" t="e">
        <f t="shared" si="3"/>
        <v>#N/A</v>
      </c>
      <c r="Y23" s="16" t="str">
        <f>IF(ISERROR(VLOOKUP($E23&amp;$F23,Results!$A$2:$G$413,Y$1,FALSE)),"",VLOOKUP($E23&amp;$F23,Results!$A$2:$G$413,Y$1,FALSE))</f>
        <v/>
      </c>
      <c r="Z23" s="16" t="str">
        <f>IF(ISERROR(VLOOKUP($E23&amp;$F23,Results!$A$2:$G$413,Z$1,FALSE)),"",VLOOKUP($E23&amp;$F23,Results!$A$2:$G$413,Z$1,FALSE))</f>
        <v/>
      </c>
      <c r="AA23" s="16" t="str">
        <f>IF(ISERROR(VLOOKUP($E23&amp;$F23,Results!$A$2:$G$413,AA$1,FALSE)),"",VLOOKUP($E23&amp;$F23,Results!$A$2:$G$413,AA$1,FALSE))</f>
        <v/>
      </c>
      <c r="AB23" s="16" t="str">
        <f>IF(ISERROR(VLOOKUP($E23&amp;$F23,Results!$A$2:$G$413,AB$1,FALSE)),"",VLOOKUP($E23&amp;$F23,Results!$A$2:$G$413,AB$1,FALSE))</f>
        <v/>
      </c>
      <c r="AC23" s="16"/>
      <c r="AD23" s="20" t="str">
        <f>IF(ISERROR(VLOOKUP($AB23&amp;"-"&amp;$F23,Bonuses!$B$1:$G$1000,4,FALSE)),"",INT(VLOOKUP($AB23&amp;"-"&amp;$F23,Bonuses!$B$1:$G$1000,4,FALSE)))</f>
        <v/>
      </c>
      <c r="AE23" s="16" t="str">
        <f>IF(ISERROR(VLOOKUP($AB23&amp;"-"&amp;$F23,Bonuses!$B$1:$G$1000,5,FALSE)),"",IF(VLOOKUP($AB23&amp;"-"&amp;$F23,Bonuses!$B$1:$G$1000,5,FALSE)="","",VLOOKUP($AB23&amp;"-"&amp;$F23,Bonuses!$B$1:$G$1000,6,FALSE)&amp;" yrs, "&amp;VLOOKUP($AB23&amp;"-"&amp;$F23,Bonuses!$B$1:$G$1000,5,FALSE)))</f>
        <v/>
      </c>
    </row>
    <row r="24" spans="1:31" s="21" customFormat="1">
      <c r="A24" s="21" t="s">
        <v>1079</v>
      </c>
      <c r="B24" s="21">
        <f t="shared" si="0"/>
        <v>1</v>
      </c>
      <c r="C24" s="21" t="str">
        <f t="shared" si="1"/>
        <v>B</v>
      </c>
      <c r="D24" s="17" t="e">
        <f>IF($C24="B",VLOOKUP($A24,Bat!$A$4:$BD$2323,D$1,FALSE),VLOOKUP($A24,Pit!$A$4:$AZ$2261,D$2,FALSE))</f>
        <v>#N/A</v>
      </c>
      <c r="E24" s="16" t="str">
        <f>IF($C24="B",VLOOKUP($A24,Bat!$A$4:$BD$2323,E$1,FALSE),VLOOKUP($A24,Pit!$A$4:$AZ$2261,E$2,FALSE))</f>
        <v>CF</v>
      </c>
      <c r="F24" s="16" t="str">
        <f>IF($C24="B",VLOOKUP($A24,Bat!$A$4:$BD$2323,F$1,FALSE),VLOOKUP($A24,Pit!$A$4:$AZ$2261,F$2,FALSE))</f>
        <v>Rubén Jiménez</v>
      </c>
      <c r="G24" s="16">
        <f>IF($C24="B",VLOOKUP($A24,Bat!$A$4:$BD$2323,G$1,FALSE),VLOOKUP($A24,Pit!$A$4:$AZ$2261,G$2,FALSE))</f>
        <v>18</v>
      </c>
      <c r="H24" s="16" t="str">
        <f>IF($C24="B",VLOOKUP($A24,Bat!$A$4:$BD$2323,H$1,FALSE),VLOOKUP($A24,Pit!$A$4:$AZ$2261,H$2,FALSE))</f>
        <v>R</v>
      </c>
      <c r="I24" s="16" t="str">
        <f>IF($C24="B",VLOOKUP($A24,Bat!$A$4:$BD$2323,I$1,FALSE),VLOOKUP($A24,Pit!$A$4:$AZ$2261,I$2,FALSE))</f>
        <v>R</v>
      </c>
      <c r="J24" s="16" t="str">
        <f>IF($C24="B",VLOOKUP($A24,Bat!$A$4:$BD$2323,J$1,FALSE),VLOOKUP($A24,Pit!$A$4:$AZ$2261,J$2,FALSE))</f>
        <v>Normal</v>
      </c>
      <c r="K24" s="17" t="str">
        <f>IF($C24="B",VLOOKUP($A24,Bat!$A$4:$BD$2323,K$1,FALSE),VLOOKUP($A24,Pit!$A$4:$AZ$2261,K$2,FALSE))</f>
        <v>Normal</v>
      </c>
      <c r="L24" s="16">
        <f>IF($C24="B",VLOOKUP($A24,Bat!$A$4:$BD$2323,L$1,FALSE),VLOOKUP($A24,Pit!$A$4:$AZ$2261,L$2,FALSE))</f>
        <v>8</v>
      </c>
      <c r="M24" s="16">
        <f>IF($C24="B",VLOOKUP($A24,Bat!$A$4:$BD$2323,M$1,FALSE),VLOOKUP($A24,Pit!$A$4:$AZ$2261,M$2,FALSE))</f>
        <v>7</v>
      </c>
      <c r="N24" s="16">
        <f>IF($C24="B",VLOOKUP($A24,Bat!$A$4:$BD$2323,N$1,FALSE),VLOOKUP($A24,Pit!$A$4:$AZ$2261,N$2,FALSE))</f>
        <v>4</v>
      </c>
      <c r="O24" s="16">
        <f>IF($C24="B",VLOOKUP($A24,Bat!$A$4:$BD$2323,O$1,FALSE),VLOOKUP($A24,Pit!$A$4:$AZ$2261,O$2,FALSE))</f>
        <v>10</v>
      </c>
      <c r="P24" s="17">
        <f>IF($C24="B",VLOOKUP($A24,Bat!$A$4:$BD$2323,P$1,FALSE),VLOOKUP($A24,Pit!$A$4:$AZ$2261,P$2,FALSE))</f>
        <v>7</v>
      </c>
      <c r="Q24" s="18">
        <f>IF($C24="B",VLOOKUP($A24,Bat!$A$4:$BD$2323,Q$1,FALSE),VLOOKUP($A24,Pit!$A$4:$AZ$2261,Q$2,FALSE))</f>
        <v>31.665908841909591</v>
      </c>
      <c r="R24" s="19">
        <f>IF($C24="B",VLOOKUP($A24,Bat!$A$4:$BD$2323,R$1,FALSE),VLOOKUP($A24,Pit!$A$4:$AZ$2261,R$2,FALSE))</f>
        <v>2.9173132861826718</v>
      </c>
      <c r="S24" s="20">
        <f>IF($C24="B",VLOOKUP($A24,Bat!$A$4:$BD$2323,S$1,FALSE),VLOOKUP($A24,Pit!$A$4:$AZ$2261,S$2,FALSE))</f>
        <v>7000000</v>
      </c>
      <c r="T24" s="17" t="str">
        <f>IF(S24="Slot","",VLOOKUP(IF($C24="B",VLOOKUP($A24,Bat!$A$4:$AT$2323,T$1,FALSE),VLOOKUP($A24,Pit!$A$4:$BD$2261,T$2,FALSE)),COND!$A$34:$B$40,2,FALSE))</f>
        <v>EH</v>
      </c>
      <c r="U24" s="21">
        <f>IF($C24="B",VLOOKUP($A24,Bat!$A$4:$AR$1287,44,FALSE),VLOOKUP($A24,Pit!$A$4:$BB$1239,54,FALSE))</f>
        <v>18</v>
      </c>
      <c r="W24" s="21">
        <f t="shared" si="2"/>
        <v>18</v>
      </c>
      <c r="X24" s="22" t="e">
        <f t="shared" si="3"/>
        <v>#N/A</v>
      </c>
      <c r="Y24" s="16" t="str">
        <f>IF(ISERROR(VLOOKUP($E24&amp;$F24,Results!$A$2:$G$413,Y$1,FALSE)),"",VLOOKUP($E24&amp;$F24,Results!$A$2:$G$413,Y$1,FALSE))</f>
        <v/>
      </c>
      <c r="Z24" s="16" t="str">
        <f>IF(ISERROR(VLOOKUP($E24&amp;$F24,Results!$A$2:$G$413,Z$1,FALSE)),"",VLOOKUP($E24&amp;$F24,Results!$A$2:$G$413,Z$1,FALSE))</f>
        <v/>
      </c>
      <c r="AA24" s="16" t="str">
        <f>IF(ISERROR(VLOOKUP($E24&amp;$F24,Results!$A$2:$G$413,AA$1,FALSE)),"",VLOOKUP($E24&amp;$F24,Results!$A$2:$G$413,AA$1,FALSE))</f>
        <v/>
      </c>
      <c r="AB24" s="16" t="str">
        <f>IF(ISERROR(VLOOKUP($E24&amp;$F24,Results!$A$2:$G$413,AB$1,FALSE)),"",VLOOKUP($E24&amp;$F24,Results!$A$2:$G$413,AB$1,FALSE))</f>
        <v/>
      </c>
      <c r="AC24" s="16"/>
      <c r="AD24" s="20" t="str">
        <f>IF(ISERROR(VLOOKUP($AB24&amp;"-"&amp;$F24,Bonuses!$B$1:$G$1000,4,FALSE)),"",INT(VLOOKUP($AB24&amp;"-"&amp;$F24,Bonuses!$B$1:$G$1000,4,FALSE)))</f>
        <v/>
      </c>
      <c r="AE24" s="16" t="str">
        <f>IF(ISERROR(VLOOKUP($AB24&amp;"-"&amp;$F24,Bonuses!$B$1:$G$1000,5,FALSE)),"",IF(VLOOKUP($AB24&amp;"-"&amp;$F24,Bonuses!$B$1:$G$1000,5,FALSE)="","",VLOOKUP($AB24&amp;"-"&amp;$F24,Bonuses!$B$1:$G$1000,6,FALSE)&amp;" yrs, "&amp;VLOOKUP($AB24&amp;"-"&amp;$F24,Bonuses!$B$1:$G$1000,5,FALSE)))</f>
        <v/>
      </c>
    </row>
    <row r="25" spans="1:31" s="21" customFormat="1">
      <c r="A25" s="21" t="s">
        <v>912</v>
      </c>
      <c r="B25" s="21">
        <f t="shared" si="0"/>
        <v>1</v>
      </c>
      <c r="C25" s="21" t="str">
        <f t="shared" si="1"/>
        <v>B</v>
      </c>
      <c r="D25" s="17">
        <f>IF($C25="B",VLOOKUP($A25,Bat!$A$4:$BD$2323,D$1,FALSE),VLOOKUP($A25,Pit!$A$4:$AZ$2261,D$2,FALSE))</f>
        <v>2903</v>
      </c>
      <c r="E25" s="16" t="str">
        <f>IF($C25="B",VLOOKUP($A25,Bat!$A$4:$BD$2323,E$1,FALSE),VLOOKUP($A25,Pit!$A$4:$AZ$2261,E$2,FALSE))</f>
        <v>LF</v>
      </c>
      <c r="F25" s="16" t="str">
        <f>IF($C25="B",VLOOKUP($A25,Bat!$A$4:$BD$2323,F$1,FALSE),VLOOKUP($A25,Pit!$A$4:$AZ$2261,F$2,FALSE))</f>
        <v>Miguel Campoy</v>
      </c>
      <c r="G25" s="16">
        <f>IF($C25="B",VLOOKUP($A25,Bat!$A$4:$BD$2323,G$1,FALSE),VLOOKUP($A25,Pit!$A$4:$AZ$2261,G$2,FALSE))</f>
        <v>21</v>
      </c>
      <c r="H25" s="16" t="str">
        <f>IF($C25="B",VLOOKUP($A25,Bat!$A$4:$BD$2323,H$1,FALSE),VLOOKUP($A25,Pit!$A$4:$AZ$2261,H$2,FALSE))</f>
        <v>L</v>
      </c>
      <c r="I25" s="16" t="str">
        <f>IF($C25="B",VLOOKUP($A25,Bat!$A$4:$BD$2323,I$1,FALSE),VLOOKUP($A25,Pit!$A$4:$AZ$2261,I$2,FALSE))</f>
        <v>R</v>
      </c>
      <c r="J25" s="16" t="str">
        <f>IF($C25="B",VLOOKUP($A25,Bat!$A$4:$BD$2323,J$1,FALSE),VLOOKUP($A25,Pit!$A$4:$AZ$2261,J$2,FALSE))</f>
        <v>High</v>
      </c>
      <c r="K25" s="17" t="str">
        <f>IF($C25="B",VLOOKUP($A25,Bat!$A$4:$BD$2323,K$1,FALSE),VLOOKUP($A25,Pit!$A$4:$AZ$2261,K$2,FALSE))</f>
        <v>Low</v>
      </c>
      <c r="L25" s="16">
        <f>IF($C25="B",VLOOKUP($A25,Bat!$A$4:$BD$2323,L$1,FALSE),VLOOKUP($A25,Pit!$A$4:$AZ$2261,L$2,FALSE))</f>
        <v>6</v>
      </c>
      <c r="M25" s="16">
        <f>IF($C25="B",VLOOKUP($A25,Bat!$A$4:$BD$2323,M$1,FALSE),VLOOKUP($A25,Pit!$A$4:$AZ$2261,M$2,FALSE))</f>
        <v>7</v>
      </c>
      <c r="N25" s="16">
        <f>IF($C25="B",VLOOKUP($A25,Bat!$A$4:$BD$2323,N$1,FALSE),VLOOKUP($A25,Pit!$A$4:$AZ$2261,N$2,FALSE))</f>
        <v>6</v>
      </c>
      <c r="O25" s="16">
        <f>IF($C25="B",VLOOKUP($A25,Bat!$A$4:$BD$2323,O$1,FALSE),VLOOKUP($A25,Pit!$A$4:$AZ$2261,O$2,FALSE))</f>
        <v>7</v>
      </c>
      <c r="P25" s="17">
        <f>IF($C25="B",VLOOKUP($A25,Bat!$A$4:$BD$2323,P$1,FALSE),VLOOKUP($A25,Pit!$A$4:$AZ$2261,P$2,FALSE))</f>
        <v>4</v>
      </c>
      <c r="Q25" s="18">
        <f>IF($C25="B",VLOOKUP($A25,Bat!$A$4:$BD$2323,Q$1,FALSE),VLOOKUP($A25,Pit!$A$4:$AZ$2261,Q$2,FALSE))</f>
        <v>21.167700640416612</v>
      </c>
      <c r="R25" s="19">
        <f>IF($C25="B",VLOOKUP($A25,Bat!$A$4:$BD$2323,R$1,FALSE),VLOOKUP($A25,Pit!$A$4:$AZ$2261,R$2,FALSE))</f>
        <v>1.4588638540503394</v>
      </c>
      <c r="S25" s="20" t="str">
        <f>IF($C25="B",VLOOKUP($A25,Bat!$A$4:$BD$2323,S$1,FALSE),VLOOKUP($A25,Pit!$A$4:$AZ$2261,S$2,FALSE))</f>
        <v>Slot</v>
      </c>
      <c r="T25" s="17" t="str">
        <f>IF(S25="Slot","",VLOOKUP(IF($C25="B",VLOOKUP($A25,Bat!$A$4:$AT$2323,T$1,FALSE),VLOOKUP($A25,Pit!$A$4:$BD$2261,T$2,FALSE)),COND!$A$34:$B$40,2,FALSE))</f>
        <v/>
      </c>
      <c r="U25" s="21">
        <f>IF($C25="B",VLOOKUP($A25,Bat!$A$4:$AR$1287,44,FALSE),VLOOKUP($A25,Pit!$A$4:$BB$1239,54,FALSE))</f>
        <v>19</v>
      </c>
      <c r="W25" s="21">
        <f t="shared" si="2"/>
        <v>19</v>
      </c>
      <c r="X25" s="22" t="e">
        <f t="shared" si="3"/>
        <v>#N/A</v>
      </c>
      <c r="Y25" s="16" t="str">
        <f>IF(ISERROR(VLOOKUP($E25&amp;$F25,Results!$A$2:$G$413,Y$1,FALSE)),"",VLOOKUP($E25&amp;$F25,Results!$A$2:$G$413,Y$1,FALSE))</f>
        <v/>
      </c>
      <c r="Z25" s="16" t="str">
        <f>IF(ISERROR(VLOOKUP($E25&amp;$F25,Results!$A$2:$G$413,Z$1,FALSE)),"",VLOOKUP($E25&amp;$F25,Results!$A$2:$G$413,Z$1,FALSE))</f>
        <v/>
      </c>
      <c r="AA25" s="16" t="str">
        <f>IF(ISERROR(VLOOKUP($E25&amp;$F25,Results!$A$2:$G$413,AA$1,FALSE)),"",VLOOKUP($E25&amp;$F25,Results!$A$2:$G$413,AA$1,FALSE))</f>
        <v/>
      </c>
      <c r="AB25" s="16" t="str">
        <f>IF(ISERROR(VLOOKUP($E25&amp;$F25,Results!$A$2:$G$413,AB$1,FALSE)),"",VLOOKUP($E25&amp;$F25,Results!$A$2:$G$413,AB$1,FALSE))</f>
        <v/>
      </c>
      <c r="AC25" s="16"/>
      <c r="AD25" s="20" t="str">
        <f>IF(ISERROR(VLOOKUP($AB25&amp;"-"&amp;$F25,Bonuses!$B$1:$G$1000,4,FALSE)),"",INT(VLOOKUP($AB25&amp;"-"&amp;$F25,Bonuses!$B$1:$G$1000,4,FALSE)))</f>
        <v/>
      </c>
      <c r="AE25" s="16" t="str">
        <f>IF(ISERROR(VLOOKUP($AB25&amp;"-"&amp;$F25,Bonuses!$B$1:$G$1000,5,FALSE)),"",IF(VLOOKUP($AB25&amp;"-"&amp;$F25,Bonuses!$B$1:$G$1000,5,FALSE)="","",VLOOKUP($AB25&amp;"-"&amp;$F25,Bonuses!$B$1:$G$1000,6,FALSE)&amp;" yrs, "&amp;VLOOKUP($AB25&amp;"-"&amp;$F25,Bonuses!$B$1:$G$1000,5,FALSE)))</f>
        <v/>
      </c>
    </row>
    <row r="26" spans="1:31" s="21" customFormat="1">
      <c r="A26" s="21" t="s">
        <v>911</v>
      </c>
      <c r="B26" s="21">
        <f t="shared" si="0"/>
        <v>1</v>
      </c>
      <c r="C26" s="21" t="str">
        <f t="shared" si="1"/>
        <v>B</v>
      </c>
      <c r="D26" s="17">
        <f>IF($C26="B",VLOOKUP($A26,Bat!$A$4:$BD$2323,D$1,FALSE),VLOOKUP($A26,Pit!$A$4:$AZ$2261,D$2,FALSE))</f>
        <v>2074</v>
      </c>
      <c r="E26" s="16" t="str">
        <f>IF($C26="B",VLOOKUP($A26,Bat!$A$4:$BD$2323,E$1,FALSE),VLOOKUP($A26,Pit!$A$4:$AZ$2261,E$2,FALSE))</f>
        <v>RF</v>
      </c>
      <c r="F26" s="16" t="str">
        <f>IF($C26="B",VLOOKUP($A26,Bat!$A$4:$BD$2323,F$1,FALSE),VLOOKUP($A26,Pit!$A$4:$AZ$2261,F$2,FALSE))</f>
        <v>Donald Mitchell</v>
      </c>
      <c r="G26" s="16">
        <f>IF($C26="B",VLOOKUP($A26,Bat!$A$4:$BD$2323,G$1,FALSE),VLOOKUP($A26,Pit!$A$4:$AZ$2261,G$2,FALSE))</f>
        <v>21</v>
      </c>
      <c r="H26" s="16" t="str">
        <f>IF($C26="B",VLOOKUP($A26,Bat!$A$4:$BD$2323,H$1,FALSE),VLOOKUP($A26,Pit!$A$4:$AZ$2261,H$2,FALSE))</f>
        <v>R</v>
      </c>
      <c r="I26" s="16" t="str">
        <f>IF($C26="B",VLOOKUP($A26,Bat!$A$4:$BD$2323,I$1,FALSE),VLOOKUP($A26,Pit!$A$4:$AZ$2261,I$2,FALSE))</f>
        <v>R</v>
      </c>
      <c r="J26" s="16" t="str">
        <f>IF($C26="B",VLOOKUP($A26,Bat!$A$4:$BD$2323,J$1,FALSE),VLOOKUP($A26,Pit!$A$4:$AZ$2261,J$2,FALSE))</f>
        <v>Very High</v>
      </c>
      <c r="K26" s="17" t="str">
        <f>IF($C26="B",VLOOKUP($A26,Bat!$A$4:$BD$2323,K$1,FALSE),VLOOKUP($A26,Pit!$A$4:$AZ$2261,K$2,FALSE))</f>
        <v>Low</v>
      </c>
      <c r="L26" s="16">
        <f>IF($C26="B",VLOOKUP($A26,Bat!$A$4:$BD$2323,L$1,FALSE),VLOOKUP($A26,Pit!$A$4:$AZ$2261,L$2,FALSE))</f>
        <v>6</v>
      </c>
      <c r="M26" s="16">
        <f>IF($C26="B",VLOOKUP($A26,Bat!$A$4:$BD$2323,M$1,FALSE),VLOOKUP($A26,Pit!$A$4:$AZ$2261,M$2,FALSE))</f>
        <v>7</v>
      </c>
      <c r="N26" s="16">
        <f>IF($C26="B",VLOOKUP($A26,Bat!$A$4:$BD$2323,N$1,FALSE),VLOOKUP($A26,Pit!$A$4:$AZ$2261,N$2,FALSE))</f>
        <v>6</v>
      </c>
      <c r="O26" s="16">
        <f>IF($C26="B",VLOOKUP($A26,Bat!$A$4:$BD$2323,O$1,FALSE),VLOOKUP($A26,Pit!$A$4:$AZ$2261,O$2,FALSE))</f>
        <v>7</v>
      </c>
      <c r="P26" s="17">
        <f>IF($C26="B",VLOOKUP($A26,Bat!$A$4:$BD$2323,P$1,FALSE),VLOOKUP($A26,Pit!$A$4:$AZ$2261,P$2,FALSE))</f>
        <v>4</v>
      </c>
      <c r="Q26" s="18">
        <f>IF($C26="B",VLOOKUP($A26,Bat!$A$4:$BD$2323,Q$1,FALSE),VLOOKUP($A26,Pit!$A$4:$AZ$2261,Q$2,FALSE))</f>
        <v>21.659779671533926</v>
      </c>
      <c r="R26" s="19">
        <f>IF($C26="B",VLOOKUP($A26,Bat!$A$4:$BD$2323,R$1,FALSE),VLOOKUP($A26,Pit!$A$4:$AZ$2261,R$2,FALSE))</f>
        <v>1.527225270562846</v>
      </c>
      <c r="S26" s="20" t="str">
        <f>IF($C26="B",VLOOKUP($A26,Bat!$A$4:$BD$2323,S$1,FALSE),VLOOKUP($A26,Pit!$A$4:$AZ$2261,S$2,FALSE))</f>
        <v>Slot</v>
      </c>
      <c r="T26" s="17" t="str">
        <f>IF(S26="Slot","",VLOOKUP(IF($C26="B",VLOOKUP($A26,Bat!$A$4:$AT$2323,T$1,FALSE),VLOOKUP($A26,Pit!$A$4:$BD$2261,T$2,FALSE)),COND!$A$34:$B$40,2,FALSE))</f>
        <v/>
      </c>
      <c r="U26" s="21">
        <f>IF($C26="B",VLOOKUP($A26,Bat!$A$4:$AR$1287,44,FALSE),VLOOKUP($A26,Pit!$A$4:$BB$1239,54,FALSE))</f>
        <v>20</v>
      </c>
      <c r="W26" s="21">
        <f t="shared" si="2"/>
        <v>20</v>
      </c>
      <c r="X26" s="22" t="e">
        <f t="shared" si="3"/>
        <v>#N/A</v>
      </c>
      <c r="Y26" s="16" t="str">
        <f>IF(ISERROR(VLOOKUP($E26&amp;$F26,Results!$A$2:$G$413,Y$1,FALSE)),"",VLOOKUP($E26&amp;$F26,Results!$A$2:$G$413,Y$1,FALSE))</f>
        <v/>
      </c>
      <c r="Z26" s="16" t="str">
        <f>IF(ISERROR(VLOOKUP($E26&amp;$F26,Results!$A$2:$G$413,Z$1,FALSE)),"",VLOOKUP($E26&amp;$F26,Results!$A$2:$G$413,Z$1,FALSE))</f>
        <v/>
      </c>
      <c r="AA26" s="16" t="str">
        <f>IF(ISERROR(VLOOKUP($E26&amp;$F26,Results!$A$2:$G$413,AA$1,FALSE)),"",VLOOKUP($E26&amp;$F26,Results!$A$2:$G$413,AA$1,FALSE))</f>
        <v/>
      </c>
      <c r="AB26" s="16" t="str">
        <f>IF(ISERROR(VLOOKUP($E26&amp;$F26,Results!$A$2:$G$413,AB$1,FALSE)),"",VLOOKUP($E26&amp;$F26,Results!$A$2:$G$413,AB$1,FALSE))</f>
        <v/>
      </c>
      <c r="AC26" s="16"/>
      <c r="AD26" s="20" t="str">
        <f>IF(ISERROR(VLOOKUP($AB26&amp;"-"&amp;$F26,Bonuses!$B$1:$G$1000,4,FALSE)),"",INT(VLOOKUP($AB26&amp;"-"&amp;$F26,Bonuses!$B$1:$G$1000,4,FALSE)))</f>
        <v/>
      </c>
      <c r="AE26" s="16" t="str">
        <f>IF(ISERROR(VLOOKUP($AB26&amp;"-"&amp;$F26,Bonuses!$B$1:$G$1000,5,FALSE)),"",IF(VLOOKUP($AB26&amp;"-"&amp;$F26,Bonuses!$B$1:$G$1000,5,FALSE)="","",VLOOKUP($AB26&amp;"-"&amp;$F26,Bonuses!$B$1:$G$1000,6,FALSE)&amp;" yrs, "&amp;VLOOKUP($AB26&amp;"-"&amp;$F26,Bonuses!$B$1:$G$1000,5,FALSE)))</f>
        <v/>
      </c>
    </row>
    <row r="27" spans="1:31" s="21" customFormat="1">
      <c r="A27" s="21" t="s">
        <v>249</v>
      </c>
      <c r="B27" s="21">
        <f t="shared" si="0"/>
        <v>1</v>
      </c>
      <c r="C27" s="21" t="str">
        <f t="shared" si="1"/>
        <v>B</v>
      </c>
      <c r="D27" s="17">
        <f>IF($C27="B",VLOOKUP($A27,Bat!$A$4:$BD$2323,D$1,FALSE),VLOOKUP($A27,Pit!$A$4:$AZ$2261,D$2,FALSE))</f>
        <v>3375</v>
      </c>
      <c r="E27" s="16" t="str">
        <f>IF($C27="B",VLOOKUP($A27,Bat!$A$4:$BD$2323,E$1,FALSE),VLOOKUP($A27,Pit!$A$4:$AZ$2261,E$2,FALSE))</f>
        <v>1B</v>
      </c>
      <c r="F27" s="16" t="str">
        <f>IF($C27="B",VLOOKUP($A27,Bat!$A$4:$BD$2323,F$1,FALSE),VLOOKUP($A27,Pit!$A$4:$AZ$2261,F$2,FALSE))</f>
        <v>Gabriel McIntyre</v>
      </c>
      <c r="G27" s="16">
        <f>IF($C27="B",VLOOKUP($A27,Bat!$A$4:$BD$2323,G$1,FALSE),VLOOKUP($A27,Pit!$A$4:$AZ$2261,G$2,FALSE))</f>
        <v>21</v>
      </c>
      <c r="H27" s="16" t="str">
        <f>IF($C27="B",VLOOKUP($A27,Bat!$A$4:$BD$2323,H$1,FALSE),VLOOKUP($A27,Pit!$A$4:$AZ$2261,H$2,FALSE))</f>
        <v>R</v>
      </c>
      <c r="I27" s="16" t="str">
        <f>IF($C27="B",VLOOKUP($A27,Bat!$A$4:$BD$2323,I$1,FALSE),VLOOKUP($A27,Pit!$A$4:$AZ$2261,I$2,FALSE))</f>
        <v>R</v>
      </c>
      <c r="J27" s="16" t="str">
        <f>IF($C27="B",VLOOKUP($A27,Bat!$A$4:$BD$2323,J$1,FALSE),VLOOKUP($A27,Pit!$A$4:$AZ$2261,J$2,FALSE))</f>
        <v>Normal</v>
      </c>
      <c r="K27" s="17" t="str">
        <f>IF($C27="B",VLOOKUP($A27,Bat!$A$4:$BD$2323,K$1,FALSE),VLOOKUP($A27,Pit!$A$4:$AZ$2261,K$2,FALSE))</f>
        <v>Very Low</v>
      </c>
      <c r="L27" s="16">
        <f>IF($C27="B",VLOOKUP($A27,Bat!$A$4:$BD$2323,L$1,FALSE),VLOOKUP($A27,Pit!$A$4:$AZ$2261,L$2,FALSE))</f>
        <v>8</v>
      </c>
      <c r="M27" s="16">
        <f>IF($C27="B",VLOOKUP($A27,Bat!$A$4:$BD$2323,M$1,FALSE),VLOOKUP($A27,Pit!$A$4:$AZ$2261,M$2,FALSE))</f>
        <v>5</v>
      </c>
      <c r="N27" s="16">
        <f>IF($C27="B",VLOOKUP($A27,Bat!$A$4:$BD$2323,N$1,FALSE),VLOOKUP($A27,Pit!$A$4:$AZ$2261,N$2,FALSE))</f>
        <v>3</v>
      </c>
      <c r="O27" s="16">
        <f>IF($C27="B",VLOOKUP($A27,Bat!$A$4:$BD$2323,O$1,FALSE),VLOOKUP($A27,Pit!$A$4:$AZ$2261,O$2,FALSE))</f>
        <v>7</v>
      </c>
      <c r="P27" s="17">
        <f>IF($C27="B",VLOOKUP($A27,Bat!$A$4:$BD$2323,P$1,FALSE),VLOOKUP($A27,Pit!$A$4:$AZ$2261,P$2,FALSE))</f>
        <v>10</v>
      </c>
      <c r="Q27" s="18">
        <f>IF($C27="B",VLOOKUP($A27,Bat!$A$4:$BD$2323,Q$1,FALSE),VLOOKUP($A27,Pit!$A$4:$AZ$2261,Q$2,FALSE))</f>
        <v>28.944156831336784</v>
      </c>
      <c r="R27" s="19">
        <f>IF($C27="B",VLOOKUP($A27,Bat!$A$4:$BD$2323,R$1,FALSE),VLOOKUP($A27,Pit!$A$4:$AZ$2261,R$2,FALSE))</f>
        <v>2.5391975546180774</v>
      </c>
      <c r="S27" s="20">
        <f>IF($C27="B",VLOOKUP($A27,Bat!$A$4:$BD$2323,S$1,FALSE),VLOOKUP($A27,Pit!$A$4:$AZ$2261,S$2,FALSE))</f>
        <v>2000000</v>
      </c>
      <c r="T27" s="17" t="str">
        <f>IF(S27="Slot","",VLOOKUP(IF($C27="B",VLOOKUP($A27,Bat!$A$4:$AT$2323,T$1,FALSE),VLOOKUP($A27,Pit!$A$4:$BD$2261,T$2,FALSE)),COND!$A$34:$B$40,2,FALSE))</f>
        <v>EH</v>
      </c>
      <c r="U27" s="21">
        <f>IF($C27="B",VLOOKUP($A27,Bat!$A$4:$AR$1287,44,FALSE),VLOOKUP($A27,Pit!$A$4:$BB$1239,54,FALSE))</f>
        <v>21</v>
      </c>
      <c r="W27" s="21">
        <f t="shared" si="2"/>
        <v>21</v>
      </c>
      <c r="X27" s="22" t="e">
        <f t="shared" si="3"/>
        <v>#N/A</v>
      </c>
      <c r="Y27" s="16" t="str">
        <f>IF(ISERROR(VLOOKUP($E27&amp;$F27,Results!$A$2:$G$413,Y$1,FALSE)),"",VLOOKUP($E27&amp;$F27,Results!$A$2:$G$413,Y$1,FALSE))</f>
        <v/>
      </c>
      <c r="Z27" s="16" t="str">
        <f>IF(ISERROR(VLOOKUP($E27&amp;$F27,Results!$A$2:$G$413,Z$1,FALSE)),"",VLOOKUP($E27&amp;$F27,Results!$A$2:$G$413,Z$1,FALSE))</f>
        <v/>
      </c>
      <c r="AA27" s="16" t="str">
        <f>IF(ISERROR(VLOOKUP($E27&amp;$F27,Results!$A$2:$G$413,AA$1,FALSE)),"",VLOOKUP($E27&amp;$F27,Results!$A$2:$G$413,AA$1,FALSE))</f>
        <v/>
      </c>
      <c r="AB27" s="16" t="str">
        <f>IF(ISERROR(VLOOKUP($E27&amp;$F27,Results!$A$2:$G$413,AB$1,FALSE)),"",VLOOKUP($E27&amp;$F27,Results!$A$2:$G$413,AB$1,FALSE))</f>
        <v/>
      </c>
      <c r="AC27" s="16"/>
      <c r="AD27" s="20" t="str">
        <f>IF(ISERROR(VLOOKUP($AB27&amp;"-"&amp;$F27,Bonuses!$B$1:$G$1000,4,FALSE)),"",INT(VLOOKUP($AB27&amp;"-"&amp;$F27,Bonuses!$B$1:$G$1000,4,FALSE)))</f>
        <v/>
      </c>
      <c r="AE27" s="16" t="str">
        <f>IF(ISERROR(VLOOKUP($AB27&amp;"-"&amp;$F27,Bonuses!$B$1:$G$1000,5,FALSE)),"",IF(VLOOKUP($AB27&amp;"-"&amp;$F27,Bonuses!$B$1:$G$1000,5,FALSE)="","",VLOOKUP($AB27&amp;"-"&amp;$F27,Bonuses!$B$1:$G$1000,6,FALSE)&amp;" yrs, "&amp;VLOOKUP($AB27&amp;"-"&amp;$F27,Bonuses!$B$1:$G$1000,5,FALSE)))</f>
        <v/>
      </c>
    </row>
    <row r="28" spans="1:31" s="21" customFormat="1">
      <c r="A28" s="21" t="s">
        <v>918</v>
      </c>
      <c r="B28" s="21">
        <f t="shared" si="0"/>
        <v>1</v>
      </c>
      <c r="C28" s="21" t="str">
        <f t="shared" si="1"/>
        <v>B</v>
      </c>
      <c r="D28" s="17">
        <f>IF($C28="B",VLOOKUP($A28,Bat!$A$4:$BD$2323,D$1,FALSE),VLOOKUP($A28,Pit!$A$4:$AZ$2261,D$2,FALSE))</f>
        <v>2844</v>
      </c>
      <c r="E28" s="16" t="str">
        <f>IF($C28="B",VLOOKUP($A28,Bat!$A$4:$BD$2323,E$1,FALSE),VLOOKUP($A28,Pit!$A$4:$AZ$2261,E$2,FALSE))</f>
        <v>SS</v>
      </c>
      <c r="F28" s="16" t="str">
        <f>IF($C28="B",VLOOKUP($A28,Bat!$A$4:$BD$2323,F$1,FALSE),VLOOKUP($A28,Pit!$A$4:$AZ$2261,F$2,FALSE))</f>
        <v>Greg Dundee</v>
      </c>
      <c r="G28" s="16">
        <f>IF($C28="B",VLOOKUP($A28,Bat!$A$4:$BD$2323,G$1,FALSE),VLOOKUP($A28,Pit!$A$4:$AZ$2261,G$2,FALSE))</f>
        <v>21</v>
      </c>
      <c r="H28" s="16" t="str">
        <f>IF($C28="B",VLOOKUP($A28,Bat!$A$4:$BD$2323,H$1,FALSE),VLOOKUP($A28,Pit!$A$4:$AZ$2261,H$2,FALSE))</f>
        <v>L</v>
      </c>
      <c r="I28" s="16" t="str">
        <f>IF($C28="B",VLOOKUP($A28,Bat!$A$4:$BD$2323,I$1,FALSE),VLOOKUP($A28,Pit!$A$4:$AZ$2261,I$2,FALSE))</f>
        <v>R</v>
      </c>
      <c r="J28" s="16" t="str">
        <f>IF($C28="B",VLOOKUP($A28,Bat!$A$4:$BD$2323,J$1,FALSE),VLOOKUP($A28,Pit!$A$4:$AZ$2261,J$2,FALSE))</f>
        <v>Low</v>
      </c>
      <c r="K28" s="17" t="str">
        <f>IF($C28="B",VLOOKUP($A28,Bat!$A$4:$BD$2323,K$1,FALSE),VLOOKUP($A28,Pit!$A$4:$AZ$2261,K$2,FALSE))</f>
        <v>High</v>
      </c>
      <c r="L28" s="16">
        <f>IF($C28="B",VLOOKUP($A28,Bat!$A$4:$BD$2323,L$1,FALSE),VLOOKUP($A28,Pit!$A$4:$AZ$2261,L$2,FALSE))</f>
        <v>5</v>
      </c>
      <c r="M28" s="16">
        <f>IF($C28="B",VLOOKUP($A28,Bat!$A$4:$BD$2323,M$1,FALSE),VLOOKUP($A28,Pit!$A$4:$AZ$2261,M$2,FALSE))</f>
        <v>6</v>
      </c>
      <c r="N28" s="16">
        <f>IF($C28="B",VLOOKUP($A28,Bat!$A$4:$BD$2323,N$1,FALSE),VLOOKUP($A28,Pit!$A$4:$AZ$2261,N$2,FALSE))</f>
        <v>5</v>
      </c>
      <c r="O28" s="16">
        <f>IF($C28="B",VLOOKUP($A28,Bat!$A$4:$BD$2323,O$1,FALSE),VLOOKUP($A28,Pit!$A$4:$AZ$2261,O$2,FALSE))</f>
        <v>6</v>
      </c>
      <c r="P28" s="17">
        <f>IF($C28="B",VLOOKUP($A28,Bat!$A$4:$BD$2323,P$1,FALSE),VLOOKUP($A28,Pit!$A$4:$AZ$2261,P$2,FALSE))</f>
        <v>4</v>
      </c>
      <c r="Q28" s="18">
        <f>IF($C28="B",VLOOKUP($A28,Bat!$A$4:$BD$2323,Q$1,FALSE),VLOOKUP($A28,Pit!$A$4:$AZ$2261,Q$2,FALSE))</f>
        <v>16.258882742568943</v>
      </c>
      <c r="R28" s="19">
        <f>IF($C28="B",VLOOKUP($A28,Bat!$A$4:$BD$2323,R$1,FALSE),VLOOKUP($A28,Pit!$A$4:$AZ$2261,R$2,FALSE))</f>
        <v>0.77691294031833469</v>
      </c>
      <c r="S28" s="20" t="str">
        <f>IF($C28="B",VLOOKUP($A28,Bat!$A$4:$BD$2323,S$1,FALSE),VLOOKUP($A28,Pit!$A$4:$AZ$2261,S$2,FALSE))</f>
        <v>Slot</v>
      </c>
      <c r="T28" s="17" t="str">
        <f>IF(S28="Slot","",VLOOKUP(IF($C28="B",VLOOKUP($A28,Bat!$A$4:$AT$2323,T$1,FALSE),VLOOKUP($A28,Pit!$A$4:$BD$2261,T$2,FALSE)),COND!$A$34:$B$40,2,FALSE))</f>
        <v/>
      </c>
      <c r="U28" s="21">
        <f>IF($C28="B",VLOOKUP($A28,Bat!$A$4:$AR$1287,44,FALSE),VLOOKUP($A28,Pit!$A$4:$BB$1239,54,FALSE))</f>
        <v>24</v>
      </c>
      <c r="W28" s="21">
        <f t="shared" si="2"/>
        <v>24</v>
      </c>
      <c r="X28" s="22" t="e">
        <f t="shared" si="3"/>
        <v>#N/A</v>
      </c>
      <c r="Y28" s="16" t="str">
        <f>IF(ISERROR(VLOOKUP($E28&amp;$F28,Results!$A$2:$G$413,Y$1,FALSE)),"",VLOOKUP($E28&amp;$F28,Results!$A$2:$G$413,Y$1,FALSE))</f>
        <v/>
      </c>
      <c r="Z28" s="16" t="str">
        <f>IF(ISERROR(VLOOKUP($E28&amp;$F28,Results!$A$2:$G$413,Z$1,FALSE)),"",VLOOKUP($E28&amp;$F28,Results!$A$2:$G$413,Z$1,FALSE))</f>
        <v/>
      </c>
      <c r="AA28" s="16" t="str">
        <f>IF(ISERROR(VLOOKUP($E28&amp;$F28,Results!$A$2:$G$413,AA$1,FALSE)),"",VLOOKUP($E28&amp;$F28,Results!$A$2:$G$413,AA$1,FALSE))</f>
        <v/>
      </c>
      <c r="AB28" s="16" t="str">
        <f>IF(ISERROR(VLOOKUP($E28&amp;$F28,Results!$A$2:$G$413,AB$1,FALSE)),"",VLOOKUP($E28&amp;$F28,Results!$A$2:$G$413,AB$1,FALSE))</f>
        <v/>
      </c>
      <c r="AC28" s="16"/>
      <c r="AD28" s="20" t="str">
        <f>IF(ISERROR(VLOOKUP($AB28&amp;"-"&amp;$F28,Bonuses!$B$1:$G$1000,4,FALSE)),"",INT(VLOOKUP($AB28&amp;"-"&amp;$F28,Bonuses!$B$1:$G$1000,4,FALSE)))</f>
        <v/>
      </c>
      <c r="AE28" s="16" t="str">
        <f>IF(ISERROR(VLOOKUP($AB28&amp;"-"&amp;$F28,Bonuses!$B$1:$G$1000,5,FALSE)),"",IF(VLOOKUP($AB28&amp;"-"&amp;$F28,Bonuses!$B$1:$G$1000,5,FALSE)="","",VLOOKUP($AB28&amp;"-"&amp;$F28,Bonuses!$B$1:$G$1000,6,FALSE)&amp;" yrs, "&amp;VLOOKUP($AB28&amp;"-"&amp;$F28,Bonuses!$B$1:$G$1000,5,FALSE)))</f>
        <v/>
      </c>
    </row>
    <row r="29" spans="1:31" s="21" customFormat="1">
      <c r="A29" s="21" t="s">
        <v>915</v>
      </c>
      <c r="B29" s="21">
        <f t="shared" si="0"/>
        <v>1</v>
      </c>
      <c r="C29" s="21" t="str">
        <f t="shared" si="1"/>
        <v>B</v>
      </c>
      <c r="D29" s="17">
        <f>IF($C29="B",VLOOKUP($A29,Bat!$A$4:$BD$2323,D$1,FALSE),VLOOKUP($A29,Pit!$A$4:$AZ$2261,D$2,FALSE))</f>
        <v>5243</v>
      </c>
      <c r="E29" s="16" t="str">
        <f>IF($C29="B",VLOOKUP($A29,Bat!$A$4:$BD$2323,E$1,FALSE),VLOOKUP($A29,Pit!$A$4:$AZ$2261,E$2,FALSE))</f>
        <v>RF</v>
      </c>
      <c r="F29" s="16" t="str">
        <f>IF($C29="B",VLOOKUP($A29,Bat!$A$4:$BD$2323,F$1,FALSE),VLOOKUP($A29,Pit!$A$4:$AZ$2261,F$2,FALSE))</f>
        <v>Phil Carter</v>
      </c>
      <c r="G29" s="16">
        <f>IF($C29="B",VLOOKUP($A29,Bat!$A$4:$BD$2323,G$1,FALSE),VLOOKUP($A29,Pit!$A$4:$AZ$2261,G$2,FALSE))</f>
        <v>21</v>
      </c>
      <c r="H29" s="16" t="str">
        <f>IF($C29="B",VLOOKUP($A29,Bat!$A$4:$BD$2323,H$1,FALSE),VLOOKUP($A29,Pit!$A$4:$AZ$2261,H$2,FALSE))</f>
        <v>L</v>
      </c>
      <c r="I29" s="16" t="str">
        <f>IF($C29="B",VLOOKUP($A29,Bat!$A$4:$BD$2323,I$1,FALSE),VLOOKUP($A29,Pit!$A$4:$AZ$2261,I$2,FALSE))</f>
        <v>L</v>
      </c>
      <c r="J29" s="16" t="str">
        <f>IF($C29="B",VLOOKUP($A29,Bat!$A$4:$BD$2323,J$1,FALSE),VLOOKUP($A29,Pit!$A$4:$AZ$2261,J$2,FALSE))</f>
        <v>Normal</v>
      </c>
      <c r="K29" s="17" t="str">
        <f>IF($C29="B",VLOOKUP($A29,Bat!$A$4:$BD$2323,K$1,FALSE),VLOOKUP($A29,Pit!$A$4:$AZ$2261,K$2,FALSE))</f>
        <v>Very High</v>
      </c>
      <c r="L29" s="16">
        <f>IF($C29="B",VLOOKUP($A29,Bat!$A$4:$BD$2323,L$1,FALSE),VLOOKUP($A29,Pit!$A$4:$AZ$2261,L$2,FALSE))</f>
        <v>5</v>
      </c>
      <c r="M29" s="16">
        <f>IF($C29="B",VLOOKUP($A29,Bat!$A$4:$BD$2323,M$1,FALSE),VLOOKUP($A29,Pit!$A$4:$AZ$2261,M$2,FALSE))</f>
        <v>7</v>
      </c>
      <c r="N29" s="16">
        <f>IF($C29="B",VLOOKUP($A29,Bat!$A$4:$BD$2323,N$1,FALSE),VLOOKUP($A29,Pit!$A$4:$AZ$2261,N$2,FALSE))</f>
        <v>8</v>
      </c>
      <c r="O29" s="16">
        <f>IF($C29="B",VLOOKUP($A29,Bat!$A$4:$BD$2323,O$1,FALSE),VLOOKUP($A29,Pit!$A$4:$AZ$2261,O$2,FALSE))</f>
        <v>5</v>
      </c>
      <c r="P29" s="17">
        <f>IF($C29="B",VLOOKUP($A29,Bat!$A$4:$BD$2323,P$1,FALSE),VLOOKUP($A29,Pit!$A$4:$AZ$2261,P$2,FALSE))</f>
        <v>4</v>
      </c>
      <c r="Q29" s="18">
        <f>IF($C29="B",VLOOKUP($A29,Bat!$A$4:$BD$2323,Q$1,FALSE),VLOOKUP($A29,Pit!$A$4:$AZ$2261,Q$2,FALSE))</f>
        <v>18.089713901507377</v>
      </c>
      <c r="R29" s="19">
        <f>IF($C29="B",VLOOKUP($A29,Bat!$A$4:$BD$2323,R$1,FALSE),VLOOKUP($A29,Pit!$A$4:$AZ$2261,R$2,FALSE))</f>
        <v>1.0312586927396103</v>
      </c>
      <c r="S29" s="20" t="str">
        <f>IF($C29="B",VLOOKUP($A29,Bat!$A$4:$BD$2323,S$1,FALSE),VLOOKUP($A29,Pit!$A$4:$AZ$2261,S$2,FALSE))</f>
        <v>Slot</v>
      </c>
      <c r="T29" s="17" t="str">
        <f>IF(S29="Slot","",VLOOKUP(IF($C29="B",VLOOKUP($A29,Bat!$A$4:$AT$2323,T$1,FALSE),VLOOKUP($A29,Pit!$A$4:$BD$2261,T$2,FALSE)),COND!$A$34:$B$40,2,FALSE))</f>
        <v/>
      </c>
      <c r="U29" s="21">
        <f>IF($C29="B",VLOOKUP($A29,Bat!$A$4:$AR$1287,44,FALSE),VLOOKUP($A29,Pit!$A$4:$BB$1239,54,FALSE))</f>
        <v>25</v>
      </c>
      <c r="W29" s="21">
        <f t="shared" si="2"/>
        <v>25</v>
      </c>
      <c r="X29" s="22" t="e">
        <f t="shared" si="3"/>
        <v>#N/A</v>
      </c>
      <c r="Y29" s="16" t="str">
        <f>IF(ISERROR(VLOOKUP($E29&amp;$F29,Results!$A$2:$G$413,Y$1,FALSE)),"",VLOOKUP($E29&amp;$F29,Results!$A$2:$G$413,Y$1,FALSE))</f>
        <v/>
      </c>
      <c r="Z29" s="16" t="str">
        <f>IF(ISERROR(VLOOKUP($E29&amp;$F29,Results!$A$2:$G$413,Z$1,FALSE)),"",VLOOKUP($E29&amp;$F29,Results!$A$2:$G$413,Z$1,FALSE))</f>
        <v/>
      </c>
      <c r="AA29" s="16" t="str">
        <f>IF(ISERROR(VLOOKUP($E29&amp;$F29,Results!$A$2:$G$413,AA$1,FALSE)),"",VLOOKUP($E29&amp;$F29,Results!$A$2:$G$413,AA$1,FALSE))</f>
        <v/>
      </c>
      <c r="AB29" s="16" t="str">
        <f>IF(ISERROR(VLOOKUP($E29&amp;$F29,Results!$A$2:$G$413,AB$1,FALSE)),"",VLOOKUP($E29&amp;$F29,Results!$A$2:$G$413,AB$1,FALSE))</f>
        <v/>
      </c>
      <c r="AC29" s="16"/>
      <c r="AD29" s="20" t="str">
        <f>IF(ISERROR(VLOOKUP($AB29&amp;"-"&amp;$F29,Bonuses!$B$1:$G$1000,4,FALSE)),"",INT(VLOOKUP($AB29&amp;"-"&amp;$F29,Bonuses!$B$1:$G$1000,4,FALSE)))</f>
        <v/>
      </c>
      <c r="AE29" s="16" t="str">
        <f>IF(ISERROR(VLOOKUP($AB29&amp;"-"&amp;$F29,Bonuses!$B$1:$G$1000,5,FALSE)),"",IF(VLOOKUP($AB29&amp;"-"&amp;$F29,Bonuses!$B$1:$G$1000,5,FALSE)="","",VLOOKUP($AB29&amp;"-"&amp;$F29,Bonuses!$B$1:$G$1000,6,FALSE)&amp;" yrs, "&amp;VLOOKUP($AB29&amp;"-"&amp;$F29,Bonuses!$B$1:$G$1000,5,FALSE)))</f>
        <v/>
      </c>
    </row>
    <row r="30" spans="1:31" s="21" customFormat="1">
      <c r="A30" s="21" t="s">
        <v>913</v>
      </c>
      <c r="B30" s="21">
        <f t="shared" si="0"/>
        <v>1</v>
      </c>
      <c r="C30" s="21" t="str">
        <f t="shared" si="1"/>
        <v>B</v>
      </c>
      <c r="D30" s="17">
        <f>IF($C30="B",VLOOKUP($A30,Bat!$A$4:$BD$2323,D$1,FALSE),VLOOKUP($A30,Pit!$A$4:$AZ$2261,D$2,FALSE))</f>
        <v>7346</v>
      </c>
      <c r="E30" s="16" t="str">
        <f>IF($C30="B",VLOOKUP($A30,Bat!$A$4:$BD$2323,E$1,FALSE),VLOOKUP($A30,Pit!$A$4:$AZ$2261,E$2,FALSE))</f>
        <v>1B</v>
      </c>
      <c r="F30" s="16" t="str">
        <f>IF($C30="B",VLOOKUP($A30,Bat!$A$4:$BD$2323,F$1,FALSE),VLOOKUP($A30,Pit!$A$4:$AZ$2261,F$2,FALSE))</f>
        <v>Marvin Williams</v>
      </c>
      <c r="G30" s="16">
        <f>IF($C30="B",VLOOKUP($A30,Bat!$A$4:$BD$2323,G$1,FALSE),VLOOKUP($A30,Pit!$A$4:$AZ$2261,G$2,FALSE))</f>
        <v>21</v>
      </c>
      <c r="H30" s="16" t="str">
        <f>IF($C30="B",VLOOKUP($A30,Bat!$A$4:$BD$2323,H$1,FALSE),VLOOKUP($A30,Pit!$A$4:$AZ$2261,H$2,FALSE))</f>
        <v>R</v>
      </c>
      <c r="I30" s="16" t="str">
        <f>IF($C30="B",VLOOKUP($A30,Bat!$A$4:$BD$2323,I$1,FALSE),VLOOKUP($A30,Pit!$A$4:$AZ$2261,I$2,FALSE))</f>
        <v>R</v>
      </c>
      <c r="J30" s="16" t="str">
        <f>IF($C30="B",VLOOKUP($A30,Bat!$A$4:$BD$2323,J$1,FALSE),VLOOKUP($A30,Pit!$A$4:$AZ$2261,J$2,FALSE))</f>
        <v>Low</v>
      </c>
      <c r="K30" s="17" t="str">
        <f>IF($C30="B",VLOOKUP($A30,Bat!$A$4:$BD$2323,K$1,FALSE),VLOOKUP($A30,Pit!$A$4:$AZ$2261,K$2,FALSE))</f>
        <v>High</v>
      </c>
      <c r="L30" s="16">
        <f>IF($C30="B",VLOOKUP($A30,Bat!$A$4:$BD$2323,L$1,FALSE),VLOOKUP($A30,Pit!$A$4:$AZ$2261,L$2,FALSE))</f>
        <v>7</v>
      </c>
      <c r="M30" s="16">
        <f>IF($C30="B",VLOOKUP($A30,Bat!$A$4:$BD$2323,M$1,FALSE),VLOOKUP($A30,Pit!$A$4:$AZ$2261,M$2,FALSE))</f>
        <v>6</v>
      </c>
      <c r="N30" s="16">
        <f>IF($C30="B",VLOOKUP($A30,Bat!$A$4:$BD$2323,N$1,FALSE),VLOOKUP($A30,Pit!$A$4:$AZ$2261,N$2,FALSE))</f>
        <v>5</v>
      </c>
      <c r="O30" s="16">
        <f>IF($C30="B",VLOOKUP($A30,Bat!$A$4:$BD$2323,O$1,FALSE),VLOOKUP($A30,Pit!$A$4:$AZ$2261,O$2,FALSE))</f>
        <v>5</v>
      </c>
      <c r="P30" s="17">
        <f>IF($C30="B",VLOOKUP($A30,Bat!$A$4:$BD$2323,P$1,FALSE),VLOOKUP($A30,Pit!$A$4:$AZ$2261,P$2,FALSE))</f>
        <v>6</v>
      </c>
      <c r="Q30" s="18">
        <f>IF($C30="B",VLOOKUP($A30,Bat!$A$4:$BD$2323,Q$1,FALSE),VLOOKUP($A30,Pit!$A$4:$AZ$2261,Q$2,FALSE))</f>
        <v>21.942977407550885</v>
      </c>
      <c r="R30" s="19">
        <f>IF($C30="B",VLOOKUP($A30,Bat!$A$4:$BD$2323,R$1,FALSE),VLOOKUP($A30,Pit!$A$4:$AZ$2261,R$2,FALSE))</f>
        <v>1.5665681345399918</v>
      </c>
      <c r="S30" s="20" t="str">
        <f>IF($C30="B",VLOOKUP($A30,Bat!$A$4:$BD$2323,S$1,FALSE),VLOOKUP($A30,Pit!$A$4:$AZ$2261,S$2,FALSE))</f>
        <v>Slot</v>
      </c>
      <c r="T30" s="17" t="str">
        <f>IF(S30="Slot","",VLOOKUP(IF($C30="B",VLOOKUP($A30,Bat!$A$4:$AT$2323,T$1,FALSE),VLOOKUP($A30,Pit!$A$4:$BD$2261,T$2,FALSE)),COND!$A$34:$B$40,2,FALSE))</f>
        <v/>
      </c>
      <c r="U30" s="21">
        <f>IF($C30="B",VLOOKUP($A30,Bat!$A$4:$AR$1287,44,FALSE),VLOOKUP($A30,Pit!$A$4:$BB$1239,54,FALSE))</f>
        <v>29</v>
      </c>
      <c r="W30" s="21">
        <f t="shared" si="2"/>
        <v>29</v>
      </c>
      <c r="X30" s="22" t="e">
        <f t="shared" si="3"/>
        <v>#N/A</v>
      </c>
      <c r="Y30" s="16" t="str">
        <f>IF(ISERROR(VLOOKUP($E30&amp;$F30,Results!$A$2:$G$413,Y$1,FALSE)),"",VLOOKUP($E30&amp;$F30,Results!$A$2:$G$413,Y$1,FALSE))</f>
        <v/>
      </c>
      <c r="Z30" s="16" t="str">
        <f>IF(ISERROR(VLOOKUP($E30&amp;$F30,Results!$A$2:$G$413,Z$1,FALSE)),"",VLOOKUP($E30&amp;$F30,Results!$A$2:$G$413,Z$1,FALSE))</f>
        <v/>
      </c>
      <c r="AA30" s="16" t="str">
        <f>IF(ISERROR(VLOOKUP($E30&amp;$F30,Results!$A$2:$G$413,AA$1,FALSE)),"",VLOOKUP($E30&amp;$F30,Results!$A$2:$G$413,AA$1,FALSE))</f>
        <v/>
      </c>
      <c r="AB30" s="16" t="str">
        <f>IF(ISERROR(VLOOKUP($E30&amp;$F30,Results!$A$2:$G$413,AB$1,FALSE)),"",VLOOKUP($E30&amp;$F30,Results!$A$2:$G$413,AB$1,FALSE))</f>
        <v/>
      </c>
      <c r="AC30" s="16"/>
      <c r="AD30" s="20" t="str">
        <f>IF(ISERROR(VLOOKUP($AB30&amp;"-"&amp;$F30,Bonuses!$B$1:$G$1000,4,FALSE)),"",INT(VLOOKUP($AB30&amp;"-"&amp;$F30,Bonuses!$B$1:$G$1000,4,FALSE)))</f>
        <v/>
      </c>
      <c r="AE30" s="16" t="str">
        <f>IF(ISERROR(VLOOKUP($AB30&amp;"-"&amp;$F30,Bonuses!$B$1:$G$1000,5,FALSE)),"",IF(VLOOKUP($AB30&amp;"-"&amp;$F30,Bonuses!$B$1:$G$1000,5,FALSE)="","",VLOOKUP($AB30&amp;"-"&amp;$F30,Bonuses!$B$1:$G$1000,6,FALSE)&amp;" yrs, "&amp;VLOOKUP($AB30&amp;"-"&amp;$F30,Bonuses!$B$1:$G$1000,5,FALSE)))</f>
        <v/>
      </c>
    </row>
    <row r="31" spans="1:31" s="21" customFormat="1">
      <c r="A31" s="21" t="s">
        <v>630</v>
      </c>
      <c r="B31" s="21">
        <f t="shared" si="0"/>
        <v>1</v>
      </c>
      <c r="C31" s="21" t="str">
        <f t="shared" si="1"/>
        <v>B</v>
      </c>
      <c r="D31" s="17">
        <f>IF($C31="B",VLOOKUP($A31,Bat!$A$4:$BD$2323,D$1,FALSE),VLOOKUP($A31,Pit!$A$4:$AZ$2261,D$2,FALSE))</f>
        <v>13832</v>
      </c>
      <c r="E31" s="16" t="str">
        <f>IF($C31="B",VLOOKUP($A31,Bat!$A$4:$BD$2323,E$1,FALSE),VLOOKUP($A31,Pit!$A$4:$AZ$2261,E$2,FALSE))</f>
        <v>C</v>
      </c>
      <c r="F31" s="16" t="str">
        <f>IF($C31="B",VLOOKUP($A31,Bat!$A$4:$BD$2323,F$1,FALSE),VLOOKUP($A31,Pit!$A$4:$AZ$2261,F$2,FALSE))</f>
        <v>Jessie Kimball</v>
      </c>
      <c r="G31" s="16">
        <f>IF($C31="B",VLOOKUP($A31,Bat!$A$4:$BD$2323,G$1,FALSE),VLOOKUP($A31,Pit!$A$4:$AZ$2261,G$2,FALSE))</f>
        <v>18</v>
      </c>
      <c r="H31" s="16" t="str">
        <f>IF($C31="B",VLOOKUP($A31,Bat!$A$4:$BD$2323,H$1,FALSE),VLOOKUP($A31,Pit!$A$4:$AZ$2261,H$2,FALSE))</f>
        <v>R</v>
      </c>
      <c r="I31" s="16" t="str">
        <f>IF($C31="B",VLOOKUP($A31,Bat!$A$4:$BD$2323,I$1,FALSE),VLOOKUP($A31,Pit!$A$4:$AZ$2261,I$2,FALSE))</f>
        <v>R</v>
      </c>
      <c r="J31" s="16" t="str">
        <f>IF($C31="B",VLOOKUP($A31,Bat!$A$4:$BD$2323,J$1,FALSE),VLOOKUP($A31,Pit!$A$4:$AZ$2261,J$2,FALSE))</f>
        <v>Normal</v>
      </c>
      <c r="K31" s="17" t="str">
        <f>IF($C31="B",VLOOKUP($A31,Bat!$A$4:$BD$2323,K$1,FALSE),VLOOKUP($A31,Pit!$A$4:$AZ$2261,K$2,FALSE))</f>
        <v>Normal</v>
      </c>
      <c r="L31" s="16">
        <f>IF($C31="B",VLOOKUP($A31,Bat!$A$4:$BD$2323,L$1,FALSE),VLOOKUP($A31,Pit!$A$4:$AZ$2261,L$2,FALSE))</f>
        <v>5</v>
      </c>
      <c r="M31" s="16">
        <f>IF($C31="B",VLOOKUP($A31,Bat!$A$4:$BD$2323,M$1,FALSE),VLOOKUP($A31,Pit!$A$4:$AZ$2261,M$2,FALSE))</f>
        <v>7</v>
      </c>
      <c r="N31" s="16">
        <f>IF($C31="B",VLOOKUP($A31,Bat!$A$4:$BD$2323,N$1,FALSE),VLOOKUP($A31,Pit!$A$4:$AZ$2261,N$2,FALSE))</f>
        <v>9</v>
      </c>
      <c r="O31" s="16">
        <f>IF($C31="B",VLOOKUP($A31,Bat!$A$4:$BD$2323,O$1,FALSE),VLOOKUP($A31,Pit!$A$4:$AZ$2261,O$2,FALSE))</f>
        <v>4</v>
      </c>
      <c r="P31" s="17">
        <f>IF($C31="B",VLOOKUP($A31,Bat!$A$4:$BD$2323,P$1,FALSE),VLOOKUP($A31,Pit!$A$4:$AZ$2261,P$2,FALSE))</f>
        <v>4</v>
      </c>
      <c r="Q31" s="18">
        <f>IF($C31="B",VLOOKUP($A31,Bat!$A$4:$BD$2323,Q$1,FALSE),VLOOKUP($A31,Pit!$A$4:$AZ$2261,Q$2,FALSE))</f>
        <v>17.582472397415884</v>
      </c>
      <c r="R31" s="19">
        <f>IF($C31="B",VLOOKUP($A31,Bat!$A$4:$BD$2323,R$1,FALSE),VLOOKUP($A31,Pit!$A$4:$AZ$2261,R$2,FALSE))</f>
        <v>0.9607908500947121</v>
      </c>
      <c r="S31" s="20" t="str">
        <f>IF($C31="B",VLOOKUP($A31,Bat!$A$4:$BD$2323,S$1,FALSE),VLOOKUP($A31,Pit!$A$4:$AZ$2261,S$2,FALSE))</f>
        <v>Slot</v>
      </c>
      <c r="T31" s="17" t="str">
        <f>IF(S31="Slot","",VLOOKUP(IF($C31="B",VLOOKUP($A31,Bat!$A$4:$AT$2323,T$1,FALSE),VLOOKUP($A31,Pit!$A$4:$BD$2261,T$2,FALSE)),COND!$A$34:$B$40,2,FALSE))</f>
        <v/>
      </c>
      <c r="U31" s="21">
        <f>IF($C31="B",VLOOKUP($A31,Bat!$A$4:$AR$1287,44,FALSE),VLOOKUP($A31,Pit!$A$4:$BB$1239,54,FALSE))</f>
        <v>30</v>
      </c>
      <c r="W31" s="21">
        <f t="shared" si="2"/>
        <v>30</v>
      </c>
      <c r="X31" s="22" t="e">
        <f t="shared" si="3"/>
        <v>#N/A</v>
      </c>
      <c r="Y31" s="16" t="str">
        <f>IF(ISERROR(VLOOKUP($E31&amp;$F31,Results!$A$2:$G$413,Y$1,FALSE)),"",VLOOKUP($E31&amp;$F31,Results!$A$2:$G$413,Y$1,FALSE))</f>
        <v/>
      </c>
      <c r="Z31" s="16" t="str">
        <f>IF(ISERROR(VLOOKUP($E31&amp;$F31,Results!$A$2:$G$413,Z$1,FALSE)),"",VLOOKUP($E31&amp;$F31,Results!$A$2:$G$413,Z$1,FALSE))</f>
        <v/>
      </c>
      <c r="AA31" s="16" t="str">
        <f>IF(ISERROR(VLOOKUP($E31&amp;$F31,Results!$A$2:$G$413,AA$1,FALSE)),"",VLOOKUP($E31&amp;$F31,Results!$A$2:$G$413,AA$1,FALSE))</f>
        <v/>
      </c>
      <c r="AB31" s="16" t="str">
        <f>IF(ISERROR(VLOOKUP($E31&amp;$F31,Results!$A$2:$G$413,AB$1,FALSE)),"",VLOOKUP($E31&amp;$F31,Results!$A$2:$G$413,AB$1,FALSE))</f>
        <v/>
      </c>
      <c r="AC31" s="16"/>
      <c r="AD31" s="20" t="str">
        <f>IF(ISERROR(VLOOKUP($AB31&amp;"-"&amp;$F31,Bonuses!$B$1:$G$1000,4,FALSE)),"",INT(VLOOKUP($AB31&amp;"-"&amp;$F31,Bonuses!$B$1:$G$1000,4,FALSE)))</f>
        <v/>
      </c>
      <c r="AE31" s="16" t="str">
        <f>IF(ISERROR(VLOOKUP($AB31&amp;"-"&amp;$F31,Bonuses!$B$1:$G$1000,5,FALSE)),"",IF(VLOOKUP($AB31&amp;"-"&amp;$F31,Bonuses!$B$1:$G$1000,5,FALSE)="","",VLOOKUP($AB31&amp;"-"&amp;$F31,Bonuses!$B$1:$G$1000,6,FALSE)&amp;" yrs, "&amp;VLOOKUP($AB31&amp;"-"&amp;$F31,Bonuses!$B$1:$G$1000,5,FALSE)))</f>
        <v/>
      </c>
    </row>
    <row r="32" spans="1:31" s="21" customFormat="1">
      <c r="A32" s="21" t="s">
        <v>282</v>
      </c>
      <c r="B32" s="21">
        <f t="shared" si="0"/>
        <v>1</v>
      </c>
      <c r="C32" s="21" t="str">
        <f t="shared" si="1"/>
        <v>B</v>
      </c>
      <c r="D32" s="17">
        <f>IF($C32="B",VLOOKUP($A32,Bat!$A$4:$BD$2323,D$1,FALSE),VLOOKUP($A32,Pit!$A$4:$AZ$2261,D$2,FALSE))</f>
        <v>2812</v>
      </c>
      <c r="E32" s="16" t="str">
        <f>IF($C32="B",VLOOKUP($A32,Bat!$A$4:$BD$2323,E$1,FALSE),VLOOKUP($A32,Pit!$A$4:$AZ$2261,E$2,FALSE))</f>
        <v>2B</v>
      </c>
      <c r="F32" s="16" t="str">
        <f>IF($C32="B",VLOOKUP($A32,Bat!$A$4:$BD$2323,F$1,FALSE),VLOOKUP($A32,Pit!$A$4:$AZ$2261,F$2,FALSE))</f>
        <v>Lou Bell</v>
      </c>
      <c r="G32" s="16">
        <f>IF($C32="B",VLOOKUP($A32,Bat!$A$4:$BD$2323,G$1,FALSE),VLOOKUP($A32,Pit!$A$4:$AZ$2261,G$2,FALSE))</f>
        <v>22</v>
      </c>
      <c r="H32" s="16" t="str">
        <f>IF($C32="B",VLOOKUP($A32,Bat!$A$4:$BD$2323,H$1,FALSE),VLOOKUP($A32,Pit!$A$4:$AZ$2261,H$2,FALSE))</f>
        <v>R</v>
      </c>
      <c r="I32" s="16" t="str">
        <f>IF($C32="B",VLOOKUP($A32,Bat!$A$4:$BD$2323,I$1,FALSE),VLOOKUP($A32,Pit!$A$4:$AZ$2261,I$2,FALSE))</f>
        <v>R</v>
      </c>
      <c r="J32" s="16" t="str">
        <f>IF($C32="B",VLOOKUP($A32,Bat!$A$4:$BD$2323,J$1,FALSE),VLOOKUP($A32,Pit!$A$4:$AZ$2261,J$2,FALSE))</f>
        <v>Normal</v>
      </c>
      <c r="K32" s="17" t="str">
        <f>IF($C32="B",VLOOKUP($A32,Bat!$A$4:$BD$2323,K$1,FALSE),VLOOKUP($A32,Pit!$A$4:$AZ$2261,K$2,FALSE))</f>
        <v>Normal</v>
      </c>
      <c r="L32" s="16">
        <f>IF($C32="B",VLOOKUP($A32,Bat!$A$4:$BD$2323,L$1,FALSE),VLOOKUP($A32,Pit!$A$4:$AZ$2261,L$2,FALSE))</f>
        <v>7</v>
      </c>
      <c r="M32" s="16">
        <f>IF($C32="B",VLOOKUP($A32,Bat!$A$4:$BD$2323,M$1,FALSE),VLOOKUP($A32,Pit!$A$4:$AZ$2261,M$2,FALSE))</f>
        <v>10</v>
      </c>
      <c r="N32" s="16">
        <f>IF($C32="B",VLOOKUP($A32,Bat!$A$4:$BD$2323,N$1,FALSE),VLOOKUP($A32,Pit!$A$4:$AZ$2261,N$2,FALSE))</f>
        <v>4</v>
      </c>
      <c r="O32" s="16">
        <f>IF($C32="B",VLOOKUP($A32,Bat!$A$4:$BD$2323,O$1,FALSE),VLOOKUP($A32,Pit!$A$4:$AZ$2261,O$2,FALSE))</f>
        <v>5</v>
      </c>
      <c r="P32" s="17">
        <f>IF($C32="B",VLOOKUP($A32,Bat!$A$4:$BD$2323,P$1,FALSE),VLOOKUP($A32,Pit!$A$4:$AZ$2261,P$2,FALSE))</f>
        <v>7</v>
      </c>
      <c r="Q32" s="18">
        <f>IF($C32="B",VLOOKUP($A32,Bat!$A$4:$BD$2323,Q$1,FALSE),VLOOKUP($A32,Pit!$A$4:$AZ$2261,Q$2,FALSE))</f>
        <v>25.002400170194591</v>
      </c>
      <c r="R32" s="19">
        <f>IF($C32="B",VLOOKUP($A32,Bat!$A$4:$BD$2323,R$1,FALSE),VLOOKUP($A32,Pit!$A$4:$AZ$2261,R$2,FALSE))</f>
        <v>1.9915943204557836</v>
      </c>
      <c r="S32" s="20" t="str">
        <f>IF($C32="B",VLOOKUP($A32,Bat!$A$4:$BD$2323,S$1,FALSE),VLOOKUP($A32,Pit!$A$4:$AZ$2261,S$2,FALSE))</f>
        <v>Slot</v>
      </c>
      <c r="T32" s="17" t="str">
        <f>IF(S32="Slot","",VLOOKUP(IF($C32="B",VLOOKUP($A32,Bat!$A$4:$AT$2323,T$1,FALSE),VLOOKUP($A32,Pit!$A$4:$BD$2261,T$2,FALSE)),COND!$A$34:$B$40,2,FALSE))</f>
        <v/>
      </c>
      <c r="U32" s="21">
        <f>IF($C32="B",VLOOKUP($A32,Bat!$A$4:$AR$1287,44,FALSE),VLOOKUP($A32,Pit!$A$4:$BB$1239,54,FALSE))</f>
        <v>26</v>
      </c>
      <c r="W32" s="21">
        <f t="shared" si="2"/>
        <v>26</v>
      </c>
      <c r="X32" s="22" t="e">
        <f t="shared" si="3"/>
        <v>#N/A</v>
      </c>
      <c r="Y32" s="16" t="str">
        <f>IF(ISERROR(VLOOKUP($E32&amp;$F32,Results!$A$2:$G$413,Y$1,FALSE)),"",VLOOKUP($E32&amp;$F32,Results!$A$2:$G$413,Y$1,FALSE))</f>
        <v/>
      </c>
      <c r="Z32" s="16" t="str">
        <f>IF(ISERROR(VLOOKUP($E32&amp;$F32,Results!$A$2:$G$413,Z$1,FALSE)),"",VLOOKUP($E32&amp;$F32,Results!$A$2:$G$413,Z$1,FALSE))</f>
        <v/>
      </c>
      <c r="AA32" s="16" t="str">
        <f>IF(ISERROR(VLOOKUP($E32&amp;$F32,Results!$A$2:$G$413,AA$1,FALSE)),"",VLOOKUP($E32&amp;$F32,Results!$A$2:$G$413,AA$1,FALSE))</f>
        <v/>
      </c>
      <c r="AB32" s="16" t="str">
        <f>IF(ISERROR(VLOOKUP($E32&amp;$F32,Results!$A$2:$G$413,AB$1,FALSE)),"",VLOOKUP($E32&amp;$F32,Results!$A$2:$G$413,AB$1,FALSE))</f>
        <v/>
      </c>
      <c r="AC32" s="16"/>
      <c r="AD32" s="20" t="str">
        <f>IF(ISERROR(VLOOKUP($AB32&amp;"-"&amp;$F32,Bonuses!$B$1:$G$1000,4,FALSE)),"",INT(VLOOKUP($AB32&amp;"-"&amp;$F32,Bonuses!$B$1:$G$1000,4,FALSE)))</f>
        <v/>
      </c>
      <c r="AE32" s="16" t="str">
        <f>IF(ISERROR(VLOOKUP($AB32&amp;"-"&amp;$F32,Bonuses!$B$1:$G$1000,5,FALSE)),"",IF(VLOOKUP($AB32&amp;"-"&amp;$F32,Bonuses!$B$1:$G$1000,5,FALSE)="","",VLOOKUP($AB32&amp;"-"&amp;$F32,Bonuses!$B$1:$G$1000,6,FALSE)&amp;" yrs, "&amp;VLOOKUP($AB32&amp;"-"&amp;$F32,Bonuses!$B$1:$G$1000,5,FALSE)))</f>
        <v/>
      </c>
    </row>
    <row r="33" spans="1:31" s="21" customFormat="1">
      <c r="A33" s="21" t="s">
        <v>908</v>
      </c>
      <c r="B33" s="21">
        <f t="shared" si="0"/>
        <v>1</v>
      </c>
      <c r="C33" s="21" t="str">
        <f t="shared" si="1"/>
        <v>B</v>
      </c>
      <c r="D33" s="17" t="e">
        <f>IF($C33="B",VLOOKUP($A33,Bat!$A$4:$BD$2323,D$1,FALSE),VLOOKUP($A33,Pit!$A$4:$AZ$2261,D$2,FALSE))</f>
        <v>#N/A</v>
      </c>
      <c r="E33" s="16" t="str">
        <f>IF($C33="B",VLOOKUP($A33,Bat!$A$4:$BD$2323,E$1,FALSE),VLOOKUP($A33,Pit!$A$4:$AZ$2261,E$2,FALSE))</f>
        <v>RF</v>
      </c>
      <c r="F33" s="16" t="str">
        <f>IF($C33="B",VLOOKUP($A33,Bat!$A$4:$BD$2323,F$1,FALSE),VLOOKUP($A33,Pit!$A$4:$AZ$2261,F$2,FALSE))</f>
        <v>Ernesto León</v>
      </c>
      <c r="G33" s="16">
        <f>IF($C33="B",VLOOKUP($A33,Bat!$A$4:$BD$2323,G$1,FALSE),VLOOKUP($A33,Pit!$A$4:$AZ$2261,G$2,FALSE))</f>
        <v>21</v>
      </c>
      <c r="H33" s="16" t="str">
        <f>IF($C33="B",VLOOKUP($A33,Bat!$A$4:$BD$2323,H$1,FALSE),VLOOKUP($A33,Pit!$A$4:$AZ$2261,H$2,FALSE))</f>
        <v>R</v>
      </c>
      <c r="I33" s="16" t="str">
        <f>IF($C33="B",VLOOKUP($A33,Bat!$A$4:$BD$2323,I$1,FALSE),VLOOKUP($A33,Pit!$A$4:$AZ$2261,I$2,FALSE))</f>
        <v>R</v>
      </c>
      <c r="J33" s="16" t="str">
        <f>IF($C33="B",VLOOKUP($A33,Bat!$A$4:$BD$2323,J$1,FALSE),VLOOKUP($A33,Pit!$A$4:$AZ$2261,J$2,FALSE))</f>
        <v>Normal</v>
      </c>
      <c r="K33" s="17" t="str">
        <f>IF($C33="B",VLOOKUP($A33,Bat!$A$4:$BD$2323,K$1,FALSE),VLOOKUP($A33,Pit!$A$4:$AZ$2261,K$2,FALSE))</f>
        <v>High</v>
      </c>
      <c r="L33" s="16">
        <f>IF($C33="B",VLOOKUP($A33,Bat!$A$4:$BD$2323,L$1,FALSE),VLOOKUP($A33,Pit!$A$4:$AZ$2261,L$2,FALSE))</f>
        <v>6</v>
      </c>
      <c r="M33" s="16">
        <f>IF($C33="B",VLOOKUP($A33,Bat!$A$4:$BD$2323,M$1,FALSE),VLOOKUP($A33,Pit!$A$4:$AZ$2261,M$2,FALSE))</f>
        <v>3</v>
      </c>
      <c r="N33" s="16">
        <f>IF($C33="B",VLOOKUP($A33,Bat!$A$4:$BD$2323,N$1,FALSE),VLOOKUP($A33,Pit!$A$4:$AZ$2261,N$2,FALSE))</f>
        <v>7</v>
      </c>
      <c r="O33" s="16">
        <f>IF($C33="B",VLOOKUP($A33,Bat!$A$4:$BD$2323,O$1,FALSE),VLOOKUP($A33,Pit!$A$4:$AZ$2261,O$2,FALSE))</f>
        <v>6</v>
      </c>
      <c r="P33" s="17">
        <f>IF($C33="B",VLOOKUP($A33,Bat!$A$4:$BD$2323,P$1,FALSE),VLOOKUP($A33,Pit!$A$4:$AZ$2261,P$2,FALSE))</f>
        <v>5</v>
      </c>
      <c r="Q33" s="18">
        <f>IF($C33="B",VLOOKUP($A33,Bat!$A$4:$BD$2323,Q$1,FALSE),VLOOKUP($A33,Pit!$A$4:$AZ$2261,Q$2,FALSE))</f>
        <v>20.829219447514987</v>
      </c>
      <c r="R33" s="19">
        <f>IF($C33="B",VLOOKUP($A33,Bat!$A$4:$BD$2323,R$1,FALSE),VLOOKUP($A33,Pit!$A$4:$AZ$2261,R$2,FALSE))</f>
        <v>1.4118408102984878</v>
      </c>
      <c r="S33" s="20" t="str">
        <f>IF($C33="B",VLOOKUP($A33,Bat!$A$4:$BD$2323,S$1,FALSE),VLOOKUP($A33,Pit!$A$4:$AZ$2261,S$2,FALSE))</f>
        <v>Slot</v>
      </c>
      <c r="T33" s="17" t="str">
        <f>IF(S33="Slot","",VLOOKUP(IF($C33="B",VLOOKUP($A33,Bat!$A$4:$AT$2323,T$1,FALSE),VLOOKUP($A33,Pit!$A$4:$BD$2261,T$2,FALSE)),COND!$A$34:$B$40,2,FALSE))</f>
        <v/>
      </c>
      <c r="U33" s="21">
        <f>IF($C33="B",VLOOKUP($A33,Bat!$A$4:$AR$1287,44,FALSE),VLOOKUP($A33,Pit!$A$4:$BB$1239,54,FALSE))</f>
        <v>33</v>
      </c>
      <c r="W33" s="21">
        <f t="shared" si="2"/>
        <v>33</v>
      </c>
      <c r="X33" s="22" t="e">
        <f t="shared" si="3"/>
        <v>#N/A</v>
      </c>
      <c r="Y33" s="16" t="str">
        <f>IF(ISERROR(VLOOKUP($E33&amp;$F33,Results!$A$2:$G$413,Y$1,FALSE)),"",VLOOKUP($E33&amp;$F33,Results!$A$2:$G$413,Y$1,FALSE))</f>
        <v/>
      </c>
      <c r="Z33" s="16" t="str">
        <f>IF(ISERROR(VLOOKUP($E33&amp;$F33,Results!$A$2:$G$413,Z$1,FALSE)),"",VLOOKUP($E33&amp;$F33,Results!$A$2:$G$413,Z$1,FALSE))</f>
        <v/>
      </c>
      <c r="AA33" s="16" t="str">
        <f>IF(ISERROR(VLOOKUP($E33&amp;$F33,Results!$A$2:$G$413,AA$1,FALSE)),"",VLOOKUP($E33&amp;$F33,Results!$A$2:$G$413,AA$1,FALSE))</f>
        <v/>
      </c>
      <c r="AB33" s="16" t="str">
        <f>IF(ISERROR(VLOOKUP($E33&amp;$F33,Results!$A$2:$G$413,AB$1,FALSE)),"",VLOOKUP($E33&amp;$F33,Results!$A$2:$G$413,AB$1,FALSE))</f>
        <v/>
      </c>
      <c r="AC33" s="16"/>
      <c r="AD33" s="20" t="str">
        <f>IF(ISERROR(VLOOKUP($AB33&amp;"-"&amp;$F33,Bonuses!$B$1:$G$1000,4,FALSE)),"",INT(VLOOKUP($AB33&amp;"-"&amp;$F33,Bonuses!$B$1:$G$1000,4,FALSE)))</f>
        <v/>
      </c>
      <c r="AE33" s="16" t="str">
        <f>IF(ISERROR(VLOOKUP($AB33&amp;"-"&amp;$F33,Bonuses!$B$1:$G$1000,5,FALSE)),"",IF(VLOOKUP($AB33&amp;"-"&amp;$F33,Bonuses!$B$1:$G$1000,5,FALSE)="","",VLOOKUP($AB33&amp;"-"&amp;$F33,Bonuses!$B$1:$G$1000,6,FALSE)&amp;" yrs, "&amp;VLOOKUP($AB33&amp;"-"&amp;$F33,Bonuses!$B$1:$G$1000,5,FALSE)))</f>
        <v/>
      </c>
    </row>
    <row r="34" spans="1:31" s="21" customFormat="1">
      <c r="A34" s="21" t="s">
        <v>930</v>
      </c>
      <c r="B34" s="21">
        <f t="shared" si="0"/>
        <v>1</v>
      </c>
      <c r="C34" s="21" t="str">
        <f t="shared" si="1"/>
        <v>B</v>
      </c>
      <c r="D34" s="17">
        <f>IF($C34="B",VLOOKUP($A34,Bat!$A$4:$BD$2323,D$1,FALSE),VLOOKUP($A34,Pit!$A$4:$AZ$2261,D$2,FALSE))</f>
        <v>7639</v>
      </c>
      <c r="E34" s="16" t="str">
        <f>IF($C34="B",VLOOKUP($A34,Bat!$A$4:$BD$2323,E$1,FALSE),VLOOKUP($A34,Pit!$A$4:$AZ$2261,E$2,FALSE))</f>
        <v>3B</v>
      </c>
      <c r="F34" s="16" t="str">
        <f>IF($C34="B",VLOOKUP($A34,Bat!$A$4:$BD$2323,F$1,FALSE),VLOOKUP($A34,Pit!$A$4:$AZ$2261,F$2,FALSE))</f>
        <v>Manuel Rivera</v>
      </c>
      <c r="G34" s="16">
        <f>IF($C34="B",VLOOKUP($A34,Bat!$A$4:$BD$2323,G$1,FALSE),VLOOKUP($A34,Pit!$A$4:$AZ$2261,G$2,FALSE))</f>
        <v>21</v>
      </c>
      <c r="H34" s="16" t="str">
        <f>IF($C34="B",VLOOKUP($A34,Bat!$A$4:$BD$2323,H$1,FALSE),VLOOKUP($A34,Pit!$A$4:$AZ$2261,H$2,FALSE))</f>
        <v>L</v>
      </c>
      <c r="I34" s="16" t="str">
        <f>IF($C34="B",VLOOKUP($A34,Bat!$A$4:$BD$2323,I$1,FALSE),VLOOKUP($A34,Pit!$A$4:$AZ$2261,I$2,FALSE))</f>
        <v>R</v>
      </c>
      <c r="J34" s="16" t="str">
        <f>IF($C34="B",VLOOKUP($A34,Bat!$A$4:$BD$2323,J$1,FALSE),VLOOKUP($A34,Pit!$A$4:$AZ$2261,J$2,FALSE))</f>
        <v>Normal</v>
      </c>
      <c r="K34" s="17" t="str">
        <f>IF($C34="B",VLOOKUP($A34,Bat!$A$4:$BD$2323,K$1,FALSE),VLOOKUP($A34,Pit!$A$4:$AZ$2261,K$2,FALSE))</f>
        <v>High</v>
      </c>
      <c r="L34" s="16">
        <f>IF($C34="B",VLOOKUP($A34,Bat!$A$4:$BD$2323,L$1,FALSE),VLOOKUP($A34,Pit!$A$4:$AZ$2261,L$2,FALSE))</f>
        <v>5</v>
      </c>
      <c r="M34" s="16">
        <f>IF($C34="B",VLOOKUP($A34,Bat!$A$4:$BD$2323,M$1,FALSE),VLOOKUP($A34,Pit!$A$4:$AZ$2261,M$2,FALSE))</f>
        <v>5</v>
      </c>
      <c r="N34" s="16">
        <f>IF($C34="B",VLOOKUP($A34,Bat!$A$4:$BD$2323,N$1,FALSE),VLOOKUP($A34,Pit!$A$4:$AZ$2261,N$2,FALSE))</f>
        <v>6</v>
      </c>
      <c r="O34" s="16">
        <f>IF($C34="B",VLOOKUP($A34,Bat!$A$4:$BD$2323,O$1,FALSE),VLOOKUP($A34,Pit!$A$4:$AZ$2261,O$2,FALSE))</f>
        <v>5</v>
      </c>
      <c r="P34" s="17">
        <f>IF($C34="B",VLOOKUP($A34,Bat!$A$4:$BD$2323,P$1,FALSE),VLOOKUP($A34,Pit!$A$4:$AZ$2261,P$2,FALSE))</f>
        <v>4</v>
      </c>
      <c r="Q34" s="18">
        <f>IF($C34="B",VLOOKUP($A34,Bat!$A$4:$BD$2323,Q$1,FALSE),VLOOKUP($A34,Pit!$A$4:$AZ$2261,Q$2,FALSE))</f>
        <v>14.725567437378034</v>
      </c>
      <c r="R34" s="19">
        <f>IF($C34="B",VLOOKUP($A34,Bat!$A$4:$BD$2323,R$1,FALSE),VLOOKUP($A34,Pit!$A$4:$AZ$2261,R$2,FALSE))</f>
        <v>0.56389917709181858</v>
      </c>
      <c r="S34" s="20" t="str">
        <f>IF($C34="B",VLOOKUP($A34,Bat!$A$4:$BD$2323,S$1,FALSE),VLOOKUP($A34,Pit!$A$4:$AZ$2261,S$2,FALSE))</f>
        <v>Slot</v>
      </c>
      <c r="T34" s="17" t="str">
        <f>IF(S34="Slot","",VLOOKUP(IF($C34="B",VLOOKUP($A34,Bat!$A$4:$AT$2323,T$1,FALSE),VLOOKUP($A34,Pit!$A$4:$BD$2261,T$2,FALSE)),COND!$A$34:$B$40,2,FALSE))</f>
        <v/>
      </c>
      <c r="U34" s="21">
        <f>IF($C34="B",VLOOKUP($A34,Bat!$A$4:$AR$1287,44,FALSE),VLOOKUP($A34,Pit!$A$4:$BB$1239,54,FALSE))</f>
        <v>28</v>
      </c>
      <c r="W34" s="21">
        <f t="shared" si="2"/>
        <v>28</v>
      </c>
      <c r="X34" s="22" t="e">
        <f t="shared" si="3"/>
        <v>#N/A</v>
      </c>
      <c r="Y34" s="16" t="str">
        <f>IF(ISERROR(VLOOKUP($E34&amp;$F34,Results!$A$2:$G$413,Y$1,FALSE)),"",VLOOKUP($E34&amp;$F34,Results!$A$2:$G$413,Y$1,FALSE))</f>
        <v/>
      </c>
      <c r="Z34" s="16" t="str">
        <f>IF(ISERROR(VLOOKUP($E34&amp;$F34,Results!$A$2:$G$413,Z$1,FALSE)),"",VLOOKUP($E34&amp;$F34,Results!$A$2:$G$413,Z$1,FALSE))</f>
        <v/>
      </c>
      <c r="AA34" s="16" t="str">
        <f>IF(ISERROR(VLOOKUP($E34&amp;$F34,Results!$A$2:$G$413,AA$1,FALSE)),"",VLOOKUP($E34&amp;$F34,Results!$A$2:$G$413,AA$1,FALSE))</f>
        <v/>
      </c>
      <c r="AB34" s="16" t="str">
        <f>IF(ISERROR(VLOOKUP($E34&amp;$F34,Results!$A$2:$G$413,AB$1,FALSE)),"",VLOOKUP($E34&amp;$F34,Results!$A$2:$G$413,AB$1,FALSE))</f>
        <v/>
      </c>
      <c r="AC34" s="16"/>
      <c r="AD34" s="20" t="str">
        <f>IF(ISERROR(VLOOKUP($AB34&amp;"-"&amp;$F34,Bonuses!$B$1:$G$1000,4,FALSE)),"",INT(VLOOKUP($AB34&amp;"-"&amp;$F34,Bonuses!$B$1:$G$1000,4,FALSE)))</f>
        <v/>
      </c>
      <c r="AE34" s="16" t="str">
        <f>IF(ISERROR(VLOOKUP($AB34&amp;"-"&amp;$F34,Bonuses!$B$1:$G$1000,5,FALSE)),"",IF(VLOOKUP($AB34&amp;"-"&amp;$F34,Bonuses!$B$1:$G$1000,5,FALSE)="","",VLOOKUP($AB34&amp;"-"&amp;$F34,Bonuses!$B$1:$G$1000,6,FALSE)&amp;" yrs, "&amp;VLOOKUP($AB34&amp;"-"&amp;$F34,Bonuses!$B$1:$G$1000,5,FALSE)))</f>
        <v/>
      </c>
    </row>
    <row r="35" spans="1:31" s="21" customFormat="1">
      <c r="A35" s="21" t="s">
        <v>632</v>
      </c>
      <c r="B35" s="21">
        <f t="shared" si="0"/>
        <v>1</v>
      </c>
      <c r="C35" s="21" t="str">
        <f t="shared" si="1"/>
        <v>B</v>
      </c>
      <c r="D35" s="17">
        <f>IF($C35="B",VLOOKUP($A35,Bat!$A$4:$BD$2323,D$1,FALSE),VLOOKUP($A35,Pit!$A$4:$AZ$2261,D$2,FALSE))</f>
        <v>9278</v>
      </c>
      <c r="E35" s="16" t="str">
        <f>IF($C35="B",VLOOKUP($A35,Bat!$A$4:$BD$2323,E$1,FALSE),VLOOKUP($A35,Pit!$A$4:$AZ$2261,E$2,FALSE))</f>
        <v>C</v>
      </c>
      <c r="F35" s="16" t="str">
        <f>IF($C35="B",VLOOKUP($A35,Bat!$A$4:$BD$2323,F$1,FALSE),VLOOKUP($A35,Pit!$A$4:$AZ$2261,F$2,FALSE))</f>
        <v>Ted Maxwell</v>
      </c>
      <c r="G35" s="16">
        <f>IF($C35="B",VLOOKUP($A35,Bat!$A$4:$BD$2323,G$1,FALSE),VLOOKUP($A35,Pit!$A$4:$AZ$2261,G$2,FALSE))</f>
        <v>21</v>
      </c>
      <c r="H35" s="16" t="str">
        <f>IF($C35="B",VLOOKUP($A35,Bat!$A$4:$BD$2323,H$1,FALSE),VLOOKUP($A35,Pit!$A$4:$AZ$2261,H$2,FALSE))</f>
        <v>R</v>
      </c>
      <c r="I35" s="16" t="str">
        <f>IF($C35="B",VLOOKUP($A35,Bat!$A$4:$BD$2323,I$1,FALSE),VLOOKUP($A35,Pit!$A$4:$AZ$2261,I$2,FALSE))</f>
        <v>R</v>
      </c>
      <c r="J35" s="16" t="str">
        <f>IF($C35="B",VLOOKUP($A35,Bat!$A$4:$BD$2323,J$1,FALSE),VLOOKUP($A35,Pit!$A$4:$AZ$2261,J$2,FALSE))</f>
        <v>Normal</v>
      </c>
      <c r="K35" s="17" t="str">
        <f>IF($C35="B",VLOOKUP($A35,Bat!$A$4:$BD$2323,K$1,FALSE),VLOOKUP($A35,Pit!$A$4:$AZ$2261,K$2,FALSE))</f>
        <v>Normal</v>
      </c>
      <c r="L35" s="16">
        <f>IF($C35="B",VLOOKUP($A35,Bat!$A$4:$BD$2323,L$1,FALSE),VLOOKUP($A35,Pit!$A$4:$AZ$2261,L$2,FALSE))</f>
        <v>7</v>
      </c>
      <c r="M35" s="16">
        <f>IF($C35="B",VLOOKUP($A35,Bat!$A$4:$BD$2323,M$1,FALSE),VLOOKUP($A35,Pit!$A$4:$AZ$2261,M$2,FALSE))</f>
        <v>4</v>
      </c>
      <c r="N35" s="16">
        <f>IF($C35="B",VLOOKUP($A35,Bat!$A$4:$BD$2323,N$1,FALSE),VLOOKUP($A35,Pit!$A$4:$AZ$2261,N$2,FALSE))</f>
        <v>1</v>
      </c>
      <c r="O35" s="16">
        <f>IF($C35="B",VLOOKUP($A35,Bat!$A$4:$BD$2323,O$1,FALSE),VLOOKUP($A35,Pit!$A$4:$AZ$2261,O$2,FALSE))</f>
        <v>4</v>
      </c>
      <c r="P35" s="17">
        <f>IF($C35="B",VLOOKUP($A35,Bat!$A$4:$BD$2323,P$1,FALSE),VLOOKUP($A35,Pit!$A$4:$AZ$2261,P$2,FALSE))</f>
        <v>6</v>
      </c>
      <c r="Q35" s="18">
        <f>IF($C35="B",VLOOKUP($A35,Bat!$A$4:$BD$2323,Q$1,FALSE),VLOOKUP($A35,Pit!$A$4:$AZ$2261,Q$2,FALSE))</f>
        <v>17.124352428709685</v>
      </c>
      <c r="R35" s="19">
        <f>IF($C35="B",VLOOKUP($A35,Bat!$A$4:$BD$2323,R$1,FALSE),VLOOKUP($A35,Pit!$A$4:$AZ$2261,R$2,FALSE))</f>
        <v>0.89714715058101602</v>
      </c>
      <c r="S35" s="20" t="str">
        <f>IF($C35="B",VLOOKUP($A35,Bat!$A$4:$BD$2323,S$1,FALSE),VLOOKUP($A35,Pit!$A$4:$AZ$2261,S$2,FALSE))</f>
        <v>Slot</v>
      </c>
      <c r="T35" s="17" t="str">
        <f>IF(S35="Slot","",VLOOKUP(IF($C35="B",VLOOKUP($A35,Bat!$A$4:$AT$2323,T$1,FALSE),VLOOKUP($A35,Pit!$A$4:$BD$2261,T$2,FALSE)),COND!$A$34:$B$40,2,FALSE))</f>
        <v/>
      </c>
      <c r="U35" s="21">
        <f>IF($C35="B",VLOOKUP($A35,Bat!$A$4:$AR$1287,44,FALSE),VLOOKUP($A35,Pit!$A$4:$BB$1239,54,FALSE))</f>
        <v>31</v>
      </c>
      <c r="W35" s="21">
        <f t="shared" si="2"/>
        <v>31</v>
      </c>
      <c r="X35" s="22" t="e">
        <f t="shared" si="3"/>
        <v>#N/A</v>
      </c>
      <c r="Y35" s="16" t="str">
        <f>IF(ISERROR(VLOOKUP($E35&amp;$F35,Results!$A$2:$G$413,Y$1,FALSE)),"",VLOOKUP($E35&amp;$F35,Results!$A$2:$G$413,Y$1,FALSE))</f>
        <v/>
      </c>
      <c r="Z35" s="16" t="str">
        <f>IF(ISERROR(VLOOKUP($E35&amp;$F35,Results!$A$2:$G$413,Z$1,FALSE)),"",VLOOKUP($E35&amp;$F35,Results!$A$2:$G$413,Z$1,FALSE))</f>
        <v/>
      </c>
      <c r="AA35" s="16" t="str">
        <f>IF(ISERROR(VLOOKUP($E35&amp;$F35,Results!$A$2:$G$413,AA$1,FALSE)),"",VLOOKUP($E35&amp;$F35,Results!$A$2:$G$413,AA$1,FALSE))</f>
        <v/>
      </c>
      <c r="AB35" s="16" t="str">
        <f>IF(ISERROR(VLOOKUP($E35&amp;$F35,Results!$A$2:$G$413,AB$1,FALSE)),"",VLOOKUP($E35&amp;$F35,Results!$A$2:$G$413,AB$1,FALSE))</f>
        <v/>
      </c>
      <c r="AC35" s="16"/>
      <c r="AD35" s="20" t="str">
        <f>IF(ISERROR(VLOOKUP($AB35&amp;"-"&amp;$F35,Bonuses!$B$1:$G$1000,4,FALSE)),"",INT(VLOOKUP($AB35&amp;"-"&amp;$F35,Bonuses!$B$1:$G$1000,4,FALSE)))</f>
        <v/>
      </c>
      <c r="AE35" s="16" t="str">
        <f>IF(ISERROR(VLOOKUP($AB35&amp;"-"&amp;$F35,Bonuses!$B$1:$G$1000,5,FALSE)),"",IF(VLOOKUP($AB35&amp;"-"&amp;$F35,Bonuses!$B$1:$G$1000,5,FALSE)="","",VLOOKUP($AB35&amp;"-"&amp;$F35,Bonuses!$B$1:$G$1000,6,FALSE)&amp;" yrs, "&amp;VLOOKUP($AB35&amp;"-"&amp;$F35,Bonuses!$B$1:$G$1000,5,FALSE)))</f>
        <v/>
      </c>
    </row>
    <row r="36" spans="1:31" s="21" customFormat="1">
      <c r="A36" s="21" t="s">
        <v>926</v>
      </c>
      <c r="B36" s="21">
        <f t="shared" si="0"/>
        <v>1</v>
      </c>
      <c r="C36" s="21" t="str">
        <f t="shared" si="1"/>
        <v>B</v>
      </c>
      <c r="D36" s="17">
        <f>IF($C36="B",VLOOKUP($A36,Bat!$A$4:$BD$2323,D$1,FALSE),VLOOKUP($A36,Pit!$A$4:$AZ$2261,D$2,FALSE))</f>
        <v>2305</v>
      </c>
      <c r="E36" s="16" t="str">
        <f>IF($C36="B",VLOOKUP($A36,Bat!$A$4:$BD$2323,E$1,FALSE),VLOOKUP($A36,Pit!$A$4:$AZ$2261,E$2,FALSE))</f>
        <v>SS</v>
      </c>
      <c r="F36" s="16" t="str">
        <f>IF($C36="B",VLOOKUP($A36,Bat!$A$4:$BD$2323,F$1,FALSE),VLOOKUP($A36,Pit!$A$4:$AZ$2261,F$2,FALSE))</f>
        <v>Stan Phillips</v>
      </c>
      <c r="G36" s="16">
        <f>IF($C36="B",VLOOKUP($A36,Bat!$A$4:$BD$2323,G$1,FALSE),VLOOKUP($A36,Pit!$A$4:$AZ$2261,G$2,FALSE))</f>
        <v>22</v>
      </c>
      <c r="H36" s="16" t="str">
        <f>IF($C36="B",VLOOKUP($A36,Bat!$A$4:$BD$2323,H$1,FALSE),VLOOKUP($A36,Pit!$A$4:$AZ$2261,H$2,FALSE))</f>
        <v>R</v>
      </c>
      <c r="I36" s="16" t="str">
        <f>IF($C36="B",VLOOKUP($A36,Bat!$A$4:$BD$2323,I$1,FALSE),VLOOKUP($A36,Pit!$A$4:$AZ$2261,I$2,FALSE))</f>
        <v>R</v>
      </c>
      <c r="J36" s="16" t="str">
        <f>IF($C36="B",VLOOKUP($A36,Bat!$A$4:$BD$2323,J$1,FALSE),VLOOKUP($A36,Pit!$A$4:$AZ$2261,J$2,FALSE))</f>
        <v>Very High</v>
      </c>
      <c r="K36" s="17" t="str">
        <f>IF($C36="B",VLOOKUP($A36,Bat!$A$4:$BD$2323,K$1,FALSE),VLOOKUP($A36,Pit!$A$4:$AZ$2261,K$2,FALSE))</f>
        <v>High</v>
      </c>
      <c r="L36" s="16">
        <f>IF($C36="B",VLOOKUP($A36,Bat!$A$4:$BD$2323,L$1,FALSE),VLOOKUP($A36,Pit!$A$4:$AZ$2261,L$2,FALSE))</f>
        <v>5</v>
      </c>
      <c r="M36" s="16">
        <f>IF($C36="B",VLOOKUP($A36,Bat!$A$4:$BD$2323,M$1,FALSE),VLOOKUP($A36,Pit!$A$4:$AZ$2261,M$2,FALSE))</f>
        <v>4</v>
      </c>
      <c r="N36" s="16">
        <f>IF($C36="B",VLOOKUP($A36,Bat!$A$4:$BD$2323,N$1,FALSE),VLOOKUP($A36,Pit!$A$4:$AZ$2261,N$2,FALSE))</f>
        <v>7</v>
      </c>
      <c r="O36" s="16">
        <f>IF($C36="B",VLOOKUP($A36,Bat!$A$4:$BD$2323,O$1,FALSE),VLOOKUP($A36,Pit!$A$4:$AZ$2261,O$2,FALSE))</f>
        <v>4</v>
      </c>
      <c r="P36" s="17">
        <f>IF($C36="B",VLOOKUP($A36,Bat!$A$4:$BD$2323,P$1,FALSE),VLOOKUP($A36,Pit!$A$4:$AZ$2261,P$2,FALSE))</f>
        <v>4</v>
      </c>
      <c r="Q36" s="18">
        <f>IF($C36="B",VLOOKUP($A36,Bat!$A$4:$BD$2323,Q$1,FALSE),VLOOKUP($A36,Pit!$A$4:$AZ$2261,Q$2,FALSE))</f>
        <v>14.904071155807577</v>
      </c>
      <c r="R36" s="19">
        <f>IF($C36="B",VLOOKUP($A36,Bat!$A$4:$BD$2323,R$1,FALSE),VLOOKUP($A36,Pit!$A$4:$AZ$2261,R$2,FALSE))</f>
        <v>0.58869756571017851</v>
      </c>
      <c r="S36" s="20" t="str">
        <f>IF($C36="B",VLOOKUP($A36,Bat!$A$4:$BD$2323,S$1,FALSE),VLOOKUP($A36,Pit!$A$4:$AZ$2261,S$2,FALSE))</f>
        <v>Slot</v>
      </c>
      <c r="T36" s="17" t="str">
        <f>IF(S36="Slot","",VLOOKUP(IF($C36="B",VLOOKUP($A36,Bat!$A$4:$AT$2323,T$1,FALSE),VLOOKUP($A36,Pit!$A$4:$BD$2261,T$2,FALSE)),COND!$A$34:$B$40,2,FALSE))</f>
        <v/>
      </c>
      <c r="U36" s="21">
        <f>IF($C36="B",VLOOKUP($A36,Bat!$A$4:$AR$1287,44,FALSE),VLOOKUP($A36,Pit!$A$4:$BB$1239,54,FALSE))</f>
        <v>32</v>
      </c>
      <c r="W36" s="21">
        <f t="shared" si="2"/>
        <v>32</v>
      </c>
      <c r="X36" s="22" t="e">
        <f t="shared" si="3"/>
        <v>#N/A</v>
      </c>
      <c r="Y36" s="16" t="str">
        <f>IF(ISERROR(VLOOKUP($E36&amp;$F36,Results!$A$2:$G$413,Y$1,FALSE)),"",VLOOKUP($E36&amp;$F36,Results!$A$2:$G$413,Y$1,FALSE))</f>
        <v/>
      </c>
      <c r="Z36" s="16" t="str">
        <f>IF(ISERROR(VLOOKUP($E36&amp;$F36,Results!$A$2:$G$413,Z$1,FALSE)),"",VLOOKUP($E36&amp;$F36,Results!$A$2:$G$413,Z$1,FALSE))</f>
        <v/>
      </c>
      <c r="AA36" s="16" t="str">
        <f>IF(ISERROR(VLOOKUP($E36&amp;$F36,Results!$A$2:$G$413,AA$1,FALSE)),"",VLOOKUP($E36&amp;$F36,Results!$A$2:$G$413,AA$1,FALSE))</f>
        <v/>
      </c>
      <c r="AB36" s="16" t="str">
        <f>IF(ISERROR(VLOOKUP($E36&amp;$F36,Results!$A$2:$G$413,AB$1,FALSE)),"",VLOOKUP($E36&amp;$F36,Results!$A$2:$G$413,AB$1,FALSE))</f>
        <v/>
      </c>
      <c r="AC36" s="16"/>
      <c r="AD36" s="20" t="str">
        <f>IF(ISERROR(VLOOKUP($AB36&amp;"-"&amp;$F36,Bonuses!$B$1:$G$1000,4,FALSE)),"",INT(VLOOKUP($AB36&amp;"-"&amp;$F36,Bonuses!$B$1:$G$1000,4,FALSE)))</f>
        <v/>
      </c>
      <c r="AE36" s="16" t="str">
        <f>IF(ISERROR(VLOOKUP($AB36&amp;"-"&amp;$F36,Bonuses!$B$1:$G$1000,5,FALSE)),"",IF(VLOOKUP($AB36&amp;"-"&amp;$F36,Bonuses!$B$1:$G$1000,5,FALSE)="","",VLOOKUP($AB36&amp;"-"&amp;$F36,Bonuses!$B$1:$G$1000,6,FALSE)&amp;" yrs, "&amp;VLOOKUP($AB36&amp;"-"&amp;$F36,Bonuses!$B$1:$G$1000,5,FALSE)))</f>
        <v/>
      </c>
    </row>
    <row r="37" spans="1:31" s="21" customFormat="1">
      <c r="A37" s="21" t="s">
        <v>909</v>
      </c>
      <c r="B37" s="21">
        <f t="shared" si="0"/>
        <v>1</v>
      </c>
      <c r="C37" s="21" t="str">
        <f t="shared" si="1"/>
        <v>B</v>
      </c>
      <c r="D37" s="17" t="e">
        <f>IF($C37="B",VLOOKUP($A37,Bat!$A$4:$BD$2323,D$1,FALSE),VLOOKUP($A37,Pit!$A$4:$AZ$2261,D$2,FALSE))</f>
        <v>#N/A</v>
      </c>
      <c r="E37" s="16" t="str">
        <f>IF($C37="B",VLOOKUP($A37,Bat!$A$4:$BD$2323,E$1,FALSE),VLOOKUP($A37,Pit!$A$4:$AZ$2261,E$2,FALSE))</f>
        <v>LF</v>
      </c>
      <c r="F37" s="16" t="str">
        <f>IF($C37="B",VLOOKUP($A37,Bat!$A$4:$BD$2323,F$1,FALSE),VLOOKUP($A37,Pit!$A$4:$AZ$2261,F$2,FALSE))</f>
        <v>Luis González</v>
      </c>
      <c r="G37" s="16">
        <f>IF($C37="B",VLOOKUP($A37,Bat!$A$4:$BD$2323,G$1,FALSE),VLOOKUP($A37,Pit!$A$4:$AZ$2261,G$2,FALSE))</f>
        <v>21</v>
      </c>
      <c r="H37" s="16" t="str">
        <f>IF($C37="B",VLOOKUP($A37,Bat!$A$4:$BD$2323,H$1,FALSE),VLOOKUP($A37,Pit!$A$4:$AZ$2261,H$2,FALSE))</f>
        <v>L</v>
      </c>
      <c r="I37" s="16" t="str">
        <f>IF($C37="B",VLOOKUP($A37,Bat!$A$4:$BD$2323,I$1,FALSE),VLOOKUP($A37,Pit!$A$4:$AZ$2261,I$2,FALSE))</f>
        <v>L</v>
      </c>
      <c r="J37" s="16" t="str">
        <f>IF($C37="B",VLOOKUP($A37,Bat!$A$4:$BD$2323,J$1,FALSE),VLOOKUP($A37,Pit!$A$4:$AZ$2261,J$2,FALSE))</f>
        <v>Very High</v>
      </c>
      <c r="K37" s="17" t="str">
        <f>IF($C37="B",VLOOKUP($A37,Bat!$A$4:$BD$2323,K$1,FALSE),VLOOKUP($A37,Pit!$A$4:$AZ$2261,K$2,FALSE))</f>
        <v>Normal</v>
      </c>
      <c r="L37" s="16">
        <f>IF($C37="B",VLOOKUP($A37,Bat!$A$4:$BD$2323,L$1,FALSE),VLOOKUP($A37,Pit!$A$4:$AZ$2261,L$2,FALSE))</f>
        <v>7</v>
      </c>
      <c r="M37" s="16">
        <f>IF($C37="B",VLOOKUP($A37,Bat!$A$4:$BD$2323,M$1,FALSE),VLOOKUP($A37,Pit!$A$4:$AZ$2261,M$2,FALSE))</f>
        <v>6</v>
      </c>
      <c r="N37" s="16">
        <f>IF($C37="B",VLOOKUP($A37,Bat!$A$4:$BD$2323,N$1,FALSE),VLOOKUP($A37,Pit!$A$4:$AZ$2261,N$2,FALSE))</f>
        <v>4</v>
      </c>
      <c r="O37" s="16">
        <f>IF($C37="B",VLOOKUP($A37,Bat!$A$4:$BD$2323,O$1,FALSE),VLOOKUP($A37,Pit!$A$4:$AZ$2261,O$2,FALSE))</f>
        <v>6</v>
      </c>
      <c r="P37" s="17">
        <f>IF($C37="B",VLOOKUP($A37,Bat!$A$4:$BD$2323,P$1,FALSE),VLOOKUP($A37,Pit!$A$4:$AZ$2261,P$2,FALSE))</f>
        <v>7</v>
      </c>
      <c r="Q37" s="18">
        <f>IF($C37="B",VLOOKUP($A37,Bat!$A$4:$BD$2323,Q$1,FALSE),VLOOKUP($A37,Pit!$A$4:$AZ$2261,Q$2,FALSE))</f>
        <v>23.175250950468524</v>
      </c>
      <c r="R37" s="19">
        <f>IF($C37="B",VLOOKUP($A37,Bat!$A$4:$BD$2323,R$1,FALSE),VLOOKUP($A37,Pit!$A$4:$AZ$2261,R$2,FALSE))</f>
        <v>1.7377600764796022</v>
      </c>
      <c r="S37" s="20" t="str">
        <f>IF($C37="B",VLOOKUP($A37,Bat!$A$4:$BD$2323,S$1,FALSE),VLOOKUP($A37,Pit!$A$4:$AZ$2261,S$2,FALSE))</f>
        <v>Slot</v>
      </c>
      <c r="T37" s="17" t="str">
        <f>IF(S37="Slot","",VLOOKUP(IF($C37="B",VLOOKUP($A37,Bat!$A$4:$AT$2323,T$1,FALSE),VLOOKUP($A37,Pit!$A$4:$BD$2261,T$2,FALSE)),COND!$A$34:$B$40,2,FALSE))</f>
        <v/>
      </c>
      <c r="U37" s="21">
        <f>IF($C37="B",VLOOKUP($A37,Bat!$A$4:$AR$1287,44,FALSE),VLOOKUP($A37,Pit!$A$4:$BB$1239,54,FALSE))</f>
        <v>27</v>
      </c>
      <c r="W37" s="21">
        <f t="shared" si="2"/>
        <v>27</v>
      </c>
      <c r="X37" s="22" t="e">
        <f t="shared" si="3"/>
        <v>#N/A</v>
      </c>
      <c r="Y37" s="16" t="str">
        <f>IF(ISERROR(VLOOKUP($E37&amp;$F37,Results!$A$2:$G$413,Y$1,FALSE)),"",VLOOKUP($E37&amp;$F37,Results!$A$2:$G$413,Y$1,FALSE))</f>
        <v/>
      </c>
      <c r="Z37" s="16" t="str">
        <f>IF(ISERROR(VLOOKUP($E37&amp;$F37,Results!$A$2:$G$413,Z$1,FALSE)),"",VLOOKUP($E37&amp;$F37,Results!$A$2:$G$413,Z$1,FALSE))</f>
        <v/>
      </c>
      <c r="AA37" s="16" t="str">
        <f>IF(ISERROR(VLOOKUP($E37&amp;$F37,Results!$A$2:$G$413,AA$1,FALSE)),"",VLOOKUP($E37&amp;$F37,Results!$A$2:$G$413,AA$1,FALSE))</f>
        <v/>
      </c>
      <c r="AB37" s="16" t="str">
        <f>IF(ISERROR(VLOOKUP($E37&amp;$F37,Results!$A$2:$G$413,AB$1,FALSE)),"",VLOOKUP($E37&amp;$F37,Results!$A$2:$G$413,AB$1,FALSE))</f>
        <v/>
      </c>
      <c r="AC37" s="16"/>
      <c r="AD37" s="20" t="str">
        <f>IF(ISERROR(VLOOKUP($AB37&amp;"-"&amp;$F37,Bonuses!$B$1:$G$1000,4,FALSE)),"",INT(VLOOKUP($AB37&amp;"-"&amp;$F37,Bonuses!$B$1:$G$1000,4,FALSE)))</f>
        <v/>
      </c>
      <c r="AE37" s="16" t="str">
        <f>IF(ISERROR(VLOOKUP($AB37&amp;"-"&amp;$F37,Bonuses!$B$1:$G$1000,5,FALSE)),"",IF(VLOOKUP($AB37&amp;"-"&amp;$F37,Bonuses!$B$1:$G$1000,5,FALSE)="","",VLOOKUP($AB37&amp;"-"&amp;$F37,Bonuses!$B$1:$G$1000,6,FALSE)&amp;" yrs, "&amp;VLOOKUP($AB37&amp;"-"&amp;$F37,Bonuses!$B$1:$G$1000,5,FALSE)))</f>
        <v/>
      </c>
    </row>
    <row r="38" spans="1:31" s="21" customFormat="1">
      <c r="A38" s="21" t="s">
        <v>945</v>
      </c>
      <c r="B38" s="21">
        <f t="shared" si="0"/>
        <v>1</v>
      </c>
      <c r="C38" s="21" t="str">
        <f t="shared" si="1"/>
        <v>B</v>
      </c>
      <c r="D38" s="17">
        <f>IF($C38="B",VLOOKUP($A38,Bat!$A$4:$BD$2323,D$1,FALSE),VLOOKUP($A38,Pit!$A$4:$AZ$2261,D$2,FALSE))</f>
        <v>6919</v>
      </c>
      <c r="E38" s="16" t="str">
        <f>IF($C38="B",VLOOKUP($A38,Bat!$A$4:$BD$2323,E$1,FALSE),VLOOKUP($A38,Pit!$A$4:$AZ$2261,E$2,FALSE))</f>
        <v>CF</v>
      </c>
      <c r="F38" s="16" t="str">
        <f>IF($C38="B",VLOOKUP($A38,Bat!$A$4:$BD$2323,F$1,FALSE),VLOOKUP($A38,Pit!$A$4:$AZ$2261,F$2,FALSE))</f>
        <v>Zdenek Bucek</v>
      </c>
      <c r="G38" s="16">
        <f>IF($C38="B",VLOOKUP($A38,Bat!$A$4:$BD$2323,G$1,FALSE),VLOOKUP($A38,Pit!$A$4:$AZ$2261,G$2,FALSE))</f>
        <v>21</v>
      </c>
      <c r="H38" s="16" t="str">
        <f>IF($C38="B",VLOOKUP($A38,Bat!$A$4:$BD$2323,H$1,FALSE),VLOOKUP($A38,Pit!$A$4:$AZ$2261,H$2,FALSE))</f>
        <v>R</v>
      </c>
      <c r="I38" s="16" t="str">
        <f>IF($C38="B",VLOOKUP($A38,Bat!$A$4:$BD$2323,I$1,FALSE),VLOOKUP($A38,Pit!$A$4:$AZ$2261,I$2,FALSE))</f>
        <v>R</v>
      </c>
      <c r="J38" s="16" t="str">
        <f>IF($C38="B",VLOOKUP($A38,Bat!$A$4:$BD$2323,J$1,FALSE),VLOOKUP($A38,Pit!$A$4:$AZ$2261,J$2,FALSE))</f>
        <v>Very High</v>
      </c>
      <c r="K38" s="17" t="str">
        <f>IF($C38="B",VLOOKUP($A38,Bat!$A$4:$BD$2323,K$1,FALSE),VLOOKUP($A38,Pit!$A$4:$AZ$2261,K$2,FALSE))</f>
        <v>High</v>
      </c>
      <c r="L38" s="16">
        <f>IF($C38="B",VLOOKUP($A38,Bat!$A$4:$BD$2323,L$1,FALSE),VLOOKUP($A38,Pit!$A$4:$AZ$2261,L$2,FALSE))</f>
        <v>5</v>
      </c>
      <c r="M38" s="16">
        <f>IF($C38="B",VLOOKUP($A38,Bat!$A$4:$BD$2323,M$1,FALSE),VLOOKUP($A38,Pit!$A$4:$AZ$2261,M$2,FALSE))</f>
        <v>7</v>
      </c>
      <c r="N38" s="16">
        <f>IF($C38="B",VLOOKUP($A38,Bat!$A$4:$BD$2323,N$1,FALSE),VLOOKUP($A38,Pit!$A$4:$AZ$2261,N$2,FALSE))</f>
        <v>1</v>
      </c>
      <c r="O38" s="16">
        <f>IF($C38="B",VLOOKUP($A38,Bat!$A$4:$BD$2323,O$1,FALSE),VLOOKUP($A38,Pit!$A$4:$AZ$2261,O$2,FALSE))</f>
        <v>4</v>
      </c>
      <c r="P38" s="17">
        <f>IF($C38="B",VLOOKUP($A38,Bat!$A$4:$BD$2323,P$1,FALSE),VLOOKUP($A38,Pit!$A$4:$AZ$2261,P$2,FALSE))</f>
        <v>4</v>
      </c>
      <c r="Q38" s="18">
        <f>IF($C38="B",VLOOKUP($A38,Bat!$A$4:$BD$2323,Q$1,FALSE),VLOOKUP($A38,Pit!$A$4:$AZ$2261,Q$2,FALSE))</f>
        <v>11.675930563184711</v>
      </c>
      <c r="R38" s="19">
        <f>IF($C38="B",VLOOKUP($A38,Bat!$A$4:$BD$2323,R$1,FALSE),VLOOKUP($A38,Pit!$A$4:$AZ$2261,R$2,FALSE))</f>
        <v>0.14023248254631057</v>
      </c>
      <c r="S38" s="20" t="str">
        <f>IF($C38="B",VLOOKUP($A38,Bat!$A$4:$BD$2323,S$1,FALSE),VLOOKUP($A38,Pit!$A$4:$AZ$2261,S$2,FALSE))</f>
        <v>Slot</v>
      </c>
      <c r="T38" s="17" t="str">
        <f>IF(S38="Slot","",VLOOKUP(IF($C38="B",VLOOKUP($A38,Bat!$A$4:$AT$2323,T$1,FALSE),VLOOKUP($A38,Pit!$A$4:$BD$2261,T$2,FALSE)),COND!$A$34:$B$40,2,FALSE))</f>
        <v/>
      </c>
      <c r="U38" s="21">
        <f>IF($C38="B",VLOOKUP($A38,Bat!$A$4:$AR$1287,44,FALSE),VLOOKUP($A38,Pit!$A$4:$BB$1239,54,FALSE))</f>
        <v>34</v>
      </c>
      <c r="W38" s="21">
        <f t="shared" si="2"/>
        <v>34</v>
      </c>
      <c r="X38" s="22" t="e">
        <f t="shared" si="3"/>
        <v>#N/A</v>
      </c>
      <c r="Y38" s="16" t="str">
        <f>IF(ISERROR(VLOOKUP($E38&amp;$F38,Results!$A$2:$G$413,Y$1,FALSE)),"",VLOOKUP($E38&amp;$F38,Results!$A$2:$G$413,Y$1,FALSE))</f>
        <v/>
      </c>
      <c r="Z38" s="16" t="str">
        <f>IF(ISERROR(VLOOKUP($E38&amp;$F38,Results!$A$2:$G$413,Z$1,FALSE)),"",VLOOKUP($E38&amp;$F38,Results!$A$2:$G$413,Z$1,FALSE))</f>
        <v/>
      </c>
      <c r="AA38" s="16" t="str">
        <f>IF(ISERROR(VLOOKUP($E38&amp;$F38,Results!$A$2:$G$413,AA$1,FALSE)),"",VLOOKUP($E38&amp;$F38,Results!$A$2:$G$413,AA$1,FALSE))</f>
        <v/>
      </c>
      <c r="AB38" s="16" t="str">
        <f>IF(ISERROR(VLOOKUP($E38&amp;$F38,Results!$A$2:$G$413,AB$1,FALSE)),"",VLOOKUP($E38&amp;$F38,Results!$A$2:$G$413,AB$1,FALSE))</f>
        <v/>
      </c>
      <c r="AC38" s="16"/>
      <c r="AD38" s="20" t="str">
        <f>IF(ISERROR(VLOOKUP($AB38&amp;"-"&amp;$F38,Bonuses!$B$1:$G$1000,4,FALSE)),"",INT(VLOOKUP($AB38&amp;"-"&amp;$F38,Bonuses!$B$1:$G$1000,4,FALSE)))</f>
        <v/>
      </c>
      <c r="AE38" s="16" t="str">
        <f>IF(ISERROR(VLOOKUP($AB38&amp;"-"&amp;$F38,Bonuses!$B$1:$G$1000,5,FALSE)),"",IF(VLOOKUP($AB38&amp;"-"&amp;$F38,Bonuses!$B$1:$G$1000,5,FALSE)="","",VLOOKUP($AB38&amp;"-"&amp;$F38,Bonuses!$B$1:$G$1000,6,FALSE)&amp;" yrs, "&amp;VLOOKUP($AB38&amp;"-"&amp;$F38,Bonuses!$B$1:$G$1000,5,FALSE)))</f>
        <v/>
      </c>
    </row>
    <row r="39" spans="1:31" s="21" customFormat="1">
      <c r="A39" s="21" t="s">
        <v>910</v>
      </c>
      <c r="B39" s="21">
        <f t="shared" si="0"/>
        <v>1</v>
      </c>
      <c r="C39" s="21" t="str">
        <f t="shared" si="1"/>
        <v>B</v>
      </c>
      <c r="D39" s="17">
        <f>IF($C39="B",VLOOKUP($A39,Bat!$A$4:$BD$2323,D$1,FALSE),VLOOKUP($A39,Pit!$A$4:$AZ$2261,D$2,FALSE))</f>
        <v>638</v>
      </c>
      <c r="E39" s="16" t="str">
        <f>IF($C39="B",VLOOKUP($A39,Bat!$A$4:$BD$2323,E$1,FALSE),VLOOKUP($A39,Pit!$A$4:$AZ$2261,E$2,FALSE))</f>
        <v>1B</v>
      </c>
      <c r="F39" s="16" t="str">
        <f>IF($C39="B",VLOOKUP($A39,Bat!$A$4:$BD$2323,F$1,FALSE),VLOOKUP($A39,Pit!$A$4:$AZ$2261,F$2,FALSE))</f>
        <v>Anastagio Baio</v>
      </c>
      <c r="G39" s="16">
        <f>IF($C39="B",VLOOKUP($A39,Bat!$A$4:$BD$2323,G$1,FALSE),VLOOKUP($A39,Pit!$A$4:$AZ$2261,G$2,FALSE))</f>
        <v>18</v>
      </c>
      <c r="H39" s="16" t="str">
        <f>IF($C39="B",VLOOKUP($A39,Bat!$A$4:$BD$2323,H$1,FALSE),VLOOKUP($A39,Pit!$A$4:$AZ$2261,H$2,FALSE))</f>
        <v>R</v>
      </c>
      <c r="I39" s="16" t="str">
        <f>IF($C39="B",VLOOKUP($A39,Bat!$A$4:$BD$2323,I$1,FALSE),VLOOKUP($A39,Pit!$A$4:$AZ$2261,I$2,FALSE))</f>
        <v>R</v>
      </c>
      <c r="J39" s="16" t="str">
        <f>IF($C39="B",VLOOKUP($A39,Bat!$A$4:$BD$2323,J$1,FALSE),VLOOKUP($A39,Pit!$A$4:$AZ$2261,J$2,FALSE))</f>
        <v>Low</v>
      </c>
      <c r="K39" s="17" t="str">
        <f>IF($C39="B",VLOOKUP($A39,Bat!$A$4:$BD$2323,K$1,FALSE),VLOOKUP($A39,Pit!$A$4:$AZ$2261,K$2,FALSE))</f>
        <v>Very High</v>
      </c>
      <c r="L39" s="16">
        <f>IF($C39="B",VLOOKUP($A39,Bat!$A$4:$BD$2323,L$1,FALSE),VLOOKUP($A39,Pit!$A$4:$AZ$2261,L$2,FALSE))</f>
        <v>8</v>
      </c>
      <c r="M39" s="16">
        <f>IF($C39="B",VLOOKUP($A39,Bat!$A$4:$BD$2323,M$1,FALSE),VLOOKUP($A39,Pit!$A$4:$AZ$2261,M$2,FALSE))</f>
        <v>7</v>
      </c>
      <c r="N39" s="16">
        <f>IF($C39="B",VLOOKUP($A39,Bat!$A$4:$BD$2323,N$1,FALSE),VLOOKUP($A39,Pit!$A$4:$AZ$2261,N$2,FALSE))</f>
        <v>3</v>
      </c>
      <c r="O39" s="16">
        <f>IF($C39="B",VLOOKUP($A39,Bat!$A$4:$BD$2323,O$1,FALSE),VLOOKUP($A39,Pit!$A$4:$AZ$2261,O$2,FALSE))</f>
        <v>4</v>
      </c>
      <c r="P39" s="17">
        <f>IF($C39="B",VLOOKUP($A39,Bat!$A$4:$BD$2323,P$1,FALSE),VLOOKUP($A39,Pit!$A$4:$AZ$2261,P$2,FALSE))</f>
        <v>8</v>
      </c>
      <c r="Q39" s="18">
        <f>IF($C39="B",VLOOKUP($A39,Bat!$A$4:$BD$2323,Q$1,FALSE),VLOOKUP($A39,Pit!$A$4:$AZ$2261,Q$2,FALSE))</f>
        <v>24.326202447775117</v>
      </c>
      <c r="R39" s="19">
        <f>IF($C39="B",VLOOKUP($A39,Bat!$A$4:$BD$2323,R$1,FALSE),VLOOKUP($A39,Pit!$A$4:$AZ$2261,R$2,FALSE))</f>
        <v>1.8976544627825847</v>
      </c>
      <c r="S39" s="20" t="str">
        <f>IF($C39="B",VLOOKUP($A39,Bat!$A$4:$BD$2323,S$1,FALSE),VLOOKUP($A39,Pit!$A$4:$AZ$2261,S$2,FALSE))</f>
        <v>Slot</v>
      </c>
      <c r="T39" s="17" t="str">
        <f>IF(S39="Slot","",VLOOKUP(IF($C39="B",VLOOKUP($A39,Bat!$A$4:$AT$2323,T$1,FALSE),VLOOKUP($A39,Pit!$A$4:$BD$2261,T$2,FALSE)),COND!$A$34:$B$40,2,FALSE))</f>
        <v/>
      </c>
      <c r="U39" s="21">
        <f>IF($C39="B",VLOOKUP($A39,Bat!$A$4:$AR$1287,44,FALSE),VLOOKUP($A39,Pit!$A$4:$BB$1239,54,FALSE))</f>
        <v>35</v>
      </c>
      <c r="W39" s="21">
        <f t="shared" si="2"/>
        <v>35</v>
      </c>
      <c r="X39" s="22" t="e">
        <f t="shared" si="3"/>
        <v>#N/A</v>
      </c>
      <c r="Y39" s="16" t="str">
        <f>IF(ISERROR(VLOOKUP($E39&amp;$F39,Results!$A$2:$G$413,Y$1,FALSE)),"",VLOOKUP($E39&amp;$F39,Results!$A$2:$G$413,Y$1,FALSE))</f>
        <v/>
      </c>
      <c r="Z39" s="16" t="str">
        <f>IF(ISERROR(VLOOKUP($E39&amp;$F39,Results!$A$2:$G$413,Z$1,FALSE)),"",VLOOKUP($E39&amp;$F39,Results!$A$2:$G$413,Z$1,FALSE))</f>
        <v/>
      </c>
      <c r="AA39" s="16" t="str">
        <f>IF(ISERROR(VLOOKUP($E39&amp;$F39,Results!$A$2:$G$413,AA$1,FALSE)),"",VLOOKUP($E39&amp;$F39,Results!$A$2:$G$413,AA$1,FALSE))</f>
        <v/>
      </c>
      <c r="AB39" s="16" t="str">
        <f>IF(ISERROR(VLOOKUP($E39&amp;$F39,Results!$A$2:$G$413,AB$1,FALSE)),"",VLOOKUP($E39&amp;$F39,Results!$A$2:$G$413,AB$1,FALSE))</f>
        <v/>
      </c>
      <c r="AC39" s="16"/>
      <c r="AD39" s="20" t="str">
        <f>IF(ISERROR(VLOOKUP($AB39&amp;"-"&amp;$F39,Bonuses!$B$1:$G$1000,4,FALSE)),"",INT(VLOOKUP($AB39&amp;"-"&amp;$F39,Bonuses!$B$1:$G$1000,4,FALSE)))</f>
        <v/>
      </c>
      <c r="AE39" s="16" t="str">
        <f>IF(ISERROR(VLOOKUP($AB39&amp;"-"&amp;$F39,Bonuses!$B$1:$G$1000,5,FALSE)),"",IF(VLOOKUP($AB39&amp;"-"&amp;$F39,Bonuses!$B$1:$G$1000,5,FALSE)="","",VLOOKUP($AB39&amp;"-"&amp;$F39,Bonuses!$B$1:$G$1000,6,FALSE)&amp;" yrs, "&amp;VLOOKUP($AB39&amp;"-"&amp;$F39,Bonuses!$B$1:$G$1000,5,FALSE)))</f>
        <v/>
      </c>
    </row>
    <row r="40" spans="1:31" s="21" customFormat="1">
      <c r="A40" s="21" t="s">
        <v>924</v>
      </c>
      <c r="B40" s="21">
        <f t="shared" si="0"/>
        <v>1</v>
      </c>
      <c r="C40" s="21" t="str">
        <f t="shared" si="1"/>
        <v>B</v>
      </c>
      <c r="D40" s="17">
        <f>IF($C40="B",VLOOKUP($A40,Bat!$A$4:$BD$2323,D$1,FALSE),VLOOKUP($A40,Pit!$A$4:$AZ$2261,D$2,FALSE))</f>
        <v>2884</v>
      </c>
      <c r="E40" s="16" t="str">
        <f>IF($C40="B",VLOOKUP($A40,Bat!$A$4:$BD$2323,E$1,FALSE),VLOOKUP($A40,Pit!$A$4:$AZ$2261,E$2,FALSE))</f>
        <v>RF</v>
      </c>
      <c r="F40" s="16" t="str">
        <f>IF($C40="B",VLOOKUP($A40,Bat!$A$4:$BD$2323,F$1,FALSE),VLOOKUP($A40,Pit!$A$4:$AZ$2261,F$2,FALSE))</f>
        <v>Willie Edmonds</v>
      </c>
      <c r="G40" s="16">
        <f>IF($C40="B",VLOOKUP($A40,Bat!$A$4:$BD$2323,G$1,FALSE),VLOOKUP($A40,Pit!$A$4:$AZ$2261,G$2,FALSE))</f>
        <v>21</v>
      </c>
      <c r="H40" s="16" t="str">
        <f>IF($C40="B",VLOOKUP($A40,Bat!$A$4:$BD$2323,H$1,FALSE),VLOOKUP($A40,Pit!$A$4:$AZ$2261,H$2,FALSE))</f>
        <v>R</v>
      </c>
      <c r="I40" s="16" t="str">
        <f>IF($C40="B",VLOOKUP($A40,Bat!$A$4:$BD$2323,I$1,FALSE),VLOOKUP($A40,Pit!$A$4:$AZ$2261,I$2,FALSE))</f>
        <v>R</v>
      </c>
      <c r="J40" s="16" t="str">
        <f>IF($C40="B",VLOOKUP($A40,Bat!$A$4:$BD$2323,J$1,FALSE),VLOOKUP($A40,Pit!$A$4:$AZ$2261,J$2,FALSE))</f>
        <v>Normal</v>
      </c>
      <c r="K40" s="17" t="str">
        <f>IF($C40="B",VLOOKUP($A40,Bat!$A$4:$BD$2323,K$1,FALSE),VLOOKUP($A40,Pit!$A$4:$AZ$2261,K$2,FALSE))</f>
        <v>Normal</v>
      </c>
      <c r="L40" s="16">
        <f>IF($C40="B",VLOOKUP($A40,Bat!$A$4:$BD$2323,L$1,FALSE),VLOOKUP($A40,Pit!$A$4:$AZ$2261,L$2,FALSE))</f>
        <v>5</v>
      </c>
      <c r="M40" s="16">
        <f>IF($C40="B",VLOOKUP($A40,Bat!$A$4:$BD$2323,M$1,FALSE),VLOOKUP($A40,Pit!$A$4:$AZ$2261,M$2,FALSE))</f>
        <v>5</v>
      </c>
      <c r="N40" s="16">
        <f>IF($C40="B",VLOOKUP($A40,Bat!$A$4:$BD$2323,N$1,FALSE),VLOOKUP($A40,Pit!$A$4:$AZ$2261,N$2,FALSE))</f>
        <v>7</v>
      </c>
      <c r="O40" s="16">
        <f>IF($C40="B",VLOOKUP($A40,Bat!$A$4:$BD$2323,O$1,FALSE),VLOOKUP($A40,Pit!$A$4:$AZ$2261,O$2,FALSE))</f>
        <v>5</v>
      </c>
      <c r="P40" s="17">
        <f>IF($C40="B",VLOOKUP($A40,Bat!$A$4:$BD$2323,P$1,FALSE),VLOOKUP($A40,Pit!$A$4:$AZ$2261,P$2,FALSE))</f>
        <v>4</v>
      </c>
      <c r="Q40" s="18">
        <f>IF($C40="B",VLOOKUP($A40,Bat!$A$4:$BD$2323,Q$1,FALSE),VLOOKUP($A40,Pit!$A$4:$AZ$2261,Q$2,FALSE))</f>
        <v>15.90677081657314</v>
      </c>
      <c r="R40" s="19">
        <f>IF($C40="B",VLOOKUP($A40,Bat!$A$4:$BD$2323,R$1,FALSE),VLOOKUP($A40,Pit!$A$4:$AZ$2261,R$2,FALSE))</f>
        <v>0.72799626533349593</v>
      </c>
      <c r="S40" s="20" t="str">
        <f>IF($C40="B",VLOOKUP($A40,Bat!$A$4:$BD$2323,S$1,FALSE),VLOOKUP($A40,Pit!$A$4:$AZ$2261,S$2,FALSE))</f>
        <v>Slot</v>
      </c>
      <c r="T40" s="17" t="str">
        <f>IF(S40="Slot","",VLOOKUP(IF($C40="B",VLOOKUP($A40,Bat!$A$4:$AT$2323,T$1,FALSE),VLOOKUP($A40,Pit!$A$4:$BD$2261,T$2,FALSE)),COND!$A$34:$B$40,2,FALSE))</f>
        <v/>
      </c>
      <c r="U40" s="21">
        <f>IF($C40="B",VLOOKUP($A40,Bat!$A$4:$AR$1287,44,FALSE),VLOOKUP($A40,Pit!$A$4:$BB$1239,54,FALSE))</f>
        <v>36</v>
      </c>
      <c r="W40" s="21">
        <f t="shared" si="2"/>
        <v>36</v>
      </c>
      <c r="X40" s="22" t="e">
        <f t="shared" si="3"/>
        <v>#N/A</v>
      </c>
      <c r="Y40" s="16" t="str">
        <f>IF(ISERROR(VLOOKUP($E40&amp;$F40,Results!$A$2:$G$413,Y$1,FALSE)),"",VLOOKUP($E40&amp;$F40,Results!$A$2:$G$413,Y$1,FALSE))</f>
        <v/>
      </c>
      <c r="Z40" s="16" t="str">
        <f>IF(ISERROR(VLOOKUP($E40&amp;$F40,Results!$A$2:$G$413,Z$1,FALSE)),"",VLOOKUP($E40&amp;$F40,Results!$A$2:$G$413,Z$1,FALSE))</f>
        <v/>
      </c>
      <c r="AA40" s="16" t="str">
        <f>IF(ISERROR(VLOOKUP($E40&amp;$F40,Results!$A$2:$G$413,AA$1,FALSE)),"",VLOOKUP($E40&amp;$F40,Results!$A$2:$G$413,AA$1,FALSE))</f>
        <v/>
      </c>
      <c r="AB40" s="16" t="str">
        <f>IF(ISERROR(VLOOKUP($E40&amp;$F40,Results!$A$2:$G$413,AB$1,FALSE)),"",VLOOKUP($E40&amp;$F40,Results!$A$2:$G$413,AB$1,FALSE))</f>
        <v/>
      </c>
      <c r="AC40" s="16"/>
      <c r="AD40" s="20" t="str">
        <f>IF(ISERROR(VLOOKUP($AB40&amp;"-"&amp;$F40,Bonuses!$B$1:$G$1000,4,FALSE)),"",INT(VLOOKUP($AB40&amp;"-"&amp;$F40,Bonuses!$B$1:$G$1000,4,FALSE)))</f>
        <v/>
      </c>
      <c r="AE40" s="16" t="str">
        <f>IF(ISERROR(VLOOKUP($AB40&amp;"-"&amp;$F40,Bonuses!$B$1:$G$1000,5,FALSE)),"",IF(VLOOKUP($AB40&amp;"-"&amp;$F40,Bonuses!$B$1:$G$1000,5,FALSE)="","",VLOOKUP($AB40&amp;"-"&amp;$F40,Bonuses!$B$1:$G$1000,6,FALSE)&amp;" yrs, "&amp;VLOOKUP($AB40&amp;"-"&amp;$F40,Bonuses!$B$1:$G$1000,5,FALSE)))</f>
        <v/>
      </c>
    </row>
    <row r="41" spans="1:31" s="21" customFormat="1">
      <c r="A41" s="21" t="s">
        <v>634</v>
      </c>
      <c r="B41" s="21">
        <f t="shared" si="0"/>
        <v>1</v>
      </c>
      <c r="C41" s="21" t="str">
        <f t="shared" si="1"/>
        <v>B</v>
      </c>
      <c r="D41" s="17">
        <f>IF($C41="B",VLOOKUP($A41,Bat!$A$4:$BD$2323,D$1,FALSE),VLOOKUP($A41,Pit!$A$4:$AZ$2261,D$2,FALSE))</f>
        <v>2951</v>
      </c>
      <c r="E41" s="16" t="str">
        <f>IF($C41="B",VLOOKUP($A41,Bat!$A$4:$BD$2323,E$1,FALSE),VLOOKUP($A41,Pit!$A$4:$AZ$2261,E$2,FALSE))</f>
        <v>C</v>
      </c>
      <c r="F41" s="16" t="str">
        <f>IF($C41="B",VLOOKUP($A41,Bat!$A$4:$BD$2323,F$1,FALSE),VLOOKUP($A41,Pit!$A$4:$AZ$2261,F$2,FALSE))</f>
        <v>Frank Pitts</v>
      </c>
      <c r="G41" s="16">
        <f>IF($C41="B",VLOOKUP($A41,Bat!$A$4:$BD$2323,G$1,FALSE),VLOOKUP($A41,Pit!$A$4:$AZ$2261,G$2,FALSE))</f>
        <v>21</v>
      </c>
      <c r="H41" s="16" t="str">
        <f>IF($C41="B",VLOOKUP($A41,Bat!$A$4:$BD$2323,H$1,FALSE),VLOOKUP($A41,Pit!$A$4:$AZ$2261,H$2,FALSE))</f>
        <v>S</v>
      </c>
      <c r="I41" s="16" t="str">
        <f>IF($C41="B",VLOOKUP($A41,Bat!$A$4:$BD$2323,I$1,FALSE),VLOOKUP($A41,Pit!$A$4:$AZ$2261,I$2,FALSE))</f>
        <v>R</v>
      </c>
      <c r="J41" s="16" t="str">
        <f>IF($C41="B",VLOOKUP($A41,Bat!$A$4:$BD$2323,J$1,FALSE),VLOOKUP($A41,Pit!$A$4:$AZ$2261,J$2,FALSE))</f>
        <v>Low</v>
      </c>
      <c r="K41" s="17" t="str">
        <f>IF($C41="B",VLOOKUP($A41,Bat!$A$4:$BD$2323,K$1,FALSE),VLOOKUP($A41,Pit!$A$4:$AZ$2261,K$2,FALSE))</f>
        <v>Very Low</v>
      </c>
      <c r="L41" s="16">
        <f>IF($C41="B",VLOOKUP($A41,Bat!$A$4:$BD$2323,L$1,FALSE),VLOOKUP($A41,Pit!$A$4:$AZ$2261,L$2,FALSE))</f>
        <v>5</v>
      </c>
      <c r="M41" s="16">
        <f>IF($C41="B",VLOOKUP($A41,Bat!$A$4:$BD$2323,M$1,FALSE),VLOOKUP($A41,Pit!$A$4:$AZ$2261,M$2,FALSE))</f>
        <v>7</v>
      </c>
      <c r="N41" s="16">
        <f>IF($C41="B",VLOOKUP($A41,Bat!$A$4:$BD$2323,N$1,FALSE),VLOOKUP($A41,Pit!$A$4:$AZ$2261,N$2,FALSE))</f>
        <v>3</v>
      </c>
      <c r="O41" s="16">
        <f>IF($C41="B",VLOOKUP($A41,Bat!$A$4:$BD$2323,O$1,FALSE),VLOOKUP($A41,Pit!$A$4:$AZ$2261,O$2,FALSE))</f>
        <v>4</v>
      </c>
      <c r="P41" s="17">
        <f>IF($C41="B",VLOOKUP($A41,Bat!$A$4:$BD$2323,P$1,FALSE),VLOOKUP($A41,Pit!$A$4:$AZ$2261,P$2,FALSE))</f>
        <v>5</v>
      </c>
      <c r="Q41" s="18">
        <f>IF($C41="B",VLOOKUP($A41,Bat!$A$4:$BD$2323,Q$1,FALSE),VLOOKUP($A41,Pit!$A$4:$AZ$2261,Q$2,FALSE))</f>
        <v>12.343697417877539</v>
      </c>
      <c r="R41" s="19">
        <f>IF($C41="B",VLOOKUP($A41,Bat!$A$4:$BD$2323,R$1,FALSE),VLOOKUP($A41,Pit!$A$4:$AZ$2261,R$2,FALSE))</f>
        <v>0.23300109327790647</v>
      </c>
      <c r="S41" s="20" t="str">
        <f>IF($C41="B",VLOOKUP($A41,Bat!$A$4:$BD$2323,S$1,FALSE),VLOOKUP($A41,Pit!$A$4:$AZ$2261,S$2,FALSE))</f>
        <v>Slot</v>
      </c>
      <c r="T41" s="17" t="str">
        <f>IF(S41="Slot","",VLOOKUP(IF($C41="B",VLOOKUP($A41,Bat!$A$4:$AT$2323,T$1,FALSE),VLOOKUP($A41,Pit!$A$4:$BD$2261,T$2,FALSE)),COND!$A$34:$B$40,2,FALSE))</f>
        <v/>
      </c>
      <c r="U41" s="21">
        <f>IF($C41="B",VLOOKUP($A41,Bat!$A$4:$AR$1287,44,FALSE),VLOOKUP($A41,Pit!$A$4:$BB$1239,54,FALSE))</f>
        <v>37</v>
      </c>
      <c r="W41" s="21">
        <f t="shared" si="2"/>
        <v>37</v>
      </c>
      <c r="X41" s="22" t="e">
        <f t="shared" si="3"/>
        <v>#N/A</v>
      </c>
      <c r="Y41" s="16" t="str">
        <f>IF(ISERROR(VLOOKUP($E41&amp;$F41,Results!$A$2:$G$413,Y$1,FALSE)),"",VLOOKUP($E41&amp;$F41,Results!$A$2:$G$413,Y$1,FALSE))</f>
        <v/>
      </c>
      <c r="Z41" s="16" t="str">
        <f>IF(ISERROR(VLOOKUP($E41&amp;$F41,Results!$A$2:$G$413,Z$1,FALSE)),"",VLOOKUP($E41&amp;$F41,Results!$A$2:$G$413,Z$1,FALSE))</f>
        <v/>
      </c>
      <c r="AA41" s="16" t="str">
        <f>IF(ISERROR(VLOOKUP($E41&amp;$F41,Results!$A$2:$G$413,AA$1,FALSE)),"",VLOOKUP($E41&amp;$F41,Results!$A$2:$G$413,AA$1,FALSE))</f>
        <v/>
      </c>
      <c r="AB41" s="16" t="str">
        <f>IF(ISERROR(VLOOKUP($E41&amp;$F41,Results!$A$2:$G$413,AB$1,FALSE)),"",VLOOKUP($E41&amp;$F41,Results!$A$2:$G$413,AB$1,FALSE))</f>
        <v/>
      </c>
      <c r="AC41" s="16"/>
      <c r="AD41" s="20" t="str">
        <f>IF(ISERROR(VLOOKUP($AB41&amp;"-"&amp;$F41,Bonuses!$B$1:$G$1000,4,FALSE)),"",INT(VLOOKUP($AB41&amp;"-"&amp;$F41,Bonuses!$B$1:$G$1000,4,FALSE)))</f>
        <v/>
      </c>
      <c r="AE41" s="16" t="str">
        <f>IF(ISERROR(VLOOKUP($AB41&amp;"-"&amp;$F41,Bonuses!$B$1:$G$1000,5,FALSE)),"",IF(VLOOKUP($AB41&amp;"-"&amp;$F41,Bonuses!$B$1:$G$1000,5,FALSE)="","",VLOOKUP($AB41&amp;"-"&amp;$F41,Bonuses!$B$1:$G$1000,6,FALSE)&amp;" yrs, "&amp;VLOOKUP($AB41&amp;"-"&amp;$F41,Bonuses!$B$1:$G$1000,5,FALSE)))</f>
        <v/>
      </c>
    </row>
    <row r="42" spans="1:31" s="21" customFormat="1">
      <c r="A42" s="21" t="s">
        <v>281</v>
      </c>
      <c r="B42" s="21">
        <f t="shared" si="0"/>
        <v>1</v>
      </c>
      <c r="C42" s="21" t="str">
        <f t="shared" si="1"/>
        <v>B</v>
      </c>
      <c r="D42" s="17">
        <f>IF($C42="B",VLOOKUP($A42,Bat!$A$4:$BD$2323,D$1,FALSE),VLOOKUP($A42,Pit!$A$4:$AZ$2261,D$2,FALSE))</f>
        <v>9529</v>
      </c>
      <c r="E42" s="16" t="str">
        <f>IF($C42="B",VLOOKUP($A42,Bat!$A$4:$BD$2323,E$1,FALSE),VLOOKUP($A42,Pit!$A$4:$AZ$2261,E$2,FALSE))</f>
        <v>2B</v>
      </c>
      <c r="F42" s="16" t="str">
        <f>IF($C42="B",VLOOKUP($A42,Bat!$A$4:$BD$2323,F$1,FALSE),VLOOKUP($A42,Pit!$A$4:$AZ$2261,F$2,FALSE))</f>
        <v>Jack Washington</v>
      </c>
      <c r="G42" s="16">
        <f>IF($C42="B",VLOOKUP($A42,Bat!$A$4:$BD$2323,G$1,FALSE),VLOOKUP($A42,Pit!$A$4:$AZ$2261,G$2,FALSE))</f>
        <v>21</v>
      </c>
      <c r="H42" s="16" t="str">
        <f>IF($C42="B",VLOOKUP($A42,Bat!$A$4:$BD$2323,H$1,FALSE),VLOOKUP($A42,Pit!$A$4:$AZ$2261,H$2,FALSE))</f>
        <v>R</v>
      </c>
      <c r="I42" s="16" t="str">
        <f>IF($C42="B",VLOOKUP($A42,Bat!$A$4:$BD$2323,I$1,FALSE),VLOOKUP($A42,Pit!$A$4:$AZ$2261,I$2,FALSE))</f>
        <v>R</v>
      </c>
      <c r="J42" s="16" t="str">
        <f>IF($C42="B",VLOOKUP($A42,Bat!$A$4:$BD$2323,J$1,FALSE),VLOOKUP($A42,Pit!$A$4:$AZ$2261,J$2,FALSE))</f>
        <v>Normal</v>
      </c>
      <c r="K42" s="17" t="str">
        <f>IF($C42="B",VLOOKUP($A42,Bat!$A$4:$BD$2323,K$1,FALSE),VLOOKUP($A42,Pit!$A$4:$AZ$2261,K$2,FALSE))</f>
        <v>High</v>
      </c>
      <c r="L42" s="16">
        <f>IF($C42="B",VLOOKUP($A42,Bat!$A$4:$BD$2323,L$1,FALSE),VLOOKUP($A42,Pit!$A$4:$AZ$2261,L$2,FALSE))</f>
        <v>7</v>
      </c>
      <c r="M42" s="16">
        <f>IF($C42="B",VLOOKUP($A42,Bat!$A$4:$BD$2323,M$1,FALSE),VLOOKUP($A42,Pit!$A$4:$AZ$2261,M$2,FALSE))</f>
        <v>5</v>
      </c>
      <c r="N42" s="16">
        <f>IF($C42="B",VLOOKUP($A42,Bat!$A$4:$BD$2323,N$1,FALSE),VLOOKUP($A42,Pit!$A$4:$AZ$2261,N$2,FALSE))</f>
        <v>3</v>
      </c>
      <c r="O42" s="16">
        <f>IF($C42="B",VLOOKUP($A42,Bat!$A$4:$BD$2323,O$1,FALSE),VLOOKUP($A42,Pit!$A$4:$AZ$2261,O$2,FALSE))</f>
        <v>7</v>
      </c>
      <c r="P42" s="17">
        <f>IF($C42="B",VLOOKUP($A42,Bat!$A$4:$BD$2323,P$1,FALSE),VLOOKUP($A42,Pit!$A$4:$AZ$2261,P$2,FALSE))</f>
        <v>6</v>
      </c>
      <c r="Q42" s="18">
        <f>IF($C42="B",VLOOKUP($A42,Bat!$A$4:$BD$2323,Q$1,FALSE),VLOOKUP($A42,Pit!$A$4:$AZ$2261,Q$2,FALSE))</f>
        <v>24.375382000671195</v>
      </c>
      <c r="R42" s="19">
        <f>IF($C42="B",VLOOKUP($A42,Bat!$A$4:$BD$2323,R$1,FALSE),VLOOKUP($A42,Pit!$A$4:$AZ$2261,R$2,FALSE))</f>
        <v>1.9044866659183166</v>
      </c>
      <c r="S42" s="20">
        <f>IF($C42="B",VLOOKUP($A42,Bat!$A$4:$BD$2323,S$1,FALSE),VLOOKUP($A42,Pit!$A$4:$AZ$2261,S$2,FALSE))</f>
        <v>1900000</v>
      </c>
      <c r="T42" s="17" t="str">
        <f>IF(S42="Slot","",VLOOKUP(IF($C42="B",VLOOKUP($A42,Bat!$A$4:$AT$2323,T$1,FALSE),VLOOKUP($A42,Pit!$A$4:$BD$2261,T$2,FALSE)),COND!$A$34:$B$40,2,FALSE))</f>
        <v>H</v>
      </c>
      <c r="U42" s="21">
        <f>IF($C42="B",VLOOKUP($A42,Bat!$A$4:$AR$1287,44,FALSE),VLOOKUP($A42,Pit!$A$4:$BB$1239,54,FALSE))</f>
        <v>38</v>
      </c>
      <c r="W42" s="21">
        <f t="shared" si="2"/>
        <v>38</v>
      </c>
      <c r="X42" s="22" t="e">
        <f t="shared" si="3"/>
        <v>#N/A</v>
      </c>
      <c r="Y42" s="16" t="str">
        <f>IF(ISERROR(VLOOKUP($E42&amp;$F42,Results!$A$2:$G$413,Y$1,FALSE)),"",VLOOKUP($E42&amp;$F42,Results!$A$2:$G$413,Y$1,FALSE))</f>
        <v/>
      </c>
      <c r="Z42" s="16" t="str">
        <f>IF(ISERROR(VLOOKUP($E42&amp;$F42,Results!$A$2:$G$413,Z$1,FALSE)),"",VLOOKUP($E42&amp;$F42,Results!$A$2:$G$413,Z$1,FALSE))</f>
        <v/>
      </c>
      <c r="AA42" s="16" t="str">
        <f>IF(ISERROR(VLOOKUP($E42&amp;$F42,Results!$A$2:$G$413,AA$1,FALSE)),"",VLOOKUP($E42&amp;$F42,Results!$A$2:$G$413,AA$1,FALSE))</f>
        <v/>
      </c>
      <c r="AB42" s="16" t="str">
        <f>IF(ISERROR(VLOOKUP($E42&amp;$F42,Results!$A$2:$G$413,AB$1,FALSE)),"",VLOOKUP($E42&amp;$F42,Results!$A$2:$G$413,AB$1,FALSE))</f>
        <v/>
      </c>
      <c r="AC42" s="16"/>
      <c r="AD42" s="20" t="str">
        <f>IF(ISERROR(VLOOKUP($AB42&amp;"-"&amp;$F42,Bonuses!$B$1:$G$1000,4,FALSE)),"",INT(VLOOKUP($AB42&amp;"-"&amp;$F42,Bonuses!$B$1:$G$1000,4,FALSE)))</f>
        <v/>
      </c>
      <c r="AE42" s="16" t="str">
        <f>IF(ISERROR(VLOOKUP($AB42&amp;"-"&amp;$F42,Bonuses!$B$1:$G$1000,5,FALSE)),"",IF(VLOOKUP($AB42&amp;"-"&amp;$F42,Bonuses!$B$1:$G$1000,5,FALSE)="","",VLOOKUP($AB42&amp;"-"&amp;$F42,Bonuses!$B$1:$G$1000,6,FALSE)&amp;" yrs, "&amp;VLOOKUP($AB42&amp;"-"&amp;$F42,Bonuses!$B$1:$G$1000,5,FALSE)))</f>
        <v/>
      </c>
    </row>
    <row r="43" spans="1:31" s="21" customFormat="1">
      <c r="A43" s="21" t="s">
        <v>927</v>
      </c>
      <c r="B43" s="21">
        <f t="shared" si="0"/>
        <v>1</v>
      </c>
      <c r="C43" s="21" t="str">
        <f t="shared" si="1"/>
        <v>B</v>
      </c>
      <c r="D43" s="17">
        <f>IF($C43="B",VLOOKUP($A43,Bat!$A$4:$BD$2323,D$1,FALSE),VLOOKUP($A43,Pit!$A$4:$AZ$2261,D$2,FALSE))</f>
        <v>5429</v>
      </c>
      <c r="E43" s="16" t="str">
        <f>IF($C43="B",VLOOKUP($A43,Bat!$A$4:$BD$2323,E$1,FALSE),VLOOKUP($A43,Pit!$A$4:$AZ$2261,E$2,FALSE))</f>
        <v>SS</v>
      </c>
      <c r="F43" s="16" t="str">
        <f>IF($C43="B",VLOOKUP($A43,Bat!$A$4:$BD$2323,F$1,FALSE),VLOOKUP($A43,Pit!$A$4:$AZ$2261,F$2,FALSE))</f>
        <v>George Battle</v>
      </c>
      <c r="G43" s="16">
        <f>IF($C43="B",VLOOKUP($A43,Bat!$A$4:$BD$2323,G$1,FALSE),VLOOKUP($A43,Pit!$A$4:$AZ$2261,G$2,FALSE))</f>
        <v>21</v>
      </c>
      <c r="H43" s="16" t="str">
        <f>IF($C43="B",VLOOKUP($A43,Bat!$A$4:$BD$2323,H$1,FALSE),VLOOKUP($A43,Pit!$A$4:$AZ$2261,H$2,FALSE))</f>
        <v>R</v>
      </c>
      <c r="I43" s="16" t="str">
        <f>IF($C43="B",VLOOKUP($A43,Bat!$A$4:$BD$2323,I$1,FALSE),VLOOKUP($A43,Pit!$A$4:$AZ$2261,I$2,FALSE))</f>
        <v>R</v>
      </c>
      <c r="J43" s="16" t="str">
        <f>IF($C43="B",VLOOKUP($A43,Bat!$A$4:$BD$2323,J$1,FALSE),VLOOKUP($A43,Pit!$A$4:$AZ$2261,J$2,FALSE))</f>
        <v>Low</v>
      </c>
      <c r="K43" s="17" t="str">
        <f>IF($C43="B",VLOOKUP($A43,Bat!$A$4:$BD$2323,K$1,FALSE),VLOOKUP($A43,Pit!$A$4:$AZ$2261,K$2,FALSE))</f>
        <v>Very High</v>
      </c>
      <c r="L43" s="16">
        <f>IF($C43="B",VLOOKUP($A43,Bat!$A$4:$BD$2323,L$1,FALSE),VLOOKUP($A43,Pit!$A$4:$AZ$2261,L$2,FALSE))</f>
        <v>5</v>
      </c>
      <c r="M43" s="16">
        <f>IF($C43="B",VLOOKUP($A43,Bat!$A$4:$BD$2323,M$1,FALSE),VLOOKUP($A43,Pit!$A$4:$AZ$2261,M$2,FALSE))</f>
        <v>5</v>
      </c>
      <c r="N43" s="16">
        <f>IF($C43="B",VLOOKUP($A43,Bat!$A$4:$BD$2323,N$1,FALSE),VLOOKUP($A43,Pit!$A$4:$AZ$2261,N$2,FALSE))</f>
        <v>3</v>
      </c>
      <c r="O43" s="16">
        <f>IF($C43="B",VLOOKUP($A43,Bat!$A$4:$BD$2323,O$1,FALSE),VLOOKUP($A43,Pit!$A$4:$AZ$2261,O$2,FALSE))</f>
        <v>6</v>
      </c>
      <c r="P43" s="17">
        <f>IF($C43="B",VLOOKUP($A43,Bat!$A$4:$BD$2323,P$1,FALSE),VLOOKUP($A43,Pit!$A$4:$AZ$2261,P$2,FALSE))</f>
        <v>7</v>
      </c>
      <c r="Q43" s="18">
        <f>IF($C43="B",VLOOKUP($A43,Bat!$A$4:$BD$2323,Q$1,FALSE),VLOOKUP($A43,Pit!$A$4:$AZ$2261,Q$2,FALSE))</f>
        <v>15.225999459582519</v>
      </c>
      <c r="R43" s="19">
        <f>IF($C43="B",VLOOKUP($A43,Bat!$A$4:$BD$2323,R$1,FALSE),VLOOKUP($A43,Pit!$A$4:$AZ$2261,R$2,FALSE))</f>
        <v>0.63342102163869773</v>
      </c>
      <c r="S43" s="20" t="str">
        <f>IF($C43="B",VLOOKUP($A43,Bat!$A$4:$BD$2323,S$1,FALSE),VLOOKUP($A43,Pit!$A$4:$AZ$2261,S$2,FALSE))</f>
        <v>Slot</v>
      </c>
      <c r="T43" s="17" t="str">
        <f>IF(S43="Slot","",VLOOKUP(IF($C43="B",VLOOKUP($A43,Bat!$A$4:$AT$2323,T$1,FALSE),VLOOKUP($A43,Pit!$A$4:$BD$2261,T$2,FALSE)),COND!$A$34:$B$40,2,FALSE))</f>
        <v/>
      </c>
      <c r="U43" s="21">
        <f>IF($C43="B",VLOOKUP($A43,Bat!$A$4:$AR$1287,44,FALSE),VLOOKUP($A43,Pit!$A$4:$BB$1239,54,FALSE))</f>
        <v>39</v>
      </c>
      <c r="W43" s="21">
        <f t="shared" si="2"/>
        <v>39</v>
      </c>
      <c r="X43" s="22" t="e">
        <f t="shared" si="3"/>
        <v>#N/A</v>
      </c>
      <c r="Y43" s="16" t="str">
        <f>IF(ISERROR(VLOOKUP($E43&amp;$F43,Results!$A$2:$G$413,Y$1,FALSE)),"",VLOOKUP($E43&amp;$F43,Results!$A$2:$G$413,Y$1,FALSE))</f>
        <v/>
      </c>
      <c r="Z43" s="16" t="str">
        <f>IF(ISERROR(VLOOKUP($E43&amp;$F43,Results!$A$2:$G$413,Z$1,FALSE)),"",VLOOKUP($E43&amp;$F43,Results!$A$2:$G$413,Z$1,FALSE))</f>
        <v/>
      </c>
      <c r="AA43" s="16" t="str">
        <f>IF(ISERROR(VLOOKUP($E43&amp;$F43,Results!$A$2:$G$413,AA$1,FALSE)),"",VLOOKUP($E43&amp;$F43,Results!$A$2:$G$413,AA$1,FALSE))</f>
        <v/>
      </c>
      <c r="AB43" s="16" t="str">
        <f>IF(ISERROR(VLOOKUP($E43&amp;$F43,Results!$A$2:$G$413,AB$1,FALSE)),"",VLOOKUP($E43&amp;$F43,Results!$A$2:$G$413,AB$1,FALSE))</f>
        <v/>
      </c>
      <c r="AC43" s="16"/>
      <c r="AD43" s="20" t="str">
        <f>IF(ISERROR(VLOOKUP($AB43&amp;"-"&amp;$F43,Bonuses!$B$1:$G$1000,4,FALSE)),"",INT(VLOOKUP($AB43&amp;"-"&amp;$F43,Bonuses!$B$1:$G$1000,4,FALSE)))</f>
        <v/>
      </c>
      <c r="AE43" s="16" t="str">
        <f>IF(ISERROR(VLOOKUP($AB43&amp;"-"&amp;$F43,Bonuses!$B$1:$G$1000,5,FALSE)),"",IF(VLOOKUP($AB43&amp;"-"&amp;$F43,Bonuses!$B$1:$G$1000,5,FALSE)="","",VLOOKUP($AB43&amp;"-"&amp;$F43,Bonuses!$B$1:$G$1000,6,FALSE)&amp;" yrs, "&amp;VLOOKUP($AB43&amp;"-"&amp;$F43,Bonuses!$B$1:$G$1000,5,FALSE)))</f>
        <v/>
      </c>
    </row>
    <row r="44" spans="1:31" s="21" customFormat="1">
      <c r="A44" s="21" t="s">
        <v>943</v>
      </c>
      <c r="B44" s="21">
        <f t="shared" si="0"/>
        <v>1</v>
      </c>
      <c r="C44" s="21" t="str">
        <f t="shared" si="1"/>
        <v>B</v>
      </c>
      <c r="D44" s="17" t="e">
        <f>IF($C44="B",VLOOKUP($A44,Bat!$A$4:$BD$2323,D$1,FALSE),VLOOKUP($A44,Pit!$A$4:$AZ$2261,D$2,FALSE))</f>
        <v>#N/A</v>
      </c>
      <c r="E44" s="16" t="str">
        <f>IF($C44="B",VLOOKUP($A44,Bat!$A$4:$BD$2323,E$1,FALSE),VLOOKUP($A44,Pit!$A$4:$AZ$2261,E$2,FALSE))</f>
        <v>RF</v>
      </c>
      <c r="F44" s="16" t="str">
        <f>IF($C44="B",VLOOKUP($A44,Bat!$A$4:$BD$2323,F$1,FALSE),VLOOKUP($A44,Pit!$A$4:$AZ$2261,F$2,FALSE))</f>
        <v>Gustavo Martínez</v>
      </c>
      <c r="G44" s="16">
        <f>IF($C44="B",VLOOKUP($A44,Bat!$A$4:$BD$2323,G$1,FALSE),VLOOKUP($A44,Pit!$A$4:$AZ$2261,G$2,FALSE))</f>
        <v>21</v>
      </c>
      <c r="H44" s="16" t="str">
        <f>IF($C44="B",VLOOKUP($A44,Bat!$A$4:$BD$2323,H$1,FALSE),VLOOKUP($A44,Pit!$A$4:$AZ$2261,H$2,FALSE))</f>
        <v>L</v>
      </c>
      <c r="I44" s="16" t="str">
        <f>IF($C44="B",VLOOKUP($A44,Bat!$A$4:$BD$2323,I$1,FALSE),VLOOKUP($A44,Pit!$A$4:$AZ$2261,I$2,FALSE))</f>
        <v>L</v>
      </c>
      <c r="J44" s="16" t="str">
        <f>IF($C44="B",VLOOKUP($A44,Bat!$A$4:$BD$2323,J$1,FALSE),VLOOKUP($A44,Pit!$A$4:$AZ$2261,J$2,FALSE))</f>
        <v>High</v>
      </c>
      <c r="K44" s="17" t="str">
        <f>IF($C44="B",VLOOKUP($A44,Bat!$A$4:$BD$2323,K$1,FALSE),VLOOKUP($A44,Pit!$A$4:$AZ$2261,K$2,FALSE))</f>
        <v>Low</v>
      </c>
      <c r="L44" s="16">
        <f>IF($C44="B",VLOOKUP($A44,Bat!$A$4:$BD$2323,L$1,FALSE),VLOOKUP($A44,Pit!$A$4:$AZ$2261,L$2,FALSE))</f>
        <v>5</v>
      </c>
      <c r="M44" s="16">
        <f>IF($C44="B",VLOOKUP($A44,Bat!$A$4:$BD$2323,M$1,FALSE),VLOOKUP($A44,Pit!$A$4:$AZ$2261,M$2,FALSE))</f>
        <v>7</v>
      </c>
      <c r="N44" s="16">
        <f>IF($C44="B",VLOOKUP($A44,Bat!$A$4:$BD$2323,N$1,FALSE),VLOOKUP($A44,Pit!$A$4:$AZ$2261,N$2,FALSE))</f>
        <v>6</v>
      </c>
      <c r="O44" s="16">
        <f>IF($C44="B",VLOOKUP($A44,Bat!$A$4:$BD$2323,O$1,FALSE),VLOOKUP($A44,Pit!$A$4:$AZ$2261,O$2,FALSE))</f>
        <v>4</v>
      </c>
      <c r="P44" s="17">
        <f>IF($C44="B",VLOOKUP($A44,Bat!$A$4:$BD$2323,P$1,FALSE),VLOOKUP($A44,Pit!$A$4:$AZ$2261,P$2,FALSE))</f>
        <v>4</v>
      </c>
      <c r="Q44" s="18">
        <f>IF($C44="B",VLOOKUP($A44,Bat!$A$4:$BD$2323,Q$1,FALSE),VLOOKUP($A44,Pit!$A$4:$AZ$2261,Q$2,FALSE))</f>
        <v>14.044878456057402</v>
      </c>
      <c r="R44" s="19">
        <f>IF($C44="B",VLOOKUP($A44,Bat!$A$4:$BD$2323,R$1,FALSE),VLOOKUP($A44,Pit!$A$4:$AZ$2261,R$2,FALSE))</f>
        <v>0.46933537732600433</v>
      </c>
      <c r="S44" s="20" t="str">
        <f>IF($C44="B",VLOOKUP($A44,Bat!$A$4:$BD$2323,S$1,FALSE),VLOOKUP($A44,Pit!$A$4:$AZ$2261,S$2,FALSE))</f>
        <v>Slot</v>
      </c>
      <c r="T44" s="17" t="str">
        <f>IF(S44="Slot","",VLOOKUP(IF($C44="B",VLOOKUP($A44,Bat!$A$4:$AT$2323,T$1,FALSE),VLOOKUP($A44,Pit!$A$4:$BD$2261,T$2,FALSE)),COND!$A$34:$B$40,2,FALSE))</f>
        <v/>
      </c>
      <c r="U44" s="21">
        <f>IF($C44="B",VLOOKUP($A44,Bat!$A$4:$AR$1287,44,FALSE),VLOOKUP($A44,Pit!$A$4:$BB$1239,54,FALSE))</f>
        <v>40</v>
      </c>
      <c r="W44" s="21">
        <f t="shared" si="2"/>
        <v>40</v>
      </c>
      <c r="X44" s="22" t="e">
        <f t="shared" si="3"/>
        <v>#N/A</v>
      </c>
      <c r="Y44" s="16" t="str">
        <f>IF(ISERROR(VLOOKUP($E44&amp;$F44,Results!$A$2:$G$413,Y$1,FALSE)),"",VLOOKUP($E44&amp;$F44,Results!$A$2:$G$413,Y$1,FALSE))</f>
        <v/>
      </c>
      <c r="Z44" s="16" t="str">
        <f>IF(ISERROR(VLOOKUP($E44&amp;$F44,Results!$A$2:$G$413,Z$1,FALSE)),"",VLOOKUP($E44&amp;$F44,Results!$A$2:$G$413,Z$1,FALSE))</f>
        <v/>
      </c>
      <c r="AA44" s="16" t="str">
        <f>IF(ISERROR(VLOOKUP($E44&amp;$F44,Results!$A$2:$G$413,AA$1,FALSE)),"",VLOOKUP($E44&amp;$F44,Results!$A$2:$G$413,AA$1,FALSE))</f>
        <v/>
      </c>
      <c r="AB44" s="16" t="str">
        <f>IF(ISERROR(VLOOKUP($E44&amp;$F44,Results!$A$2:$G$413,AB$1,FALSE)),"",VLOOKUP($E44&amp;$F44,Results!$A$2:$G$413,AB$1,FALSE))</f>
        <v/>
      </c>
      <c r="AC44" s="16"/>
      <c r="AD44" s="20" t="str">
        <f>IF(ISERROR(VLOOKUP($AB44&amp;"-"&amp;$F44,Bonuses!$B$1:$G$1000,4,FALSE)),"",INT(VLOOKUP($AB44&amp;"-"&amp;$F44,Bonuses!$B$1:$G$1000,4,FALSE)))</f>
        <v/>
      </c>
      <c r="AE44" s="16" t="str">
        <f>IF(ISERROR(VLOOKUP($AB44&amp;"-"&amp;$F44,Bonuses!$B$1:$G$1000,5,FALSE)),"",IF(VLOOKUP($AB44&amp;"-"&amp;$F44,Bonuses!$B$1:$G$1000,5,FALSE)="","",VLOOKUP($AB44&amp;"-"&amp;$F44,Bonuses!$B$1:$G$1000,6,FALSE)&amp;" yrs, "&amp;VLOOKUP($AB44&amp;"-"&amp;$F44,Bonuses!$B$1:$G$1000,5,FALSE)))</f>
        <v/>
      </c>
    </row>
    <row r="45" spans="1:31" s="21" customFormat="1">
      <c r="A45" s="21" t="s">
        <v>936</v>
      </c>
      <c r="B45" s="21">
        <f t="shared" si="0"/>
        <v>1</v>
      </c>
      <c r="C45" s="21" t="str">
        <f t="shared" si="1"/>
        <v>B</v>
      </c>
      <c r="D45" s="17">
        <f>IF($C45="B",VLOOKUP($A45,Bat!$A$4:$BD$2323,D$1,FALSE),VLOOKUP($A45,Pit!$A$4:$AZ$2261,D$2,FALSE))</f>
        <v>3094</v>
      </c>
      <c r="E45" s="16" t="str">
        <f>IF($C45="B",VLOOKUP($A45,Bat!$A$4:$BD$2323,E$1,FALSE),VLOOKUP($A45,Pit!$A$4:$AZ$2261,E$2,FALSE))</f>
        <v>CF</v>
      </c>
      <c r="F45" s="16" t="str">
        <f>IF($C45="B",VLOOKUP($A45,Bat!$A$4:$BD$2323,F$1,FALSE),VLOOKUP($A45,Pit!$A$4:$AZ$2261,F$2,FALSE))</f>
        <v>Cornell Bradford</v>
      </c>
      <c r="G45" s="16">
        <f>IF($C45="B",VLOOKUP($A45,Bat!$A$4:$BD$2323,G$1,FALSE),VLOOKUP($A45,Pit!$A$4:$AZ$2261,G$2,FALSE))</f>
        <v>21</v>
      </c>
      <c r="H45" s="16" t="str">
        <f>IF($C45="B",VLOOKUP($A45,Bat!$A$4:$BD$2323,H$1,FALSE),VLOOKUP($A45,Pit!$A$4:$AZ$2261,H$2,FALSE))</f>
        <v>R</v>
      </c>
      <c r="I45" s="16" t="str">
        <f>IF($C45="B",VLOOKUP($A45,Bat!$A$4:$BD$2323,I$1,FALSE),VLOOKUP($A45,Pit!$A$4:$AZ$2261,I$2,FALSE))</f>
        <v>R</v>
      </c>
      <c r="J45" s="16" t="str">
        <f>IF($C45="B",VLOOKUP($A45,Bat!$A$4:$BD$2323,J$1,FALSE),VLOOKUP($A45,Pit!$A$4:$AZ$2261,J$2,FALSE))</f>
        <v>Very High</v>
      </c>
      <c r="K45" s="17" t="str">
        <f>IF($C45="B",VLOOKUP($A45,Bat!$A$4:$BD$2323,K$1,FALSE),VLOOKUP($A45,Pit!$A$4:$AZ$2261,K$2,FALSE))</f>
        <v>Normal</v>
      </c>
      <c r="L45" s="16">
        <f>IF($C45="B",VLOOKUP($A45,Bat!$A$4:$BD$2323,L$1,FALSE),VLOOKUP($A45,Pit!$A$4:$AZ$2261,L$2,FALSE))</f>
        <v>5</v>
      </c>
      <c r="M45" s="16">
        <f>IF($C45="B",VLOOKUP($A45,Bat!$A$4:$BD$2323,M$1,FALSE),VLOOKUP($A45,Pit!$A$4:$AZ$2261,M$2,FALSE))</f>
        <v>7</v>
      </c>
      <c r="N45" s="16">
        <f>IF($C45="B",VLOOKUP($A45,Bat!$A$4:$BD$2323,N$1,FALSE),VLOOKUP($A45,Pit!$A$4:$AZ$2261,N$2,FALSE))</f>
        <v>2</v>
      </c>
      <c r="O45" s="16">
        <f>IF($C45="B",VLOOKUP($A45,Bat!$A$4:$BD$2323,O$1,FALSE),VLOOKUP($A45,Pit!$A$4:$AZ$2261,O$2,FALSE))</f>
        <v>5</v>
      </c>
      <c r="P45" s="17">
        <f>IF($C45="B",VLOOKUP($A45,Bat!$A$4:$BD$2323,P$1,FALSE),VLOOKUP($A45,Pit!$A$4:$AZ$2261,P$2,FALSE))</f>
        <v>5</v>
      </c>
      <c r="Q45" s="18">
        <f>IF($C45="B",VLOOKUP($A45,Bat!$A$4:$BD$2323,Q$1,FALSE),VLOOKUP($A45,Pit!$A$4:$AZ$2261,Q$2,FALSE))</f>
        <v>13.482032100592154</v>
      </c>
      <c r="R45" s="19">
        <f>IF($C45="B",VLOOKUP($A45,Bat!$A$4:$BD$2323,R$1,FALSE),VLOOKUP($A45,Pit!$A$4:$AZ$2261,R$2,FALSE))</f>
        <v>0.39114270560995812</v>
      </c>
      <c r="S45" s="20" t="str">
        <f>IF($C45="B",VLOOKUP($A45,Bat!$A$4:$BD$2323,S$1,FALSE),VLOOKUP($A45,Pit!$A$4:$AZ$2261,S$2,FALSE))</f>
        <v>Slot</v>
      </c>
      <c r="T45" s="17" t="str">
        <f>IF(S45="Slot","",VLOOKUP(IF($C45="B",VLOOKUP($A45,Bat!$A$4:$AT$2323,T$1,FALSE),VLOOKUP($A45,Pit!$A$4:$BD$2261,T$2,FALSE)),COND!$A$34:$B$40,2,FALSE))</f>
        <v/>
      </c>
      <c r="U45" s="21">
        <f>IF($C45="B",VLOOKUP($A45,Bat!$A$4:$AR$1287,44,FALSE),VLOOKUP($A45,Pit!$A$4:$BB$1239,54,FALSE))</f>
        <v>41</v>
      </c>
      <c r="W45" s="21">
        <f t="shared" si="2"/>
        <v>41</v>
      </c>
      <c r="X45" s="22" t="e">
        <f t="shared" si="3"/>
        <v>#N/A</v>
      </c>
      <c r="Y45" s="16" t="str">
        <f>IF(ISERROR(VLOOKUP($E45&amp;$F45,Results!$A$2:$G$413,Y$1,FALSE)),"",VLOOKUP($E45&amp;$F45,Results!$A$2:$G$413,Y$1,FALSE))</f>
        <v/>
      </c>
      <c r="Z45" s="16" t="str">
        <f>IF(ISERROR(VLOOKUP($E45&amp;$F45,Results!$A$2:$G$413,Z$1,FALSE)),"",VLOOKUP($E45&amp;$F45,Results!$A$2:$G$413,Z$1,FALSE))</f>
        <v/>
      </c>
      <c r="AA45" s="16" t="str">
        <f>IF(ISERROR(VLOOKUP($E45&amp;$F45,Results!$A$2:$G$413,AA$1,FALSE)),"",VLOOKUP($E45&amp;$F45,Results!$A$2:$G$413,AA$1,FALSE))</f>
        <v/>
      </c>
      <c r="AB45" s="16" t="str">
        <f>IF(ISERROR(VLOOKUP($E45&amp;$F45,Results!$A$2:$G$413,AB$1,FALSE)),"",VLOOKUP($E45&amp;$F45,Results!$A$2:$G$413,AB$1,FALSE))</f>
        <v/>
      </c>
      <c r="AC45" s="16"/>
      <c r="AD45" s="20" t="str">
        <f>IF(ISERROR(VLOOKUP($AB45&amp;"-"&amp;$F45,Bonuses!$B$1:$G$1000,4,FALSE)),"",INT(VLOOKUP($AB45&amp;"-"&amp;$F45,Bonuses!$B$1:$G$1000,4,FALSE)))</f>
        <v/>
      </c>
      <c r="AE45" s="16" t="str">
        <f>IF(ISERROR(VLOOKUP($AB45&amp;"-"&amp;$F45,Bonuses!$B$1:$G$1000,5,FALSE)),"",IF(VLOOKUP($AB45&amp;"-"&amp;$F45,Bonuses!$B$1:$G$1000,5,FALSE)="","",VLOOKUP($AB45&amp;"-"&amp;$F45,Bonuses!$B$1:$G$1000,6,FALSE)&amp;" yrs, "&amp;VLOOKUP($AB45&amp;"-"&amp;$F45,Bonuses!$B$1:$G$1000,5,FALSE)))</f>
        <v/>
      </c>
    </row>
    <row r="46" spans="1:31" s="21" customFormat="1">
      <c r="A46" s="21" t="s">
        <v>928</v>
      </c>
      <c r="B46" s="21">
        <f t="shared" si="0"/>
        <v>1</v>
      </c>
      <c r="C46" s="21" t="str">
        <f t="shared" si="1"/>
        <v>B</v>
      </c>
      <c r="D46" s="17" t="e">
        <f>IF($C46="B",VLOOKUP($A46,Bat!$A$4:$BD$2323,D$1,FALSE),VLOOKUP($A46,Pit!$A$4:$AZ$2261,D$2,FALSE))</f>
        <v>#N/A</v>
      </c>
      <c r="E46" s="16" t="str">
        <f>IF($C46="B",VLOOKUP($A46,Bat!$A$4:$BD$2323,E$1,FALSE),VLOOKUP($A46,Pit!$A$4:$AZ$2261,E$2,FALSE))</f>
        <v>1B</v>
      </c>
      <c r="F46" s="16" t="str">
        <f>IF($C46="B",VLOOKUP($A46,Bat!$A$4:$BD$2323,F$1,FALSE),VLOOKUP($A46,Pit!$A$4:$AZ$2261,F$2,FALSE))</f>
        <v>Juan Rodríguez</v>
      </c>
      <c r="G46" s="16">
        <f>IF($C46="B",VLOOKUP($A46,Bat!$A$4:$BD$2323,G$1,FALSE),VLOOKUP($A46,Pit!$A$4:$AZ$2261,G$2,FALSE))</f>
        <v>21</v>
      </c>
      <c r="H46" s="16" t="str">
        <f>IF($C46="B",VLOOKUP($A46,Bat!$A$4:$BD$2323,H$1,FALSE),VLOOKUP($A46,Pit!$A$4:$AZ$2261,H$2,FALSE))</f>
        <v>R</v>
      </c>
      <c r="I46" s="16" t="str">
        <f>IF($C46="B",VLOOKUP($A46,Bat!$A$4:$BD$2323,I$1,FALSE),VLOOKUP($A46,Pit!$A$4:$AZ$2261,I$2,FALSE))</f>
        <v>R</v>
      </c>
      <c r="J46" s="16" t="str">
        <f>IF($C46="B",VLOOKUP($A46,Bat!$A$4:$BD$2323,J$1,FALSE),VLOOKUP($A46,Pit!$A$4:$AZ$2261,J$2,FALSE))</f>
        <v>Low</v>
      </c>
      <c r="K46" s="17" t="str">
        <f>IF($C46="B",VLOOKUP($A46,Bat!$A$4:$BD$2323,K$1,FALSE),VLOOKUP($A46,Pit!$A$4:$AZ$2261,K$2,FALSE))</f>
        <v>Low</v>
      </c>
      <c r="L46" s="16">
        <f>IF($C46="B",VLOOKUP($A46,Bat!$A$4:$BD$2323,L$1,FALSE),VLOOKUP($A46,Pit!$A$4:$AZ$2261,L$2,FALSE))</f>
        <v>6</v>
      </c>
      <c r="M46" s="16">
        <f>IF($C46="B",VLOOKUP($A46,Bat!$A$4:$BD$2323,M$1,FALSE),VLOOKUP($A46,Pit!$A$4:$AZ$2261,M$2,FALSE))</f>
        <v>7</v>
      </c>
      <c r="N46" s="16">
        <f>IF($C46="B",VLOOKUP($A46,Bat!$A$4:$BD$2323,N$1,FALSE),VLOOKUP($A46,Pit!$A$4:$AZ$2261,N$2,FALSE))</f>
        <v>6</v>
      </c>
      <c r="O46" s="16">
        <f>IF($C46="B",VLOOKUP($A46,Bat!$A$4:$BD$2323,O$1,FALSE),VLOOKUP($A46,Pit!$A$4:$AZ$2261,O$2,FALSE))</f>
        <v>4</v>
      </c>
      <c r="P46" s="17">
        <f>IF($C46="B",VLOOKUP($A46,Bat!$A$4:$BD$2323,P$1,FALSE),VLOOKUP($A46,Pit!$A$4:$AZ$2261,P$2,FALSE))</f>
        <v>5</v>
      </c>
      <c r="Q46" s="18">
        <f>IF($C46="B",VLOOKUP($A46,Bat!$A$4:$BD$2323,Q$1,FALSE),VLOOKUP($A46,Pit!$A$4:$AZ$2261,Q$2,FALSE))</f>
        <v>17.898871270289217</v>
      </c>
      <c r="R46" s="19">
        <f>IF($C46="B",VLOOKUP($A46,Bat!$A$4:$BD$2323,R$1,FALSE),VLOOKUP($A46,Pit!$A$4:$AZ$2261,R$2,FALSE))</f>
        <v>1.0047461372839865</v>
      </c>
      <c r="S46" s="20" t="str">
        <f>IF($C46="B",VLOOKUP($A46,Bat!$A$4:$BD$2323,S$1,FALSE),VLOOKUP($A46,Pit!$A$4:$AZ$2261,S$2,FALSE))</f>
        <v>Slot</v>
      </c>
      <c r="T46" s="17" t="str">
        <f>IF(S46="Slot","",VLOOKUP(IF($C46="B",VLOOKUP($A46,Bat!$A$4:$AT$2323,T$1,FALSE),VLOOKUP($A46,Pit!$A$4:$BD$2261,T$2,FALSE)),COND!$A$34:$B$40,2,FALSE))</f>
        <v/>
      </c>
      <c r="U46" s="21">
        <f>IF($C46="B",VLOOKUP($A46,Bat!$A$4:$AR$1287,44,FALSE),VLOOKUP($A46,Pit!$A$4:$BB$1239,54,FALSE))</f>
        <v>42</v>
      </c>
      <c r="W46" s="21">
        <f t="shared" si="2"/>
        <v>42</v>
      </c>
      <c r="X46" s="22" t="e">
        <f t="shared" si="3"/>
        <v>#N/A</v>
      </c>
      <c r="Y46" s="16" t="str">
        <f>IF(ISERROR(VLOOKUP($E46&amp;$F46,Results!$A$2:$G$413,Y$1,FALSE)),"",VLOOKUP($E46&amp;$F46,Results!$A$2:$G$413,Y$1,FALSE))</f>
        <v/>
      </c>
      <c r="Z46" s="16" t="str">
        <f>IF(ISERROR(VLOOKUP($E46&amp;$F46,Results!$A$2:$G$413,Z$1,FALSE)),"",VLOOKUP($E46&amp;$F46,Results!$A$2:$G$413,Z$1,FALSE))</f>
        <v/>
      </c>
      <c r="AA46" s="16" t="str">
        <f>IF(ISERROR(VLOOKUP($E46&amp;$F46,Results!$A$2:$G$413,AA$1,FALSE)),"",VLOOKUP($E46&amp;$F46,Results!$A$2:$G$413,AA$1,FALSE))</f>
        <v/>
      </c>
      <c r="AB46" s="16" t="str">
        <f>IF(ISERROR(VLOOKUP($E46&amp;$F46,Results!$A$2:$G$413,AB$1,FALSE)),"",VLOOKUP($E46&amp;$F46,Results!$A$2:$G$413,AB$1,FALSE))</f>
        <v/>
      </c>
      <c r="AC46" s="16"/>
      <c r="AD46" s="20" t="str">
        <f>IF(ISERROR(VLOOKUP($AB46&amp;"-"&amp;$F46,Bonuses!$B$1:$G$1000,4,FALSE)),"",INT(VLOOKUP($AB46&amp;"-"&amp;$F46,Bonuses!$B$1:$G$1000,4,FALSE)))</f>
        <v/>
      </c>
      <c r="AE46" s="16" t="str">
        <f>IF(ISERROR(VLOOKUP($AB46&amp;"-"&amp;$F46,Bonuses!$B$1:$G$1000,5,FALSE)),"",IF(VLOOKUP($AB46&amp;"-"&amp;$F46,Bonuses!$B$1:$G$1000,5,FALSE)="","",VLOOKUP($AB46&amp;"-"&amp;$F46,Bonuses!$B$1:$G$1000,6,FALSE)&amp;" yrs, "&amp;VLOOKUP($AB46&amp;"-"&amp;$F46,Bonuses!$B$1:$G$1000,5,FALSE)))</f>
        <v/>
      </c>
    </row>
    <row r="47" spans="1:31" s="21" customFormat="1">
      <c r="A47" s="21" t="s">
        <v>925</v>
      </c>
      <c r="B47" s="21">
        <f t="shared" si="0"/>
        <v>1</v>
      </c>
      <c r="C47" s="21" t="str">
        <f t="shared" si="1"/>
        <v>B</v>
      </c>
      <c r="D47" s="17">
        <f>IF($C47="B",VLOOKUP($A47,Bat!$A$4:$BD$2323,D$1,FALSE),VLOOKUP($A47,Pit!$A$4:$AZ$2261,D$2,FALSE))</f>
        <v>3993</v>
      </c>
      <c r="E47" s="16" t="str">
        <f>IF($C47="B",VLOOKUP($A47,Bat!$A$4:$BD$2323,E$1,FALSE),VLOOKUP($A47,Pit!$A$4:$AZ$2261,E$2,FALSE))</f>
        <v>LF</v>
      </c>
      <c r="F47" s="16" t="str">
        <f>IF($C47="B",VLOOKUP($A47,Bat!$A$4:$BD$2323,F$1,FALSE),VLOOKUP($A47,Pit!$A$4:$AZ$2261,F$2,FALSE))</f>
        <v>Tom Gilmore</v>
      </c>
      <c r="G47" s="16">
        <f>IF($C47="B",VLOOKUP($A47,Bat!$A$4:$BD$2323,G$1,FALSE),VLOOKUP($A47,Pit!$A$4:$AZ$2261,G$2,FALSE))</f>
        <v>21</v>
      </c>
      <c r="H47" s="16" t="str">
        <f>IF($C47="B",VLOOKUP($A47,Bat!$A$4:$BD$2323,H$1,FALSE),VLOOKUP($A47,Pit!$A$4:$AZ$2261,H$2,FALSE))</f>
        <v>L</v>
      </c>
      <c r="I47" s="16" t="str">
        <f>IF($C47="B",VLOOKUP($A47,Bat!$A$4:$BD$2323,I$1,FALSE),VLOOKUP($A47,Pit!$A$4:$AZ$2261,I$2,FALSE))</f>
        <v>L</v>
      </c>
      <c r="J47" s="16" t="str">
        <f>IF($C47="B",VLOOKUP($A47,Bat!$A$4:$BD$2323,J$1,FALSE),VLOOKUP($A47,Pit!$A$4:$AZ$2261,J$2,FALSE))</f>
        <v>High</v>
      </c>
      <c r="K47" s="17" t="str">
        <f>IF($C47="B",VLOOKUP($A47,Bat!$A$4:$BD$2323,K$1,FALSE),VLOOKUP($A47,Pit!$A$4:$AZ$2261,K$2,FALSE))</f>
        <v>Normal</v>
      </c>
      <c r="L47" s="16">
        <f>IF($C47="B",VLOOKUP($A47,Bat!$A$4:$BD$2323,L$1,FALSE),VLOOKUP($A47,Pit!$A$4:$AZ$2261,L$2,FALSE))</f>
        <v>6</v>
      </c>
      <c r="M47" s="16">
        <f>IF($C47="B",VLOOKUP($A47,Bat!$A$4:$BD$2323,M$1,FALSE),VLOOKUP($A47,Pit!$A$4:$AZ$2261,M$2,FALSE))</f>
        <v>7</v>
      </c>
      <c r="N47" s="16">
        <f>IF($C47="B",VLOOKUP($A47,Bat!$A$4:$BD$2323,N$1,FALSE),VLOOKUP($A47,Pit!$A$4:$AZ$2261,N$2,FALSE))</f>
        <v>4</v>
      </c>
      <c r="O47" s="16">
        <f>IF($C47="B",VLOOKUP($A47,Bat!$A$4:$BD$2323,O$1,FALSE),VLOOKUP($A47,Pit!$A$4:$AZ$2261,O$2,FALSE))</f>
        <v>4</v>
      </c>
      <c r="P47" s="17">
        <f>IF($C47="B",VLOOKUP($A47,Bat!$A$4:$BD$2323,P$1,FALSE),VLOOKUP($A47,Pit!$A$4:$AZ$2261,P$2,FALSE))</f>
        <v>4</v>
      </c>
      <c r="Q47" s="18">
        <f>IF($C47="B",VLOOKUP($A47,Bat!$A$4:$BD$2323,Q$1,FALSE),VLOOKUP($A47,Pit!$A$4:$AZ$2261,Q$2,FALSE))</f>
        <v>16.858202024210147</v>
      </c>
      <c r="R47" s="19">
        <f>IF($C47="B",VLOOKUP($A47,Bat!$A$4:$BD$2323,R$1,FALSE),VLOOKUP($A47,Pit!$A$4:$AZ$2261,R$2,FALSE))</f>
        <v>0.86017256417026655</v>
      </c>
      <c r="S47" s="20" t="str">
        <f>IF($C47="B",VLOOKUP($A47,Bat!$A$4:$BD$2323,S$1,FALSE),VLOOKUP($A47,Pit!$A$4:$AZ$2261,S$2,FALSE))</f>
        <v>Slot</v>
      </c>
      <c r="T47" s="17" t="str">
        <f>IF(S47="Slot","",VLOOKUP(IF($C47="B",VLOOKUP($A47,Bat!$A$4:$AT$2323,T$1,FALSE),VLOOKUP($A47,Pit!$A$4:$BD$2261,T$2,FALSE)),COND!$A$34:$B$40,2,FALSE))</f>
        <v/>
      </c>
      <c r="U47" s="21">
        <f>IF($C47="B",VLOOKUP($A47,Bat!$A$4:$AR$1287,44,FALSE),VLOOKUP($A47,Pit!$A$4:$BB$1239,54,FALSE))</f>
        <v>43</v>
      </c>
      <c r="W47" s="21">
        <f t="shared" si="2"/>
        <v>43</v>
      </c>
      <c r="X47" s="22" t="e">
        <f t="shared" si="3"/>
        <v>#N/A</v>
      </c>
      <c r="Y47" s="16" t="str">
        <f>IF(ISERROR(VLOOKUP($E47&amp;$F47,Results!$A$2:$G$413,Y$1,FALSE)),"",VLOOKUP($E47&amp;$F47,Results!$A$2:$G$413,Y$1,FALSE))</f>
        <v/>
      </c>
      <c r="Z47" s="16" t="str">
        <f>IF(ISERROR(VLOOKUP($E47&amp;$F47,Results!$A$2:$G$413,Z$1,FALSE)),"",VLOOKUP($E47&amp;$F47,Results!$A$2:$G$413,Z$1,FALSE))</f>
        <v/>
      </c>
      <c r="AA47" s="16" t="str">
        <f>IF(ISERROR(VLOOKUP($E47&amp;$F47,Results!$A$2:$G$413,AA$1,FALSE)),"",VLOOKUP($E47&amp;$F47,Results!$A$2:$G$413,AA$1,FALSE))</f>
        <v/>
      </c>
      <c r="AB47" s="16" t="str">
        <f>IF(ISERROR(VLOOKUP($E47&amp;$F47,Results!$A$2:$G$413,AB$1,FALSE)),"",VLOOKUP($E47&amp;$F47,Results!$A$2:$G$413,AB$1,FALSE))</f>
        <v/>
      </c>
      <c r="AC47" s="16"/>
      <c r="AD47" s="20" t="str">
        <f>IF(ISERROR(VLOOKUP($AB47&amp;"-"&amp;$F47,Bonuses!$B$1:$G$1000,4,FALSE)),"",INT(VLOOKUP($AB47&amp;"-"&amp;$F47,Bonuses!$B$1:$G$1000,4,FALSE)))</f>
        <v/>
      </c>
      <c r="AE47" s="16" t="str">
        <f>IF(ISERROR(VLOOKUP($AB47&amp;"-"&amp;$F47,Bonuses!$B$1:$G$1000,5,FALSE)),"",IF(VLOOKUP($AB47&amp;"-"&amp;$F47,Bonuses!$B$1:$G$1000,5,FALSE)="","",VLOOKUP($AB47&amp;"-"&amp;$F47,Bonuses!$B$1:$G$1000,6,FALSE)&amp;" yrs, "&amp;VLOOKUP($AB47&amp;"-"&amp;$F47,Bonuses!$B$1:$G$1000,5,FALSE)))</f>
        <v/>
      </c>
    </row>
    <row r="48" spans="1:31" s="21" customFormat="1">
      <c r="A48" s="21" t="s">
        <v>949</v>
      </c>
      <c r="B48" s="21">
        <f t="shared" si="0"/>
        <v>1</v>
      </c>
      <c r="C48" s="21" t="str">
        <f t="shared" si="1"/>
        <v>B</v>
      </c>
      <c r="D48" s="17" t="e">
        <f>IF($C48="B",VLOOKUP($A48,Bat!$A$4:$BD$2323,D$1,FALSE),VLOOKUP($A48,Pit!$A$4:$AZ$2261,D$2,FALSE))</f>
        <v>#N/A</v>
      </c>
      <c r="E48" s="16" t="e">
        <f>IF($C48="B",VLOOKUP($A48,Bat!$A$4:$BD$2323,E$1,FALSE),VLOOKUP($A48,Pit!$A$4:$AZ$2261,E$2,FALSE))</f>
        <v>#N/A</v>
      </c>
      <c r="F48" s="16" t="e">
        <f>IF($C48="B",VLOOKUP($A48,Bat!$A$4:$BD$2323,F$1,FALSE),VLOOKUP($A48,Pit!$A$4:$AZ$2261,F$2,FALSE))</f>
        <v>#N/A</v>
      </c>
      <c r="G48" s="16" t="e">
        <f>IF($C48="B",VLOOKUP($A48,Bat!$A$4:$BD$2323,G$1,FALSE),VLOOKUP($A48,Pit!$A$4:$AZ$2261,G$2,FALSE))</f>
        <v>#N/A</v>
      </c>
      <c r="H48" s="16" t="e">
        <f>IF($C48="B",VLOOKUP($A48,Bat!$A$4:$BD$2323,H$1,FALSE),VLOOKUP($A48,Pit!$A$4:$AZ$2261,H$2,FALSE))</f>
        <v>#N/A</v>
      </c>
      <c r="I48" s="16" t="e">
        <f>IF($C48="B",VLOOKUP($A48,Bat!$A$4:$BD$2323,I$1,FALSE),VLOOKUP($A48,Pit!$A$4:$AZ$2261,I$2,FALSE))</f>
        <v>#N/A</v>
      </c>
      <c r="J48" s="16" t="e">
        <f>IF($C48="B",VLOOKUP($A48,Bat!$A$4:$BD$2323,J$1,FALSE),VLOOKUP($A48,Pit!$A$4:$AZ$2261,J$2,FALSE))</f>
        <v>#N/A</v>
      </c>
      <c r="K48" s="17" t="e">
        <f>IF($C48="B",VLOOKUP($A48,Bat!$A$4:$BD$2323,K$1,FALSE),VLOOKUP($A48,Pit!$A$4:$AZ$2261,K$2,FALSE))</f>
        <v>#N/A</v>
      </c>
      <c r="L48" s="16" t="e">
        <f>IF($C48="B",VLOOKUP($A48,Bat!$A$4:$BD$2323,L$1,FALSE),VLOOKUP($A48,Pit!$A$4:$AZ$2261,L$2,FALSE))</f>
        <v>#N/A</v>
      </c>
      <c r="M48" s="16" t="e">
        <f>IF($C48="B",VLOOKUP($A48,Bat!$A$4:$BD$2323,M$1,FALSE),VLOOKUP($A48,Pit!$A$4:$AZ$2261,M$2,FALSE))</f>
        <v>#N/A</v>
      </c>
      <c r="N48" s="16" t="e">
        <f>IF($C48="B",VLOOKUP($A48,Bat!$A$4:$BD$2323,N$1,FALSE),VLOOKUP($A48,Pit!$A$4:$AZ$2261,N$2,FALSE))</f>
        <v>#N/A</v>
      </c>
      <c r="O48" s="16" t="e">
        <f>IF($C48="B",VLOOKUP($A48,Bat!$A$4:$BD$2323,O$1,FALSE),VLOOKUP($A48,Pit!$A$4:$AZ$2261,O$2,FALSE))</f>
        <v>#N/A</v>
      </c>
      <c r="P48" s="17" t="e">
        <f>IF($C48="B",VLOOKUP($A48,Bat!$A$4:$BD$2323,P$1,FALSE),VLOOKUP($A48,Pit!$A$4:$AZ$2261,P$2,FALSE))</f>
        <v>#N/A</v>
      </c>
      <c r="Q48" s="18" t="e">
        <f>IF($C48="B",VLOOKUP($A48,Bat!$A$4:$BD$2323,Q$1,FALSE),VLOOKUP($A48,Pit!$A$4:$AZ$2261,Q$2,FALSE))</f>
        <v>#N/A</v>
      </c>
      <c r="R48" s="19" t="e">
        <f>IF($C48="B",VLOOKUP($A48,Bat!$A$4:$BD$2323,R$1,FALSE),VLOOKUP($A48,Pit!$A$4:$AZ$2261,R$2,FALSE))</f>
        <v>#N/A</v>
      </c>
      <c r="S48" s="20" t="e">
        <f>IF($C48="B",VLOOKUP($A48,Bat!$A$4:$BD$2323,S$1,FALSE),VLOOKUP($A48,Pit!$A$4:$AZ$2261,S$2,FALSE))</f>
        <v>#N/A</v>
      </c>
      <c r="T48" s="17" t="e">
        <f>IF(S48="Slot","",VLOOKUP(IF($C48="B",VLOOKUP($A48,Bat!$A$4:$AT$2323,T$1,FALSE),VLOOKUP($A48,Pit!$A$4:$BD$2261,T$2,FALSE)),COND!$A$34:$B$40,2,FALSE))</f>
        <v>#N/A</v>
      </c>
      <c r="U48" s="21" t="e">
        <f>IF($C48="B",VLOOKUP($A48,Bat!$A$4:$AR$1287,44,FALSE),VLOOKUP($A48,Pit!$A$4:$BB$1239,54,FALSE))</f>
        <v>#N/A</v>
      </c>
      <c r="W48" s="21" t="e">
        <f t="shared" si="2"/>
        <v>#N/A</v>
      </c>
      <c r="X48" s="22" t="e">
        <f t="shared" si="3"/>
        <v>#N/A</v>
      </c>
      <c r="Y48" s="16" t="str">
        <f>IF(ISERROR(VLOOKUP($E48&amp;$F48,Results!$A$2:$G$413,Y$1,FALSE)),"",VLOOKUP($E48&amp;$F48,Results!$A$2:$G$413,Y$1,FALSE))</f>
        <v/>
      </c>
      <c r="Z48" s="16" t="str">
        <f>IF(ISERROR(VLOOKUP($E48&amp;$F48,Results!$A$2:$G$413,Z$1,FALSE)),"",VLOOKUP($E48&amp;$F48,Results!$A$2:$G$413,Z$1,FALSE))</f>
        <v/>
      </c>
      <c r="AA48" s="16" t="str">
        <f>IF(ISERROR(VLOOKUP($E48&amp;$F48,Results!$A$2:$G$413,AA$1,FALSE)),"",VLOOKUP($E48&amp;$F48,Results!$A$2:$G$413,AA$1,FALSE))</f>
        <v/>
      </c>
      <c r="AB48" s="16" t="str">
        <f>IF(ISERROR(VLOOKUP($E48&amp;$F48,Results!$A$2:$G$413,AB$1,FALSE)),"",VLOOKUP($E48&amp;$F48,Results!$A$2:$G$413,AB$1,FALSE))</f>
        <v/>
      </c>
      <c r="AC48" s="16"/>
      <c r="AD48" s="20" t="str">
        <f>IF(ISERROR(VLOOKUP($AB48&amp;"-"&amp;$F48,Bonuses!$B$1:$G$1000,4,FALSE)),"",INT(VLOOKUP($AB48&amp;"-"&amp;$F48,Bonuses!$B$1:$G$1000,4,FALSE)))</f>
        <v/>
      </c>
      <c r="AE48" s="16" t="str">
        <f>IF(ISERROR(VLOOKUP($AB48&amp;"-"&amp;$F48,Bonuses!$B$1:$G$1000,5,FALSE)),"",IF(VLOOKUP($AB48&amp;"-"&amp;$F48,Bonuses!$B$1:$G$1000,5,FALSE)="","",VLOOKUP($AB48&amp;"-"&amp;$F48,Bonuses!$B$1:$G$1000,6,FALSE)&amp;" yrs, "&amp;VLOOKUP($AB48&amp;"-"&amp;$F48,Bonuses!$B$1:$G$1000,5,FALSE)))</f>
        <v/>
      </c>
    </row>
    <row r="49" spans="1:31" s="21" customFormat="1">
      <c r="A49" s="21" t="s">
        <v>914</v>
      </c>
      <c r="B49" s="21">
        <f t="shared" si="0"/>
        <v>1</v>
      </c>
      <c r="C49" s="21" t="str">
        <f t="shared" si="1"/>
        <v>B</v>
      </c>
      <c r="D49" s="17">
        <f>IF($C49="B",VLOOKUP($A49,Bat!$A$4:$BD$2323,D$1,FALSE),VLOOKUP($A49,Pit!$A$4:$AZ$2261,D$2,FALSE))</f>
        <v>13822</v>
      </c>
      <c r="E49" s="16" t="str">
        <f>IF($C49="B",VLOOKUP($A49,Bat!$A$4:$BD$2323,E$1,FALSE),VLOOKUP($A49,Pit!$A$4:$AZ$2261,E$2,FALSE))</f>
        <v>3B</v>
      </c>
      <c r="F49" s="16" t="str">
        <f>IF($C49="B",VLOOKUP($A49,Bat!$A$4:$BD$2323,F$1,FALSE),VLOOKUP($A49,Pit!$A$4:$AZ$2261,F$2,FALSE))</f>
        <v>Nelson Cardenas</v>
      </c>
      <c r="G49" s="16">
        <f>IF($C49="B",VLOOKUP($A49,Bat!$A$4:$BD$2323,G$1,FALSE),VLOOKUP($A49,Pit!$A$4:$AZ$2261,G$2,FALSE))</f>
        <v>18</v>
      </c>
      <c r="H49" s="16" t="str">
        <f>IF($C49="B",VLOOKUP($A49,Bat!$A$4:$BD$2323,H$1,FALSE),VLOOKUP($A49,Pit!$A$4:$AZ$2261,H$2,FALSE))</f>
        <v>R</v>
      </c>
      <c r="I49" s="16" t="str">
        <f>IF($C49="B",VLOOKUP($A49,Bat!$A$4:$BD$2323,I$1,FALSE),VLOOKUP($A49,Pit!$A$4:$AZ$2261,I$2,FALSE))</f>
        <v>R</v>
      </c>
      <c r="J49" s="16" t="str">
        <f>IF($C49="B",VLOOKUP($A49,Bat!$A$4:$BD$2323,J$1,FALSE),VLOOKUP($A49,Pit!$A$4:$AZ$2261,J$2,FALSE))</f>
        <v>Normal</v>
      </c>
      <c r="K49" s="17" t="str">
        <f>IF($C49="B",VLOOKUP($A49,Bat!$A$4:$BD$2323,K$1,FALSE),VLOOKUP($A49,Pit!$A$4:$AZ$2261,K$2,FALSE))</f>
        <v>High</v>
      </c>
      <c r="L49" s="16">
        <f>IF($C49="B",VLOOKUP($A49,Bat!$A$4:$BD$2323,L$1,FALSE),VLOOKUP($A49,Pit!$A$4:$AZ$2261,L$2,FALSE))</f>
        <v>6</v>
      </c>
      <c r="M49" s="16">
        <f>IF($C49="B",VLOOKUP($A49,Bat!$A$4:$BD$2323,M$1,FALSE),VLOOKUP($A49,Pit!$A$4:$AZ$2261,M$2,FALSE))</f>
        <v>9</v>
      </c>
      <c r="N49" s="16">
        <f>IF($C49="B",VLOOKUP($A49,Bat!$A$4:$BD$2323,N$1,FALSE),VLOOKUP($A49,Pit!$A$4:$AZ$2261,N$2,FALSE))</f>
        <v>7</v>
      </c>
      <c r="O49" s="16">
        <f>IF($C49="B",VLOOKUP($A49,Bat!$A$4:$BD$2323,O$1,FALSE),VLOOKUP($A49,Pit!$A$4:$AZ$2261,O$2,FALSE))</f>
        <v>5</v>
      </c>
      <c r="P49" s="17">
        <f>IF($C49="B",VLOOKUP($A49,Bat!$A$4:$BD$2323,P$1,FALSE),VLOOKUP($A49,Pit!$A$4:$AZ$2261,P$2,FALSE))</f>
        <v>4</v>
      </c>
      <c r="Q49" s="18">
        <f>IF($C49="B",VLOOKUP($A49,Bat!$A$4:$BD$2323,Q$1,FALSE),VLOOKUP($A49,Pit!$A$4:$AZ$2261,Q$2,FALSE))</f>
        <v>20.866724274200067</v>
      </c>
      <c r="R49" s="19">
        <f>IF($C49="B",VLOOKUP($A49,Bat!$A$4:$BD$2323,R$1,FALSE),VLOOKUP($A49,Pit!$A$4:$AZ$2261,R$2,FALSE))</f>
        <v>1.4170511178225182</v>
      </c>
      <c r="S49" s="20" t="str">
        <f>IF($C49="B",VLOOKUP($A49,Bat!$A$4:$BD$2323,S$1,FALSE),VLOOKUP($A49,Pit!$A$4:$AZ$2261,S$2,FALSE))</f>
        <v>Slot</v>
      </c>
      <c r="T49" s="17" t="str">
        <f>IF(S49="Slot","",VLOOKUP(IF($C49="B",VLOOKUP($A49,Bat!$A$4:$AT$2323,T$1,FALSE),VLOOKUP($A49,Pit!$A$4:$BD$2261,T$2,FALSE)),COND!$A$34:$B$40,2,FALSE))</f>
        <v/>
      </c>
      <c r="U49" s="21">
        <f>IF($C49="B",VLOOKUP($A49,Bat!$A$4:$AR$1287,44,FALSE),VLOOKUP($A49,Pit!$A$4:$BB$1239,54,FALSE))</f>
        <v>45</v>
      </c>
      <c r="W49" s="21">
        <f t="shared" si="2"/>
        <v>45</v>
      </c>
      <c r="X49" s="22" t="e">
        <f t="shared" si="3"/>
        <v>#N/A</v>
      </c>
      <c r="Y49" s="16" t="str">
        <f>IF(ISERROR(VLOOKUP($E49&amp;$F49,Results!$A$2:$G$413,Y$1,FALSE)),"",VLOOKUP($E49&amp;$F49,Results!$A$2:$G$413,Y$1,FALSE))</f>
        <v/>
      </c>
      <c r="Z49" s="16" t="str">
        <f>IF(ISERROR(VLOOKUP($E49&amp;$F49,Results!$A$2:$G$413,Z$1,FALSE)),"",VLOOKUP($E49&amp;$F49,Results!$A$2:$G$413,Z$1,FALSE))</f>
        <v/>
      </c>
      <c r="AA49" s="16" t="str">
        <f>IF(ISERROR(VLOOKUP($E49&amp;$F49,Results!$A$2:$G$413,AA$1,FALSE)),"",VLOOKUP($E49&amp;$F49,Results!$A$2:$G$413,AA$1,FALSE))</f>
        <v/>
      </c>
      <c r="AB49" s="16" t="str">
        <f>IF(ISERROR(VLOOKUP($E49&amp;$F49,Results!$A$2:$G$413,AB$1,FALSE)),"",VLOOKUP($E49&amp;$F49,Results!$A$2:$G$413,AB$1,FALSE))</f>
        <v/>
      </c>
      <c r="AC49" s="16"/>
      <c r="AD49" s="20" t="str">
        <f>IF(ISERROR(VLOOKUP($AB49&amp;"-"&amp;$F49,Bonuses!$B$1:$G$1000,4,FALSE)),"",INT(VLOOKUP($AB49&amp;"-"&amp;$F49,Bonuses!$B$1:$G$1000,4,FALSE)))</f>
        <v/>
      </c>
      <c r="AE49" s="16" t="str">
        <f>IF(ISERROR(VLOOKUP($AB49&amp;"-"&amp;$F49,Bonuses!$B$1:$G$1000,5,FALSE)),"",IF(VLOOKUP($AB49&amp;"-"&amp;$F49,Bonuses!$B$1:$G$1000,5,FALSE)="","",VLOOKUP($AB49&amp;"-"&amp;$F49,Bonuses!$B$1:$G$1000,6,FALSE)&amp;" yrs, "&amp;VLOOKUP($AB49&amp;"-"&amp;$F49,Bonuses!$B$1:$G$1000,5,FALSE)))</f>
        <v/>
      </c>
    </row>
    <row r="50" spans="1:31" s="21" customFormat="1">
      <c r="A50" s="21" t="s">
        <v>956</v>
      </c>
      <c r="B50" s="21">
        <f t="shared" si="0"/>
        <v>1</v>
      </c>
      <c r="C50" s="21" t="str">
        <f t="shared" si="1"/>
        <v>B</v>
      </c>
      <c r="D50" s="17">
        <f>IF($C50="B",VLOOKUP($A50,Bat!$A$4:$BD$2323,D$1,FALSE),VLOOKUP($A50,Pit!$A$4:$AZ$2261,D$2,FALSE))</f>
        <v>3391</v>
      </c>
      <c r="E50" s="16" t="str">
        <f>IF($C50="B",VLOOKUP($A50,Bat!$A$4:$BD$2323,E$1,FALSE),VLOOKUP($A50,Pit!$A$4:$AZ$2261,E$2,FALSE))</f>
        <v>SS</v>
      </c>
      <c r="F50" s="16" t="str">
        <f>IF($C50="B",VLOOKUP($A50,Bat!$A$4:$BD$2323,F$1,FALSE),VLOOKUP($A50,Pit!$A$4:$AZ$2261,F$2,FALSE))</f>
        <v>Dan Bailey</v>
      </c>
      <c r="G50" s="16">
        <f>IF($C50="B",VLOOKUP($A50,Bat!$A$4:$BD$2323,G$1,FALSE),VLOOKUP($A50,Pit!$A$4:$AZ$2261,G$2,FALSE))</f>
        <v>21</v>
      </c>
      <c r="H50" s="16" t="str">
        <f>IF($C50="B",VLOOKUP($A50,Bat!$A$4:$BD$2323,H$1,FALSE),VLOOKUP($A50,Pit!$A$4:$AZ$2261,H$2,FALSE))</f>
        <v>R</v>
      </c>
      <c r="I50" s="16" t="str">
        <f>IF($C50="B",VLOOKUP($A50,Bat!$A$4:$BD$2323,I$1,FALSE),VLOOKUP($A50,Pit!$A$4:$AZ$2261,I$2,FALSE))</f>
        <v>R</v>
      </c>
      <c r="J50" s="16" t="str">
        <f>IF($C50="B",VLOOKUP($A50,Bat!$A$4:$BD$2323,J$1,FALSE),VLOOKUP($A50,Pit!$A$4:$AZ$2261,J$2,FALSE))</f>
        <v>Low</v>
      </c>
      <c r="K50" s="17" t="str">
        <f>IF($C50="B",VLOOKUP($A50,Bat!$A$4:$BD$2323,K$1,FALSE),VLOOKUP($A50,Pit!$A$4:$AZ$2261,K$2,FALSE))</f>
        <v>High</v>
      </c>
      <c r="L50" s="16">
        <f>IF($C50="B",VLOOKUP($A50,Bat!$A$4:$BD$2323,L$1,FALSE),VLOOKUP($A50,Pit!$A$4:$AZ$2261,L$2,FALSE))</f>
        <v>4</v>
      </c>
      <c r="M50" s="16">
        <f>IF($C50="B",VLOOKUP($A50,Bat!$A$4:$BD$2323,M$1,FALSE),VLOOKUP($A50,Pit!$A$4:$AZ$2261,M$2,FALSE))</f>
        <v>7</v>
      </c>
      <c r="N50" s="16">
        <f>IF($C50="B",VLOOKUP($A50,Bat!$A$4:$BD$2323,N$1,FALSE),VLOOKUP($A50,Pit!$A$4:$AZ$2261,N$2,FALSE))</f>
        <v>2</v>
      </c>
      <c r="O50" s="16">
        <f>IF($C50="B",VLOOKUP($A50,Bat!$A$4:$BD$2323,O$1,FALSE),VLOOKUP($A50,Pit!$A$4:$AZ$2261,O$2,FALSE))</f>
        <v>6</v>
      </c>
      <c r="P50" s="17">
        <f>IF($C50="B",VLOOKUP($A50,Bat!$A$4:$BD$2323,P$1,FALSE),VLOOKUP($A50,Pit!$A$4:$AZ$2261,P$2,FALSE))</f>
        <v>4</v>
      </c>
      <c r="Q50" s="18">
        <f>IF($C50="B",VLOOKUP($A50,Bat!$A$4:$BD$2323,Q$1,FALSE),VLOOKUP($A50,Pit!$A$4:$AZ$2261,Q$2,FALSE))</f>
        <v>10.445155166014327</v>
      </c>
      <c r="R50" s="19">
        <f>IF($C50="B",VLOOKUP($A50,Bat!$A$4:$BD$2323,R$1,FALSE),VLOOKUP($A50,Pit!$A$4:$AZ$2261,R$2,FALSE))</f>
        <v>-3.0751331513532116E-2</v>
      </c>
      <c r="S50" s="20" t="str">
        <f>IF($C50="B",VLOOKUP($A50,Bat!$A$4:$BD$2323,S$1,FALSE),VLOOKUP($A50,Pit!$A$4:$AZ$2261,S$2,FALSE))</f>
        <v>Slot</v>
      </c>
      <c r="T50" s="17" t="str">
        <f>IF(S50="Slot","",VLOOKUP(IF($C50="B",VLOOKUP($A50,Bat!$A$4:$AT$2323,T$1,FALSE),VLOOKUP($A50,Pit!$A$4:$BD$2261,T$2,FALSE)),COND!$A$34:$B$40,2,FALSE))</f>
        <v/>
      </c>
      <c r="U50" s="21">
        <f>IF($C50="B",VLOOKUP($A50,Bat!$A$4:$AR$1287,44,FALSE),VLOOKUP($A50,Pit!$A$4:$BB$1239,54,FALSE))</f>
        <v>46</v>
      </c>
      <c r="W50" s="21">
        <f t="shared" si="2"/>
        <v>46</v>
      </c>
      <c r="X50" s="22" t="e">
        <f t="shared" si="3"/>
        <v>#N/A</v>
      </c>
      <c r="Y50" s="16" t="str">
        <f>IF(ISERROR(VLOOKUP($E50&amp;$F50,Results!$A$2:$G$413,Y$1,FALSE)),"",VLOOKUP($E50&amp;$F50,Results!$A$2:$G$413,Y$1,FALSE))</f>
        <v/>
      </c>
      <c r="Z50" s="16" t="str">
        <f>IF(ISERROR(VLOOKUP($E50&amp;$F50,Results!$A$2:$G$413,Z$1,FALSE)),"",VLOOKUP($E50&amp;$F50,Results!$A$2:$G$413,Z$1,FALSE))</f>
        <v/>
      </c>
      <c r="AA50" s="16" t="str">
        <f>IF(ISERROR(VLOOKUP($E50&amp;$F50,Results!$A$2:$G$413,AA$1,FALSE)),"",VLOOKUP($E50&amp;$F50,Results!$A$2:$G$413,AA$1,FALSE))</f>
        <v/>
      </c>
      <c r="AB50" s="16" t="str">
        <f>IF(ISERROR(VLOOKUP($E50&amp;$F50,Results!$A$2:$G$413,AB$1,FALSE)),"",VLOOKUP($E50&amp;$F50,Results!$A$2:$G$413,AB$1,FALSE))</f>
        <v/>
      </c>
      <c r="AC50" s="16"/>
      <c r="AD50" s="20" t="str">
        <f>IF(ISERROR(VLOOKUP($AB50&amp;"-"&amp;$F50,Bonuses!$B$1:$G$1000,4,FALSE)),"",INT(VLOOKUP($AB50&amp;"-"&amp;$F50,Bonuses!$B$1:$G$1000,4,FALSE)))</f>
        <v/>
      </c>
      <c r="AE50" s="16" t="str">
        <f>IF(ISERROR(VLOOKUP($AB50&amp;"-"&amp;$F50,Bonuses!$B$1:$G$1000,5,FALSE)),"",IF(VLOOKUP($AB50&amp;"-"&amp;$F50,Bonuses!$B$1:$G$1000,5,FALSE)="","",VLOOKUP($AB50&amp;"-"&amp;$F50,Bonuses!$B$1:$G$1000,6,FALSE)&amp;" yrs, "&amp;VLOOKUP($AB50&amp;"-"&amp;$F50,Bonuses!$B$1:$G$1000,5,FALSE)))</f>
        <v/>
      </c>
    </row>
    <row r="51" spans="1:31" s="21" customFormat="1">
      <c r="A51" s="21" t="s">
        <v>967</v>
      </c>
      <c r="B51" s="21">
        <f t="shared" si="0"/>
        <v>1</v>
      </c>
      <c r="C51" s="21" t="str">
        <f t="shared" si="1"/>
        <v>B</v>
      </c>
      <c r="D51" s="17" t="e">
        <f>IF($C51="B",VLOOKUP($A51,Bat!$A$4:$BD$2323,D$1,FALSE),VLOOKUP($A51,Pit!$A$4:$AZ$2261,D$2,FALSE))</f>
        <v>#N/A</v>
      </c>
      <c r="E51" s="16" t="e">
        <f>IF($C51="B",VLOOKUP($A51,Bat!$A$4:$BD$2323,E$1,FALSE),VLOOKUP($A51,Pit!$A$4:$AZ$2261,E$2,FALSE))</f>
        <v>#N/A</v>
      </c>
      <c r="F51" s="16" t="e">
        <f>IF($C51="B",VLOOKUP($A51,Bat!$A$4:$BD$2323,F$1,FALSE),VLOOKUP($A51,Pit!$A$4:$AZ$2261,F$2,FALSE))</f>
        <v>#N/A</v>
      </c>
      <c r="G51" s="16" t="e">
        <f>IF($C51="B",VLOOKUP($A51,Bat!$A$4:$BD$2323,G$1,FALSE),VLOOKUP($A51,Pit!$A$4:$AZ$2261,G$2,FALSE))</f>
        <v>#N/A</v>
      </c>
      <c r="H51" s="16" t="e">
        <f>IF($C51="B",VLOOKUP($A51,Bat!$A$4:$BD$2323,H$1,FALSE),VLOOKUP($A51,Pit!$A$4:$AZ$2261,H$2,FALSE))</f>
        <v>#N/A</v>
      </c>
      <c r="I51" s="16" t="e">
        <f>IF($C51="B",VLOOKUP($A51,Bat!$A$4:$BD$2323,I$1,FALSE),VLOOKUP($A51,Pit!$A$4:$AZ$2261,I$2,FALSE))</f>
        <v>#N/A</v>
      </c>
      <c r="J51" s="16" t="e">
        <f>IF($C51="B",VLOOKUP($A51,Bat!$A$4:$BD$2323,J$1,FALSE),VLOOKUP($A51,Pit!$A$4:$AZ$2261,J$2,FALSE))</f>
        <v>#N/A</v>
      </c>
      <c r="K51" s="17" t="e">
        <f>IF($C51="B",VLOOKUP($A51,Bat!$A$4:$BD$2323,K$1,FALSE),VLOOKUP($A51,Pit!$A$4:$AZ$2261,K$2,FALSE))</f>
        <v>#N/A</v>
      </c>
      <c r="L51" s="16" t="e">
        <f>IF($C51="B",VLOOKUP($A51,Bat!$A$4:$BD$2323,L$1,FALSE),VLOOKUP($A51,Pit!$A$4:$AZ$2261,L$2,FALSE))</f>
        <v>#N/A</v>
      </c>
      <c r="M51" s="16" t="e">
        <f>IF($C51="B",VLOOKUP($A51,Bat!$A$4:$BD$2323,M$1,FALSE),VLOOKUP($A51,Pit!$A$4:$AZ$2261,M$2,FALSE))</f>
        <v>#N/A</v>
      </c>
      <c r="N51" s="16" t="e">
        <f>IF($C51="B",VLOOKUP($A51,Bat!$A$4:$BD$2323,N$1,FALSE),VLOOKUP($A51,Pit!$A$4:$AZ$2261,N$2,FALSE))</f>
        <v>#N/A</v>
      </c>
      <c r="O51" s="16" t="e">
        <f>IF($C51="B",VLOOKUP($A51,Bat!$A$4:$BD$2323,O$1,FALSE),VLOOKUP($A51,Pit!$A$4:$AZ$2261,O$2,FALSE))</f>
        <v>#N/A</v>
      </c>
      <c r="P51" s="17" t="e">
        <f>IF($C51="B",VLOOKUP($A51,Bat!$A$4:$BD$2323,P$1,FALSE),VLOOKUP($A51,Pit!$A$4:$AZ$2261,P$2,FALSE))</f>
        <v>#N/A</v>
      </c>
      <c r="Q51" s="18" t="e">
        <f>IF($C51="B",VLOOKUP($A51,Bat!$A$4:$BD$2323,Q$1,FALSE),VLOOKUP($A51,Pit!$A$4:$AZ$2261,Q$2,FALSE))</f>
        <v>#N/A</v>
      </c>
      <c r="R51" s="19" t="e">
        <f>IF($C51="B",VLOOKUP($A51,Bat!$A$4:$BD$2323,R$1,FALSE),VLOOKUP($A51,Pit!$A$4:$AZ$2261,R$2,FALSE))</f>
        <v>#N/A</v>
      </c>
      <c r="S51" s="20" t="e">
        <f>IF($C51="B",VLOOKUP($A51,Bat!$A$4:$BD$2323,S$1,FALSE),VLOOKUP($A51,Pit!$A$4:$AZ$2261,S$2,FALSE))</f>
        <v>#N/A</v>
      </c>
      <c r="T51" s="17" t="e">
        <f>IF(S51="Slot","",VLOOKUP(IF($C51="B",VLOOKUP($A51,Bat!$A$4:$AT$2323,T$1,FALSE),VLOOKUP($A51,Pit!$A$4:$BD$2261,T$2,FALSE)),COND!$A$34:$B$40,2,FALSE))</f>
        <v>#N/A</v>
      </c>
      <c r="U51" s="21" t="e">
        <f>IF($C51="B",VLOOKUP($A51,Bat!$A$4:$AR$1287,44,FALSE),VLOOKUP($A51,Pit!$A$4:$BB$1239,54,FALSE))</f>
        <v>#N/A</v>
      </c>
      <c r="W51" s="21" t="e">
        <f t="shared" si="2"/>
        <v>#N/A</v>
      </c>
      <c r="X51" s="22" t="e">
        <f t="shared" si="3"/>
        <v>#N/A</v>
      </c>
      <c r="Y51" s="16" t="str">
        <f>IF(ISERROR(VLOOKUP($E51&amp;$F51,Results!$A$2:$G$413,Y$1,FALSE)),"",VLOOKUP($E51&amp;$F51,Results!$A$2:$G$413,Y$1,FALSE))</f>
        <v/>
      </c>
      <c r="Z51" s="16" t="str">
        <f>IF(ISERROR(VLOOKUP($E51&amp;$F51,Results!$A$2:$G$413,Z$1,FALSE)),"",VLOOKUP($E51&amp;$F51,Results!$A$2:$G$413,Z$1,FALSE))</f>
        <v/>
      </c>
      <c r="AA51" s="16" t="str">
        <f>IF(ISERROR(VLOOKUP($E51&amp;$F51,Results!$A$2:$G$413,AA$1,FALSE)),"",VLOOKUP($E51&amp;$F51,Results!$A$2:$G$413,AA$1,FALSE))</f>
        <v/>
      </c>
      <c r="AB51" s="16" t="str">
        <f>IF(ISERROR(VLOOKUP($E51&amp;$F51,Results!$A$2:$G$413,AB$1,FALSE)),"",VLOOKUP($E51&amp;$F51,Results!$A$2:$G$413,AB$1,FALSE))</f>
        <v/>
      </c>
      <c r="AC51" s="16"/>
      <c r="AD51" s="20" t="str">
        <f>IF(ISERROR(VLOOKUP($AB51&amp;"-"&amp;$F51,Bonuses!$B$1:$G$1000,4,FALSE)),"",INT(VLOOKUP($AB51&amp;"-"&amp;$F51,Bonuses!$B$1:$G$1000,4,FALSE)))</f>
        <v/>
      </c>
      <c r="AE51" s="16" t="str">
        <f>IF(ISERROR(VLOOKUP($AB51&amp;"-"&amp;$F51,Bonuses!$B$1:$G$1000,5,FALSE)),"",IF(VLOOKUP($AB51&amp;"-"&amp;$F51,Bonuses!$B$1:$G$1000,5,FALSE)="","",VLOOKUP($AB51&amp;"-"&amp;$F51,Bonuses!$B$1:$G$1000,6,FALSE)&amp;" yrs, "&amp;VLOOKUP($AB51&amp;"-"&amp;$F51,Bonuses!$B$1:$G$1000,5,FALSE)))</f>
        <v/>
      </c>
    </row>
    <row r="52" spans="1:31" s="21" customFormat="1">
      <c r="A52" s="21" t="s">
        <v>929</v>
      </c>
      <c r="B52" s="21">
        <f t="shared" si="0"/>
        <v>1</v>
      </c>
      <c r="C52" s="21" t="str">
        <f t="shared" si="1"/>
        <v>B</v>
      </c>
      <c r="D52" s="17">
        <f>IF($C52="B",VLOOKUP($A52,Bat!$A$4:$BD$2323,D$1,FALSE),VLOOKUP($A52,Pit!$A$4:$AZ$2261,D$2,FALSE))</f>
        <v>4017</v>
      </c>
      <c r="E52" s="16" t="str">
        <f>IF($C52="B",VLOOKUP($A52,Bat!$A$4:$BD$2323,E$1,FALSE),VLOOKUP($A52,Pit!$A$4:$AZ$2261,E$2,FALSE))</f>
        <v>3B</v>
      </c>
      <c r="F52" s="16" t="str">
        <f>IF($C52="B",VLOOKUP($A52,Bat!$A$4:$BD$2323,F$1,FALSE),VLOOKUP($A52,Pit!$A$4:$AZ$2261,F$2,FALSE))</f>
        <v>Robert Lewis</v>
      </c>
      <c r="G52" s="16">
        <f>IF($C52="B",VLOOKUP($A52,Bat!$A$4:$BD$2323,G$1,FALSE),VLOOKUP($A52,Pit!$A$4:$AZ$2261,G$2,FALSE))</f>
        <v>21</v>
      </c>
      <c r="H52" s="16" t="str">
        <f>IF($C52="B",VLOOKUP($A52,Bat!$A$4:$BD$2323,H$1,FALSE),VLOOKUP($A52,Pit!$A$4:$AZ$2261,H$2,FALSE))</f>
        <v>R</v>
      </c>
      <c r="I52" s="16" t="str">
        <f>IF($C52="B",VLOOKUP($A52,Bat!$A$4:$BD$2323,I$1,FALSE),VLOOKUP($A52,Pit!$A$4:$AZ$2261,I$2,FALSE))</f>
        <v>R</v>
      </c>
      <c r="J52" s="16" t="str">
        <f>IF($C52="B",VLOOKUP($A52,Bat!$A$4:$BD$2323,J$1,FALSE),VLOOKUP($A52,Pit!$A$4:$AZ$2261,J$2,FALSE))</f>
        <v>Very High</v>
      </c>
      <c r="K52" s="17" t="str">
        <f>IF($C52="B",VLOOKUP($A52,Bat!$A$4:$BD$2323,K$1,FALSE),VLOOKUP($A52,Pit!$A$4:$AZ$2261,K$2,FALSE))</f>
        <v>Very Low</v>
      </c>
      <c r="L52" s="16">
        <f>IF($C52="B",VLOOKUP($A52,Bat!$A$4:$BD$2323,L$1,FALSE),VLOOKUP($A52,Pit!$A$4:$AZ$2261,L$2,FALSE))</f>
        <v>5</v>
      </c>
      <c r="M52" s="16">
        <f>IF($C52="B",VLOOKUP($A52,Bat!$A$4:$BD$2323,M$1,FALSE),VLOOKUP($A52,Pit!$A$4:$AZ$2261,M$2,FALSE))</f>
        <v>6</v>
      </c>
      <c r="N52" s="16">
        <f>IF($C52="B",VLOOKUP($A52,Bat!$A$4:$BD$2323,N$1,FALSE),VLOOKUP($A52,Pit!$A$4:$AZ$2261,N$2,FALSE))</f>
        <v>6</v>
      </c>
      <c r="O52" s="16">
        <f>IF($C52="B",VLOOKUP($A52,Bat!$A$4:$BD$2323,O$1,FALSE),VLOOKUP($A52,Pit!$A$4:$AZ$2261,O$2,FALSE))</f>
        <v>6</v>
      </c>
      <c r="P52" s="17">
        <f>IF($C52="B",VLOOKUP($A52,Bat!$A$4:$BD$2323,P$1,FALSE),VLOOKUP($A52,Pit!$A$4:$AZ$2261,P$2,FALSE))</f>
        <v>4</v>
      </c>
      <c r="Q52" s="18">
        <f>IF($C52="B",VLOOKUP($A52,Bat!$A$4:$BD$2323,Q$1,FALSE),VLOOKUP($A52,Pit!$A$4:$AZ$2261,Q$2,FALSE))</f>
        <v>15.800486919299098</v>
      </c>
      <c r="R52" s="19">
        <f>IF($C52="B",VLOOKUP($A52,Bat!$A$4:$BD$2323,R$1,FALSE),VLOOKUP($A52,Pit!$A$4:$AZ$2261,R$2,FALSE))</f>
        <v>0.71323091808099115</v>
      </c>
      <c r="S52" s="20" t="str">
        <f>IF($C52="B",VLOOKUP($A52,Bat!$A$4:$BD$2323,S$1,FALSE),VLOOKUP($A52,Pit!$A$4:$AZ$2261,S$2,FALSE))</f>
        <v>Slot</v>
      </c>
      <c r="T52" s="17" t="str">
        <f>IF(S52="Slot","",VLOOKUP(IF($C52="B",VLOOKUP($A52,Bat!$A$4:$AT$2323,T$1,FALSE),VLOOKUP($A52,Pit!$A$4:$BD$2261,T$2,FALSE)),COND!$A$34:$B$40,2,FALSE))</f>
        <v/>
      </c>
      <c r="U52" s="21">
        <f>IF($C52="B",VLOOKUP($A52,Bat!$A$4:$AR$1287,44,FALSE),VLOOKUP($A52,Pit!$A$4:$BB$1239,54,FALSE))</f>
        <v>48</v>
      </c>
      <c r="W52" s="21">
        <f t="shared" si="2"/>
        <v>48</v>
      </c>
      <c r="X52" s="22" t="e">
        <f t="shared" si="3"/>
        <v>#N/A</v>
      </c>
      <c r="Y52" s="16" t="str">
        <f>IF(ISERROR(VLOOKUP($E52&amp;$F52,Results!$A$2:$G$413,Y$1,FALSE)),"",VLOOKUP($E52&amp;$F52,Results!$A$2:$G$413,Y$1,FALSE))</f>
        <v/>
      </c>
      <c r="Z52" s="16" t="str">
        <f>IF(ISERROR(VLOOKUP($E52&amp;$F52,Results!$A$2:$G$413,Z$1,FALSE)),"",VLOOKUP($E52&amp;$F52,Results!$A$2:$G$413,Z$1,FALSE))</f>
        <v/>
      </c>
      <c r="AA52" s="16" t="str">
        <f>IF(ISERROR(VLOOKUP($E52&amp;$F52,Results!$A$2:$G$413,AA$1,FALSE)),"",VLOOKUP($E52&amp;$F52,Results!$A$2:$G$413,AA$1,FALSE))</f>
        <v/>
      </c>
      <c r="AB52" s="16" t="str">
        <f>IF(ISERROR(VLOOKUP($E52&amp;$F52,Results!$A$2:$G$413,AB$1,FALSE)),"",VLOOKUP($E52&amp;$F52,Results!$A$2:$G$413,AB$1,FALSE))</f>
        <v/>
      </c>
      <c r="AC52" s="16"/>
      <c r="AD52" s="20" t="str">
        <f>IF(ISERROR(VLOOKUP($AB52&amp;"-"&amp;$F52,Bonuses!$B$1:$G$1000,4,FALSE)),"",INT(VLOOKUP($AB52&amp;"-"&amp;$F52,Bonuses!$B$1:$G$1000,4,FALSE)))</f>
        <v/>
      </c>
      <c r="AE52" s="16" t="str">
        <f>IF(ISERROR(VLOOKUP($AB52&amp;"-"&amp;$F52,Bonuses!$B$1:$G$1000,5,FALSE)),"",IF(VLOOKUP($AB52&amp;"-"&amp;$F52,Bonuses!$B$1:$G$1000,5,FALSE)="","",VLOOKUP($AB52&amp;"-"&amp;$F52,Bonuses!$B$1:$G$1000,6,FALSE)&amp;" yrs, "&amp;VLOOKUP($AB52&amp;"-"&amp;$F52,Bonuses!$B$1:$G$1000,5,FALSE)))</f>
        <v/>
      </c>
    </row>
    <row r="53" spans="1:31" s="21" customFormat="1">
      <c r="A53" s="21" t="s">
        <v>923</v>
      </c>
      <c r="B53" s="21">
        <f t="shared" si="0"/>
        <v>1</v>
      </c>
      <c r="C53" s="21" t="str">
        <f t="shared" si="1"/>
        <v>B</v>
      </c>
      <c r="D53" s="17">
        <f>IF($C53="B",VLOOKUP($A53,Bat!$A$4:$BD$2323,D$1,FALSE),VLOOKUP($A53,Pit!$A$4:$AZ$2261,D$2,FALSE))</f>
        <v>3855</v>
      </c>
      <c r="E53" s="16" t="str">
        <f>IF($C53="B",VLOOKUP($A53,Bat!$A$4:$BD$2323,E$1,FALSE),VLOOKUP($A53,Pit!$A$4:$AZ$2261,E$2,FALSE))</f>
        <v>1B</v>
      </c>
      <c r="F53" s="16" t="str">
        <f>IF($C53="B",VLOOKUP($A53,Bat!$A$4:$BD$2323,F$1,FALSE),VLOOKUP($A53,Pit!$A$4:$AZ$2261,F$2,FALSE))</f>
        <v>Henry Blencowe</v>
      </c>
      <c r="G53" s="16">
        <f>IF($C53="B",VLOOKUP($A53,Bat!$A$4:$BD$2323,G$1,FALSE),VLOOKUP($A53,Pit!$A$4:$AZ$2261,G$2,FALSE))</f>
        <v>21</v>
      </c>
      <c r="H53" s="16" t="str">
        <f>IF($C53="B",VLOOKUP($A53,Bat!$A$4:$BD$2323,H$1,FALSE),VLOOKUP($A53,Pit!$A$4:$AZ$2261,H$2,FALSE))</f>
        <v>R</v>
      </c>
      <c r="I53" s="16" t="str">
        <f>IF($C53="B",VLOOKUP($A53,Bat!$A$4:$BD$2323,I$1,FALSE),VLOOKUP($A53,Pit!$A$4:$AZ$2261,I$2,FALSE))</f>
        <v>R</v>
      </c>
      <c r="J53" s="16" t="str">
        <f>IF($C53="B",VLOOKUP($A53,Bat!$A$4:$BD$2323,J$1,FALSE),VLOOKUP($A53,Pit!$A$4:$AZ$2261,J$2,FALSE))</f>
        <v>High</v>
      </c>
      <c r="K53" s="17" t="str">
        <f>IF($C53="B",VLOOKUP($A53,Bat!$A$4:$BD$2323,K$1,FALSE),VLOOKUP($A53,Pit!$A$4:$AZ$2261,K$2,FALSE))</f>
        <v>Low</v>
      </c>
      <c r="L53" s="16">
        <f>IF($C53="B",VLOOKUP($A53,Bat!$A$4:$BD$2323,L$1,FALSE),VLOOKUP($A53,Pit!$A$4:$AZ$2261,L$2,FALSE))</f>
        <v>6</v>
      </c>
      <c r="M53" s="16">
        <f>IF($C53="B",VLOOKUP($A53,Bat!$A$4:$BD$2323,M$1,FALSE),VLOOKUP($A53,Pit!$A$4:$AZ$2261,M$2,FALSE))</f>
        <v>4</v>
      </c>
      <c r="N53" s="16">
        <f>IF($C53="B",VLOOKUP($A53,Bat!$A$4:$BD$2323,N$1,FALSE),VLOOKUP($A53,Pit!$A$4:$AZ$2261,N$2,FALSE))</f>
        <v>7</v>
      </c>
      <c r="O53" s="16">
        <f>IF($C53="B",VLOOKUP($A53,Bat!$A$4:$BD$2323,O$1,FALSE),VLOOKUP($A53,Pit!$A$4:$AZ$2261,O$2,FALSE))</f>
        <v>5</v>
      </c>
      <c r="P53" s="17">
        <f>IF($C53="B",VLOOKUP($A53,Bat!$A$4:$BD$2323,P$1,FALSE),VLOOKUP($A53,Pit!$A$4:$AZ$2261,P$2,FALSE))</f>
        <v>5</v>
      </c>
      <c r="Q53" s="18">
        <f>IF($C53="B",VLOOKUP($A53,Bat!$A$4:$BD$2323,Q$1,FALSE),VLOOKUP($A53,Pit!$A$4:$AZ$2261,Q$2,FALSE))</f>
        <v>18.296606560835542</v>
      </c>
      <c r="R53" s="19">
        <f>IF($C53="B",VLOOKUP($A53,Bat!$A$4:$BD$2323,R$1,FALSE),VLOOKUP($A53,Pit!$A$4:$AZ$2261,R$2,FALSE))</f>
        <v>1.0600009767292342</v>
      </c>
      <c r="S53" s="20" t="str">
        <f>IF($C53="B",VLOOKUP($A53,Bat!$A$4:$BD$2323,S$1,FALSE),VLOOKUP($A53,Pit!$A$4:$AZ$2261,S$2,FALSE))</f>
        <v>Slot</v>
      </c>
      <c r="T53" s="17" t="str">
        <f>IF(S53="Slot","",VLOOKUP(IF($C53="B",VLOOKUP($A53,Bat!$A$4:$AT$2323,T$1,FALSE),VLOOKUP($A53,Pit!$A$4:$BD$2261,T$2,FALSE)),COND!$A$34:$B$40,2,FALSE))</f>
        <v/>
      </c>
      <c r="U53" s="21">
        <f>IF($C53="B",VLOOKUP($A53,Bat!$A$4:$AR$1287,44,FALSE),VLOOKUP($A53,Pit!$A$4:$BB$1239,54,FALSE))</f>
        <v>49</v>
      </c>
      <c r="W53" s="21">
        <f t="shared" si="2"/>
        <v>49</v>
      </c>
      <c r="X53" s="22" t="e">
        <f t="shared" si="3"/>
        <v>#N/A</v>
      </c>
      <c r="Y53" s="16" t="str">
        <f>IF(ISERROR(VLOOKUP($E53&amp;$F53,Results!$A$2:$G$413,Y$1,FALSE)),"",VLOOKUP($E53&amp;$F53,Results!$A$2:$G$413,Y$1,FALSE))</f>
        <v/>
      </c>
      <c r="Z53" s="16" t="str">
        <f>IF(ISERROR(VLOOKUP($E53&amp;$F53,Results!$A$2:$G$413,Z$1,FALSE)),"",VLOOKUP($E53&amp;$F53,Results!$A$2:$G$413,Z$1,FALSE))</f>
        <v/>
      </c>
      <c r="AA53" s="16" t="str">
        <f>IF(ISERROR(VLOOKUP($E53&amp;$F53,Results!$A$2:$G$413,AA$1,FALSE)),"",VLOOKUP($E53&amp;$F53,Results!$A$2:$G$413,AA$1,FALSE))</f>
        <v/>
      </c>
      <c r="AB53" s="16" t="str">
        <f>IF(ISERROR(VLOOKUP($E53&amp;$F53,Results!$A$2:$G$413,AB$1,FALSE)),"",VLOOKUP($E53&amp;$F53,Results!$A$2:$G$413,AB$1,FALSE))</f>
        <v/>
      </c>
      <c r="AC53" s="16"/>
      <c r="AD53" s="20" t="str">
        <f>IF(ISERROR(VLOOKUP($AB53&amp;"-"&amp;$F53,Bonuses!$B$1:$G$1000,4,FALSE)),"",INT(VLOOKUP($AB53&amp;"-"&amp;$F53,Bonuses!$B$1:$G$1000,4,FALSE)))</f>
        <v/>
      </c>
      <c r="AE53" s="16" t="str">
        <f>IF(ISERROR(VLOOKUP($AB53&amp;"-"&amp;$F53,Bonuses!$B$1:$G$1000,5,FALSE)),"",IF(VLOOKUP($AB53&amp;"-"&amp;$F53,Bonuses!$B$1:$G$1000,5,FALSE)="","",VLOOKUP($AB53&amp;"-"&amp;$F53,Bonuses!$B$1:$G$1000,6,FALSE)&amp;" yrs, "&amp;VLOOKUP($AB53&amp;"-"&amp;$F53,Bonuses!$B$1:$G$1000,5,FALSE)))</f>
        <v/>
      </c>
    </row>
    <row r="54" spans="1:31" s="21" customFormat="1">
      <c r="A54" s="21" t="s">
        <v>631</v>
      </c>
      <c r="B54" s="21">
        <f t="shared" si="0"/>
        <v>1</v>
      </c>
      <c r="C54" s="21" t="str">
        <f t="shared" si="1"/>
        <v>B</v>
      </c>
      <c r="D54" s="17">
        <f>IF($C54="B",VLOOKUP($A54,Bat!$A$4:$BD$2323,D$1,FALSE),VLOOKUP($A54,Pit!$A$4:$AZ$2261,D$2,FALSE))</f>
        <v>7622</v>
      </c>
      <c r="E54" s="16" t="str">
        <f>IF($C54="B",VLOOKUP($A54,Bat!$A$4:$BD$2323,E$1,FALSE),VLOOKUP($A54,Pit!$A$4:$AZ$2261,E$2,FALSE))</f>
        <v>C</v>
      </c>
      <c r="F54" s="16" t="str">
        <f>IF($C54="B",VLOOKUP($A54,Bat!$A$4:$BD$2323,F$1,FALSE),VLOOKUP($A54,Pit!$A$4:$AZ$2261,F$2,FALSE))</f>
        <v>Michael Tucker</v>
      </c>
      <c r="G54" s="16">
        <f>IF($C54="B",VLOOKUP($A54,Bat!$A$4:$BD$2323,G$1,FALSE),VLOOKUP($A54,Pit!$A$4:$AZ$2261,G$2,FALSE))</f>
        <v>21</v>
      </c>
      <c r="H54" s="16" t="str">
        <f>IF($C54="B",VLOOKUP($A54,Bat!$A$4:$BD$2323,H$1,FALSE),VLOOKUP($A54,Pit!$A$4:$AZ$2261,H$2,FALSE))</f>
        <v>R</v>
      </c>
      <c r="I54" s="16" t="str">
        <f>IF($C54="B",VLOOKUP($A54,Bat!$A$4:$BD$2323,I$1,FALSE),VLOOKUP($A54,Pit!$A$4:$AZ$2261,I$2,FALSE))</f>
        <v>R</v>
      </c>
      <c r="J54" s="16" t="str">
        <f>IF($C54="B",VLOOKUP($A54,Bat!$A$4:$BD$2323,J$1,FALSE),VLOOKUP($A54,Pit!$A$4:$AZ$2261,J$2,FALSE))</f>
        <v>Low</v>
      </c>
      <c r="K54" s="17" t="str">
        <f>IF($C54="B",VLOOKUP($A54,Bat!$A$4:$BD$2323,K$1,FALSE),VLOOKUP($A54,Pit!$A$4:$AZ$2261,K$2,FALSE))</f>
        <v>Normal</v>
      </c>
      <c r="L54" s="16">
        <f>IF($C54="B",VLOOKUP($A54,Bat!$A$4:$BD$2323,L$1,FALSE),VLOOKUP($A54,Pit!$A$4:$AZ$2261,L$2,FALSE))</f>
        <v>5</v>
      </c>
      <c r="M54" s="16">
        <f>IF($C54="B",VLOOKUP($A54,Bat!$A$4:$BD$2323,M$1,FALSE),VLOOKUP($A54,Pit!$A$4:$AZ$2261,M$2,FALSE))</f>
        <v>8</v>
      </c>
      <c r="N54" s="16">
        <f>IF($C54="B",VLOOKUP($A54,Bat!$A$4:$BD$2323,N$1,FALSE),VLOOKUP($A54,Pit!$A$4:$AZ$2261,N$2,FALSE))</f>
        <v>5</v>
      </c>
      <c r="O54" s="16">
        <f>IF($C54="B",VLOOKUP($A54,Bat!$A$4:$BD$2323,O$1,FALSE),VLOOKUP($A54,Pit!$A$4:$AZ$2261,O$2,FALSE))</f>
        <v>5</v>
      </c>
      <c r="P54" s="17">
        <f>IF($C54="B",VLOOKUP($A54,Bat!$A$4:$BD$2323,P$1,FALSE),VLOOKUP($A54,Pit!$A$4:$AZ$2261,P$2,FALSE))</f>
        <v>5</v>
      </c>
      <c r="Q54" s="18">
        <f>IF($C54="B",VLOOKUP($A54,Bat!$A$4:$BD$2323,Q$1,FALSE),VLOOKUP($A54,Pit!$A$4:$AZ$2261,Q$2,FALSE))</f>
        <v>16.256647283741678</v>
      </c>
      <c r="R54" s="19">
        <f>IF($C54="B",VLOOKUP($A54,Bat!$A$4:$BD$2323,R$1,FALSE),VLOOKUP($A54,Pit!$A$4:$AZ$2261,R$2,FALSE))</f>
        <v>0.77660238221216993</v>
      </c>
      <c r="S54" s="20" t="str">
        <f>IF($C54="B",VLOOKUP($A54,Bat!$A$4:$BD$2323,S$1,FALSE),VLOOKUP($A54,Pit!$A$4:$AZ$2261,S$2,FALSE))</f>
        <v>Slot</v>
      </c>
      <c r="T54" s="17" t="str">
        <f>IF(S54="Slot","",VLOOKUP(IF($C54="B",VLOOKUP($A54,Bat!$A$4:$AT$2323,T$1,FALSE),VLOOKUP($A54,Pit!$A$4:$BD$2261,T$2,FALSE)),COND!$A$34:$B$40,2,FALSE))</f>
        <v/>
      </c>
      <c r="U54" s="21">
        <f>IF($C54="B",VLOOKUP($A54,Bat!$A$4:$AR$1287,44,FALSE),VLOOKUP($A54,Pit!$A$4:$BB$1239,54,FALSE))</f>
        <v>50</v>
      </c>
      <c r="W54" s="21">
        <f t="shared" si="2"/>
        <v>50</v>
      </c>
      <c r="X54" s="22" t="e">
        <f t="shared" si="3"/>
        <v>#N/A</v>
      </c>
      <c r="Y54" s="16" t="str">
        <f>IF(ISERROR(VLOOKUP($E54&amp;$F54,Results!$A$2:$G$413,Y$1,FALSE)),"",VLOOKUP($E54&amp;$F54,Results!$A$2:$G$413,Y$1,FALSE))</f>
        <v/>
      </c>
      <c r="Z54" s="16" t="str">
        <f>IF(ISERROR(VLOOKUP($E54&amp;$F54,Results!$A$2:$G$413,Z$1,FALSE)),"",VLOOKUP($E54&amp;$F54,Results!$A$2:$G$413,Z$1,FALSE))</f>
        <v/>
      </c>
      <c r="AA54" s="16" t="str">
        <f>IF(ISERROR(VLOOKUP($E54&amp;$F54,Results!$A$2:$G$413,AA$1,FALSE)),"",VLOOKUP($E54&amp;$F54,Results!$A$2:$G$413,AA$1,FALSE))</f>
        <v/>
      </c>
      <c r="AB54" s="16" t="str">
        <f>IF(ISERROR(VLOOKUP($E54&amp;$F54,Results!$A$2:$G$413,AB$1,FALSE)),"",VLOOKUP($E54&amp;$F54,Results!$A$2:$G$413,AB$1,FALSE))</f>
        <v/>
      </c>
      <c r="AC54" s="16"/>
      <c r="AD54" s="20" t="str">
        <f>IF(ISERROR(VLOOKUP($AB54&amp;"-"&amp;$F54,Bonuses!$B$1:$G$1000,4,FALSE)),"",INT(VLOOKUP($AB54&amp;"-"&amp;$F54,Bonuses!$B$1:$G$1000,4,FALSE)))</f>
        <v/>
      </c>
      <c r="AE54" s="16" t="str">
        <f>IF(ISERROR(VLOOKUP($AB54&amp;"-"&amp;$F54,Bonuses!$B$1:$G$1000,5,FALSE)),"",IF(VLOOKUP($AB54&amp;"-"&amp;$F54,Bonuses!$B$1:$G$1000,5,FALSE)="","",VLOOKUP($AB54&amp;"-"&amp;$F54,Bonuses!$B$1:$G$1000,6,FALSE)&amp;" yrs, "&amp;VLOOKUP($AB54&amp;"-"&amp;$F54,Bonuses!$B$1:$G$1000,5,FALSE)))</f>
        <v/>
      </c>
    </row>
    <row r="55" spans="1:31" s="21" customFormat="1">
      <c r="A55" s="21" t="s">
        <v>937</v>
      </c>
      <c r="B55" s="21">
        <f t="shared" si="0"/>
        <v>1</v>
      </c>
      <c r="C55" s="21" t="str">
        <f t="shared" si="1"/>
        <v>B</v>
      </c>
      <c r="D55" s="17" t="e">
        <f>IF($C55="B",VLOOKUP($A55,Bat!$A$4:$BD$2323,D$1,FALSE),VLOOKUP($A55,Pit!$A$4:$AZ$2261,D$2,FALSE))</f>
        <v>#N/A</v>
      </c>
      <c r="E55" s="16" t="e">
        <f>IF($C55="B",VLOOKUP($A55,Bat!$A$4:$BD$2323,E$1,FALSE),VLOOKUP($A55,Pit!$A$4:$AZ$2261,E$2,FALSE))</f>
        <v>#N/A</v>
      </c>
      <c r="F55" s="16" t="e">
        <f>IF($C55="B",VLOOKUP($A55,Bat!$A$4:$BD$2323,F$1,FALSE),VLOOKUP($A55,Pit!$A$4:$AZ$2261,F$2,FALSE))</f>
        <v>#N/A</v>
      </c>
      <c r="G55" s="16" t="e">
        <f>IF($C55="B",VLOOKUP($A55,Bat!$A$4:$BD$2323,G$1,FALSE),VLOOKUP($A55,Pit!$A$4:$AZ$2261,G$2,FALSE))</f>
        <v>#N/A</v>
      </c>
      <c r="H55" s="16" t="e">
        <f>IF($C55="B",VLOOKUP($A55,Bat!$A$4:$BD$2323,H$1,FALSE),VLOOKUP($A55,Pit!$A$4:$AZ$2261,H$2,FALSE))</f>
        <v>#N/A</v>
      </c>
      <c r="I55" s="16" t="e">
        <f>IF($C55="B",VLOOKUP($A55,Bat!$A$4:$BD$2323,I$1,FALSE),VLOOKUP($A55,Pit!$A$4:$AZ$2261,I$2,FALSE))</f>
        <v>#N/A</v>
      </c>
      <c r="J55" s="16" t="e">
        <f>IF($C55="B",VLOOKUP($A55,Bat!$A$4:$BD$2323,J$1,FALSE),VLOOKUP($A55,Pit!$A$4:$AZ$2261,J$2,FALSE))</f>
        <v>#N/A</v>
      </c>
      <c r="K55" s="17" t="e">
        <f>IF($C55="B",VLOOKUP($A55,Bat!$A$4:$BD$2323,K$1,FALSE),VLOOKUP($A55,Pit!$A$4:$AZ$2261,K$2,FALSE))</f>
        <v>#N/A</v>
      </c>
      <c r="L55" s="16" t="e">
        <f>IF($C55="B",VLOOKUP($A55,Bat!$A$4:$BD$2323,L$1,FALSE),VLOOKUP($A55,Pit!$A$4:$AZ$2261,L$2,FALSE))</f>
        <v>#N/A</v>
      </c>
      <c r="M55" s="16" t="e">
        <f>IF($C55="B",VLOOKUP($A55,Bat!$A$4:$BD$2323,M$1,FALSE),VLOOKUP($A55,Pit!$A$4:$AZ$2261,M$2,FALSE))</f>
        <v>#N/A</v>
      </c>
      <c r="N55" s="16" t="e">
        <f>IF($C55="B",VLOOKUP($A55,Bat!$A$4:$BD$2323,N$1,FALSE),VLOOKUP($A55,Pit!$A$4:$AZ$2261,N$2,FALSE))</f>
        <v>#N/A</v>
      </c>
      <c r="O55" s="16" t="e">
        <f>IF($C55="B",VLOOKUP($A55,Bat!$A$4:$BD$2323,O$1,FALSE),VLOOKUP($A55,Pit!$A$4:$AZ$2261,O$2,FALSE))</f>
        <v>#N/A</v>
      </c>
      <c r="P55" s="17" t="e">
        <f>IF($C55="B",VLOOKUP($A55,Bat!$A$4:$BD$2323,P$1,FALSE),VLOOKUP($A55,Pit!$A$4:$AZ$2261,P$2,FALSE))</f>
        <v>#N/A</v>
      </c>
      <c r="Q55" s="18" t="e">
        <f>IF($C55="B",VLOOKUP($A55,Bat!$A$4:$BD$2323,Q$1,FALSE),VLOOKUP($A55,Pit!$A$4:$AZ$2261,Q$2,FALSE))</f>
        <v>#N/A</v>
      </c>
      <c r="R55" s="19" t="e">
        <f>IF($C55="B",VLOOKUP($A55,Bat!$A$4:$BD$2323,R$1,FALSE),VLOOKUP($A55,Pit!$A$4:$AZ$2261,R$2,FALSE))</f>
        <v>#N/A</v>
      </c>
      <c r="S55" s="20" t="e">
        <f>IF($C55="B",VLOOKUP($A55,Bat!$A$4:$BD$2323,S$1,FALSE),VLOOKUP($A55,Pit!$A$4:$AZ$2261,S$2,FALSE))</f>
        <v>#N/A</v>
      </c>
      <c r="T55" s="17" t="e">
        <f>IF(S55="Slot","",VLOOKUP(IF($C55="B",VLOOKUP($A55,Bat!$A$4:$AT$2323,T$1,FALSE),VLOOKUP($A55,Pit!$A$4:$BD$2261,T$2,FALSE)),COND!$A$34:$B$40,2,FALSE))</f>
        <v>#N/A</v>
      </c>
      <c r="U55" s="21" t="e">
        <f>IF($C55="B",VLOOKUP($A55,Bat!$A$4:$AR$1287,44,FALSE),VLOOKUP($A55,Pit!$A$4:$BB$1239,54,FALSE))</f>
        <v>#N/A</v>
      </c>
      <c r="W55" s="21" t="e">
        <f t="shared" si="2"/>
        <v>#N/A</v>
      </c>
      <c r="X55" s="22" t="e">
        <f t="shared" si="3"/>
        <v>#N/A</v>
      </c>
      <c r="Y55" s="16" t="str">
        <f>IF(ISERROR(VLOOKUP($E55&amp;$F55,Results!$A$2:$G$413,Y$1,FALSE)),"",VLOOKUP($E55&amp;$F55,Results!$A$2:$G$413,Y$1,FALSE))</f>
        <v/>
      </c>
      <c r="Z55" s="16" t="str">
        <f>IF(ISERROR(VLOOKUP($E55&amp;$F55,Results!$A$2:$G$413,Z$1,FALSE)),"",VLOOKUP($E55&amp;$F55,Results!$A$2:$G$413,Z$1,FALSE))</f>
        <v/>
      </c>
      <c r="AA55" s="16" t="str">
        <f>IF(ISERROR(VLOOKUP($E55&amp;$F55,Results!$A$2:$G$413,AA$1,FALSE)),"",VLOOKUP($E55&amp;$F55,Results!$A$2:$G$413,AA$1,FALSE))</f>
        <v/>
      </c>
      <c r="AB55" s="16" t="str">
        <f>IF(ISERROR(VLOOKUP($E55&amp;$F55,Results!$A$2:$G$413,AB$1,FALSE)),"",VLOOKUP($E55&amp;$F55,Results!$A$2:$G$413,AB$1,FALSE))</f>
        <v/>
      </c>
      <c r="AC55" s="16"/>
      <c r="AD55" s="20" t="str">
        <f>IF(ISERROR(VLOOKUP($AB55&amp;"-"&amp;$F55,Bonuses!$B$1:$G$1000,4,FALSE)),"",INT(VLOOKUP($AB55&amp;"-"&amp;$F55,Bonuses!$B$1:$G$1000,4,FALSE)))</f>
        <v/>
      </c>
      <c r="AE55" s="16" t="str">
        <f>IF(ISERROR(VLOOKUP($AB55&amp;"-"&amp;$F55,Bonuses!$B$1:$G$1000,5,FALSE)),"",IF(VLOOKUP($AB55&amp;"-"&amp;$F55,Bonuses!$B$1:$G$1000,5,FALSE)="","",VLOOKUP($AB55&amp;"-"&amp;$F55,Bonuses!$B$1:$G$1000,6,FALSE)&amp;" yrs, "&amp;VLOOKUP($AB55&amp;"-"&amp;$F55,Bonuses!$B$1:$G$1000,5,FALSE)))</f>
        <v/>
      </c>
    </row>
    <row r="56" spans="1:31" s="21" customFormat="1">
      <c r="A56" s="21" t="s">
        <v>953</v>
      </c>
      <c r="B56" s="21">
        <f t="shared" si="0"/>
        <v>1</v>
      </c>
      <c r="C56" s="21" t="str">
        <f t="shared" si="1"/>
        <v>B</v>
      </c>
      <c r="D56" s="17">
        <f>IF($C56="B",VLOOKUP($A56,Bat!$A$4:$BD$2323,D$1,FALSE),VLOOKUP($A56,Pit!$A$4:$AZ$2261,D$2,FALSE))</f>
        <v>6785</v>
      </c>
      <c r="E56" s="16" t="str">
        <f>IF($C56="B",VLOOKUP($A56,Bat!$A$4:$BD$2323,E$1,FALSE),VLOOKUP($A56,Pit!$A$4:$AZ$2261,E$2,FALSE))</f>
        <v>CF</v>
      </c>
      <c r="F56" s="16" t="str">
        <f>IF($C56="B",VLOOKUP($A56,Bat!$A$4:$BD$2323,F$1,FALSE),VLOOKUP($A56,Pit!$A$4:$AZ$2261,F$2,FALSE))</f>
        <v>William Collins</v>
      </c>
      <c r="G56" s="16">
        <f>IF($C56="B",VLOOKUP($A56,Bat!$A$4:$BD$2323,G$1,FALSE),VLOOKUP($A56,Pit!$A$4:$AZ$2261,G$2,FALSE))</f>
        <v>21</v>
      </c>
      <c r="H56" s="16" t="str">
        <f>IF($C56="B",VLOOKUP($A56,Bat!$A$4:$BD$2323,H$1,FALSE),VLOOKUP($A56,Pit!$A$4:$AZ$2261,H$2,FALSE))</f>
        <v>L</v>
      </c>
      <c r="I56" s="16" t="str">
        <f>IF($C56="B",VLOOKUP($A56,Bat!$A$4:$BD$2323,I$1,FALSE),VLOOKUP($A56,Pit!$A$4:$AZ$2261,I$2,FALSE))</f>
        <v>R</v>
      </c>
      <c r="J56" s="16" t="str">
        <f>IF($C56="B",VLOOKUP($A56,Bat!$A$4:$BD$2323,J$1,FALSE),VLOOKUP($A56,Pit!$A$4:$AZ$2261,J$2,FALSE))</f>
        <v>Low</v>
      </c>
      <c r="K56" s="17" t="str">
        <f>IF($C56="B",VLOOKUP($A56,Bat!$A$4:$BD$2323,K$1,FALSE),VLOOKUP($A56,Pit!$A$4:$AZ$2261,K$2,FALSE))</f>
        <v>High</v>
      </c>
      <c r="L56" s="16">
        <f>IF($C56="B",VLOOKUP($A56,Bat!$A$4:$BD$2323,L$1,FALSE),VLOOKUP($A56,Pit!$A$4:$AZ$2261,L$2,FALSE))</f>
        <v>5</v>
      </c>
      <c r="M56" s="16">
        <f>IF($C56="B",VLOOKUP($A56,Bat!$A$4:$BD$2323,M$1,FALSE),VLOOKUP($A56,Pit!$A$4:$AZ$2261,M$2,FALSE))</f>
        <v>5</v>
      </c>
      <c r="N56" s="16">
        <f>IF($C56="B",VLOOKUP($A56,Bat!$A$4:$BD$2323,N$1,FALSE),VLOOKUP($A56,Pit!$A$4:$AZ$2261,N$2,FALSE))</f>
        <v>1</v>
      </c>
      <c r="O56" s="16">
        <f>IF($C56="B",VLOOKUP($A56,Bat!$A$4:$BD$2323,O$1,FALSE),VLOOKUP($A56,Pit!$A$4:$AZ$2261,O$2,FALSE))</f>
        <v>6</v>
      </c>
      <c r="P56" s="17">
        <f>IF($C56="B",VLOOKUP($A56,Bat!$A$4:$BD$2323,P$1,FALSE),VLOOKUP($A56,Pit!$A$4:$AZ$2261,P$2,FALSE))</f>
        <v>5</v>
      </c>
      <c r="Q56" s="18">
        <f>IF($C56="B",VLOOKUP($A56,Bat!$A$4:$BD$2323,Q$1,FALSE),VLOOKUP($A56,Pit!$A$4:$AZ$2261,Q$2,FALSE))</f>
        <v>12.052875057028375</v>
      </c>
      <c r="R56" s="19">
        <f>IF($C56="B",VLOOKUP($A56,Bat!$A$4:$BD$2323,R$1,FALSE),VLOOKUP($A56,Pit!$A$4:$AZ$2261,R$2,FALSE))</f>
        <v>0.19259898856716848</v>
      </c>
      <c r="S56" s="20" t="str">
        <f>IF($C56="B",VLOOKUP($A56,Bat!$A$4:$BD$2323,S$1,FALSE),VLOOKUP($A56,Pit!$A$4:$AZ$2261,S$2,FALSE))</f>
        <v>Slot</v>
      </c>
      <c r="T56" s="17" t="str">
        <f>IF(S56="Slot","",VLOOKUP(IF($C56="B",VLOOKUP($A56,Bat!$A$4:$AT$2323,T$1,FALSE),VLOOKUP($A56,Pit!$A$4:$BD$2261,T$2,FALSE)),COND!$A$34:$B$40,2,FALSE))</f>
        <v/>
      </c>
      <c r="U56" s="21">
        <f>IF($C56="B",VLOOKUP($A56,Bat!$A$4:$AR$1287,44,FALSE),VLOOKUP($A56,Pit!$A$4:$BB$1239,54,FALSE))</f>
        <v>52</v>
      </c>
      <c r="W56" s="21">
        <f t="shared" si="2"/>
        <v>52</v>
      </c>
      <c r="X56" s="22" t="e">
        <f t="shared" si="3"/>
        <v>#N/A</v>
      </c>
      <c r="Y56" s="16" t="str">
        <f>IF(ISERROR(VLOOKUP($E56&amp;$F56,Results!$A$2:$G$413,Y$1,FALSE)),"",VLOOKUP($E56&amp;$F56,Results!$A$2:$G$413,Y$1,FALSE))</f>
        <v/>
      </c>
      <c r="Z56" s="16" t="str">
        <f>IF(ISERROR(VLOOKUP($E56&amp;$F56,Results!$A$2:$G$413,Z$1,FALSE)),"",VLOOKUP($E56&amp;$F56,Results!$A$2:$G$413,Z$1,FALSE))</f>
        <v/>
      </c>
      <c r="AA56" s="16" t="str">
        <f>IF(ISERROR(VLOOKUP($E56&amp;$F56,Results!$A$2:$G$413,AA$1,FALSE)),"",VLOOKUP($E56&amp;$F56,Results!$A$2:$G$413,AA$1,FALSE))</f>
        <v/>
      </c>
      <c r="AB56" s="16" t="str">
        <f>IF(ISERROR(VLOOKUP($E56&amp;$F56,Results!$A$2:$G$413,AB$1,FALSE)),"",VLOOKUP($E56&amp;$F56,Results!$A$2:$G$413,AB$1,FALSE))</f>
        <v/>
      </c>
      <c r="AC56" s="16"/>
      <c r="AD56" s="20" t="str">
        <f>IF(ISERROR(VLOOKUP($AB56&amp;"-"&amp;$F56,Bonuses!$B$1:$G$1000,4,FALSE)),"",INT(VLOOKUP($AB56&amp;"-"&amp;$F56,Bonuses!$B$1:$G$1000,4,FALSE)))</f>
        <v/>
      </c>
      <c r="AE56" s="16" t="str">
        <f>IF(ISERROR(VLOOKUP($AB56&amp;"-"&amp;$F56,Bonuses!$B$1:$G$1000,5,FALSE)),"",IF(VLOOKUP($AB56&amp;"-"&amp;$F56,Bonuses!$B$1:$G$1000,5,FALSE)="","",VLOOKUP($AB56&amp;"-"&amp;$F56,Bonuses!$B$1:$G$1000,6,FALSE)&amp;" yrs, "&amp;VLOOKUP($AB56&amp;"-"&amp;$F56,Bonuses!$B$1:$G$1000,5,FALSE)))</f>
        <v/>
      </c>
    </row>
    <row r="57" spans="1:31" s="21" customFormat="1">
      <c r="A57" s="21" t="s">
        <v>948</v>
      </c>
      <c r="B57" s="21">
        <f t="shared" si="0"/>
        <v>1</v>
      </c>
      <c r="C57" s="21" t="str">
        <f t="shared" si="1"/>
        <v>B</v>
      </c>
      <c r="D57" s="17" t="e">
        <f>IF($C57="B",VLOOKUP($A57,Bat!$A$4:$BD$2323,D$1,FALSE),VLOOKUP($A57,Pit!$A$4:$AZ$2261,D$2,FALSE))</f>
        <v>#N/A</v>
      </c>
      <c r="E57" s="16" t="str">
        <f>IF($C57="B",VLOOKUP($A57,Bat!$A$4:$BD$2323,E$1,FALSE),VLOOKUP($A57,Pit!$A$4:$AZ$2261,E$2,FALSE))</f>
        <v>RF</v>
      </c>
      <c r="F57" s="16" t="str">
        <f>IF($C57="B",VLOOKUP($A57,Bat!$A$4:$BD$2323,F$1,FALSE),VLOOKUP($A57,Pit!$A$4:$AZ$2261,F$2,FALSE))</f>
        <v>Juan Pérez</v>
      </c>
      <c r="G57" s="16">
        <f>IF($C57="B",VLOOKUP($A57,Bat!$A$4:$BD$2323,G$1,FALSE),VLOOKUP($A57,Pit!$A$4:$AZ$2261,G$2,FALSE))</f>
        <v>21</v>
      </c>
      <c r="H57" s="16" t="str">
        <f>IF($C57="B",VLOOKUP($A57,Bat!$A$4:$BD$2323,H$1,FALSE),VLOOKUP($A57,Pit!$A$4:$AZ$2261,H$2,FALSE))</f>
        <v>L</v>
      </c>
      <c r="I57" s="16" t="str">
        <f>IF($C57="B",VLOOKUP($A57,Bat!$A$4:$BD$2323,I$1,FALSE),VLOOKUP($A57,Pit!$A$4:$AZ$2261,I$2,FALSE))</f>
        <v>L</v>
      </c>
      <c r="J57" s="16" t="str">
        <f>IF($C57="B",VLOOKUP($A57,Bat!$A$4:$BD$2323,J$1,FALSE),VLOOKUP($A57,Pit!$A$4:$AZ$2261,J$2,FALSE))</f>
        <v>Normal</v>
      </c>
      <c r="K57" s="17" t="str">
        <f>IF($C57="B",VLOOKUP($A57,Bat!$A$4:$BD$2323,K$1,FALSE),VLOOKUP($A57,Pit!$A$4:$AZ$2261,K$2,FALSE))</f>
        <v>Very High</v>
      </c>
      <c r="L57" s="16">
        <f>IF($C57="B",VLOOKUP($A57,Bat!$A$4:$BD$2323,L$1,FALSE),VLOOKUP($A57,Pit!$A$4:$AZ$2261,L$2,FALSE))</f>
        <v>5</v>
      </c>
      <c r="M57" s="16">
        <f>IF($C57="B",VLOOKUP($A57,Bat!$A$4:$BD$2323,M$1,FALSE),VLOOKUP($A57,Pit!$A$4:$AZ$2261,M$2,FALSE))</f>
        <v>5</v>
      </c>
      <c r="N57" s="16">
        <f>IF($C57="B",VLOOKUP($A57,Bat!$A$4:$BD$2323,N$1,FALSE),VLOOKUP($A57,Pit!$A$4:$AZ$2261,N$2,FALSE))</f>
        <v>5</v>
      </c>
      <c r="O57" s="16">
        <f>IF($C57="B",VLOOKUP($A57,Bat!$A$4:$BD$2323,O$1,FALSE),VLOOKUP($A57,Pit!$A$4:$AZ$2261,O$2,FALSE))</f>
        <v>5</v>
      </c>
      <c r="P57" s="17">
        <f>IF($C57="B",VLOOKUP($A57,Bat!$A$4:$BD$2323,P$1,FALSE),VLOOKUP($A57,Pit!$A$4:$AZ$2261,P$2,FALSE))</f>
        <v>4</v>
      </c>
      <c r="Q57" s="18">
        <f>IF($C57="B",VLOOKUP($A57,Bat!$A$4:$BD$2323,Q$1,FALSE),VLOOKUP($A57,Pit!$A$4:$AZ$2261,Q$2,FALSE))</f>
        <v>13.455265087768989</v>
      </c>
      <c r="R57" s="19">
        <f>IF($C57="B",VLOOKUP($A57,Bat!$A$4:$BD$2323,R$1,FALSE),VLOOKUP($A57,Pit!$A$4:$AZ$2261,R$2,FALSE))</f>
        <v>0.38742413441165863</v>
      </c>
      <c r="S57" s="20" t="str">
        <f>IF($C57="B",VLOOKUP($A57,Bat!$A$4:$BD$2323,S$1,FALSE),VLOOKUP($A57,Pit!$A$4:$AZ$2261,S$2,FALSE))</f>
        <v>Slot</v>
      </c>
      <c r="T57" s="17" t="str">
        <f>IF(S57="Slot","",VLOOKUP(IF($C57="B",VLOOKUP($A57,Bat!$A$4:$AT$2323,T$1,FALSE),VLOOKUP($A57,Pit!$A$4:$BD$2261,T$2,FALSE)),COND!$A$34:$B$40,2,FALSE))</f>
        <v/>
      </c>
      <c r="U57" s="21">
        <f>IF($C57="B",VLOOKUP($A57,Bat!$A$4:$AR$1287,44,FALSE),VLOOKUP($A57,Pit!$A$4:$BB$1239,54,FALSE))</f>
        <v>53</v>
      </c>
      <c r="W57" s="21">
        <f t="shared" si="2"/>
        <v>53</v>
      </c>
      <c r="X57" s="22" t="e">
        <f t="shared" si="3"/>
        <v>#N/A</v>
      </c>
      <c r="Y57" s="16" t="str">
        <f>IF(ISERROR(VLOOKUP($E57&amp;$F57,Results!$A$2:$G$413,Y$1,FALSE)),"",VLOOKUP($E57&amp;$F57,Results!$A$2:$G$413,Y$1,FALSE))</f>
        <v/>
      </c>
      <c r="Z57" s="16" t="str">
        <f>IF(ISERROR(VLOOKUP($E57&amp;$F57,Results!$A$2:$G$413,Z$1,FALSE)),"",VLOOKUP($E57&amp;$F57,Results!$A$2:$G$413,Z$1,FALSE))</f>
        <v/>
      </c>
      <c r="AA57" s="16" t="str">
        <f>IF(ISERROR(VLOOKUP($E57&amp;$F57,Results!$A$2:$G$413,AA$1,FALSE)),"",VLOOKUP($E57&amp;$F57,Results!$A$2:$G$413,AA$1,FALSE))</f>
        <v/>
      </c>
      <c r="AB57" s="16" t="str">
        <f>IF(ISERROR(VLOOKUP($E57&amp;$F57,Results!$A$2:$G$413,AB$1,FALSE)),"",VLOOKUP($E57&amp;$F57,Results!$A$2:$G$413,AB$1,FALSE))</f>
        <v/>
      </c>
      <c r="AC57" s="16"/>
      <c r="AD57" s="20" t="str">
        <f>IF(ISERROR(VLOOKUP($AB57&amp;"-"&amp;$F57,Bonuses!$B$1:$G$1000,4,FALSE)),"",INT(VLOOKUP($AB57&amp;"-"&amp;$F57,Bonuses!$B$1:$G$1000,4,FALSE)))</f>
        <v/>
      </c>
      <c r="AE57" s="16" t="str">
        <f>IF(ISERROR(VLOOKUP($AB57&amp;"-"&amp;$F57,Bonuses!$B$1:$G$1000,5,FALSE)),"",IF(VLOOKUP($AB57&amp;"-"&amp;$F57,Bonuses!$B$1:$G$1000,5,FALSE)="","",VLOOKUP($AB57&amp;"-"&amp;$F57,Bonuses!$B$1:$G$1000,6,FALSE)&amp;" yrs, "&amp;VLOOKUP($AB57&amp;"-"&amp;$F57,Bonuses!$B$1:$G$1000,5,FALSE)))</f>
        <v/>
      </c>
    </row>
    <row r="58" spans="1:31" s="21" customFormat="1">
      <c r="A58" s="21" t="s">
        <v>1087</v>
      </c>
      <c r="B58" s="21">
        <f t="shared" si="0"/>
        <v>1</v>
      </c>
      <c r="C58" s="21" t="str">
        <f t="shared" si="1"/>
        <v>B</v>
      </c>
      <c r="D58" s="17">
        <f>IF($C58="B",VLOOKUP($A58,Bat!$A$4:$BD$2323,D$1,FALSE),VLOOKUP($A58,Pit!$A$4:$AZ$2261,D$2,FALSE))</f>
        <v>1162</v>
      </c>
      <c r="E58" s="16" t="str">
        <f>IF($C58="B",VLOOKUP($A58,Bat!$A$4:$BD$2323,E$1,FALSE),VLOOKUP($A58,Pit!$A$4:$AZ$2261,E$2,FALSE))</f>
        <v>2B</v>
      </c>
      <c r="F58" s="16" t="str">
        <f>IF($C58="B",VLOOKUP($A58,Bat!$A$4:$BD$2323,F$1,FALSE),VLOOKUP($A58,Pit!$A$4:$AZ$2261,F$2,FALSE))</f>
        <v>Javier Torres</v>
      </c>
      <c r="G58" s="16">
        <f>IF($C58="B",VLOOKUP($A58,Bat!$A$4:$BD$2323,G$1,FALSE),VLOOKUP($A58,Pit!$A$4:$AZ$2261,G$2,FALSE))</f>
        <v>18</v>
      </c>
      <c r="H58" s="16" t="str">
        <f>IF($C58="B",VLOOKUP($A58,Bat!$A$4:$BD$2323,H$1,FALSE),VLOOKUP($A58,Pit!$A$4:$AZ$2261,H$2,FALSE))</f>
        <v>R</v>
      </c>
      <c r="I58" s="16" t="str">
        <f>IF($C58="B",VLOOKUP($A58,Bat!$A$4:$BD$2323,I$1,FALSE),VLOOKUP($A58,Pit!$A$4:$AZ$2261,I$2,FALSE))</f>
        <v>R</v>
      </c>
      <c r="J58" s="16" t="str">
        <f>IF($C58="B",VLOOKUP($A58,Bat!$A$4:$BD$2323,J$1,FALSE),VLOOKUP($A58,Pit!$A$4:$AZ$2261,J$2,FALSE))</f>
        <v>Normal</v>
      </c>
      <c r="K58" s="17" t="str">
        <f>IF($C58="B",VLOOKUP($A58,Bat!$A$4:$BD$2323,K$1,FALSE),VLOOKUP($A58,Pit!$A$4:$AZ$2261,K$2,FALSE))</f>
        <v>Low</v>
      </c>
      <c r="L58" s="16">
        <f>IF($C58="B",VLOOKUP($A58,Bat!$A$4:$BD$2323,L$1,FALSE),VLOOKUP($A58,Pit!$A$4:$AZ$2261,L$2,FALSE))</f>
        <v>8</v>
      </c>
      <c r="M58" s="16">
        <f>IF($C58="B",VLOOKUP($A58,Bat!$A$4:$BD$2323,M$1,FALSE),VLOOKUP($A58,Pit!$A$4:$AZ$2261,M$2,FALSE))</f>
        <v>9</v>
      </c>
      <c r="N58" s="16">
        <f>IF($C58="B",VLOOKUP($A58,Bat!$A$4:$BD$2323,N$1,FALSE),VLOOKUP($A58,Pit!$A$4:$AZ$2261,N$2,FALSE))</f>
        <v>6</v>
      </c>
      <c r="O58" s="16">
        <f>IF($C58="B",VLOOKUP($A58,Bat!$A$4:$BD$2323,O$1,FALSE),VLOOKUP($A58,Pit!$A$4:$AZ$2261,O$2,FALSE))</f>
        <v>4</v>
      </c>
      <c r="P58" s="17">
        <f>IF($C58="B",VLOOKUP($A58,Bat!$A$4:$BD$2323,P$1,FALSE),VLOOKUP($A58,Pit!$A$4:$AZ$2261,P$2,FALSE))</f>
        <v>6</v>
      </c>
      <c r="Q58" s="18">
        <f>IF($C58="B",VLOOKUP($A58,Bat!$A$4:$BD$2323,Q$1,FALSE),VLOOKUP($A58,Pit!$A$4:$AZ$2261,Q$2,FALSE))</f>
        <v>28.123431315643934</v>
      </c>
      <c r="R58" s="19">
        <f>IF($C58="B",VLOOKUP($A58,Bat!$A$4:$BD$2323,R$1,FALSE),VLOOKUP($A58,Pit!$A$4:$AZ$2261,R$2,FALSE))</f>
        <v>2.4251793679594695</v>
      </c>
      <c r="S58" s="20">
        <f>IF($C58="B",VLOOKUP($A58,Bat!$A$4:$BD$2323,S$1,FALSE),VLOOKUP($A58,Pit!$A$4:$AZ$2261,S$2,FALSE))</f>
        <v>2800000</v>
      </c>
      <c r="T58" s="17" t="str">
        <f>IF(S58="Slot","",VLOOKUP(IF($C58="B",VLOOKUP($A58,Bat!$A$4:$AT$2323,T$1,FALSE),VLOOKUP($A58,Pit!$A$4:$BD$2261,T$2,FALSE)),COND!$A$34:$B$40,2,FALSE))</f>
        <v>H</v>
      </c>
      <c r="U58" s="21">
        <f>IF($C58="B",VLOOKUP($A58,Bat!$A$4:$AR$1287,44,FALSE),VLOOKUP($A58,Pit!$A$4:$BB$1239,54,FALSE))</f>
        <v>54</v>
      </c>
      <c r="W58" s="21">
        <f t="shared" si="2"/>
        <v>54</v>
      </c>
      <c r="X58" s="22" t="e">
        <f t="shared" si="3"/>
        <v>#N/A</v>
      </c>
      <c r="Y58" s="16" t="str">
        <f>IF(ISERROR(VLOOKUP($E58&amp;$F58,Results!$A$2:$G$413,Y$1,FALSE)),"",VLOOKUP($E58&amp;$F58,Results!$A$2:$G$413,Y$1,FALSE))</f>
        <v/>
      </c>
      <c r="Z58" s="16" t="str">
        <f>IF(ISERROR(VLOOKUP($E58&amp;$F58,Results!$A$2:$G$413,Z$1,FALSE)),"",VLOOKUP($E58&amp;$F58,Results!$A$2:$G$413,Z$1,FALSE))</f>
        <v/>
      </c>
      <c r="AA58" s="16" t="str">
        <f>IF(ISERROR(VLOOKUP($E58&amp;$F58,Results!$A$2:$G$413,AA$1,FALSE)),"",VLOOKUP($E58&amp;$F58,Results!$A$2:$G$413,AA$1,FALSE))</f>
        <v/>
      </c>
      <c r="AB58" s="16" t="str">
        <f>IF(ISERROR(VLOOKUP($E58&amp;$F58,Results!$A$2:$G$413,AB$1,FALSE)),"",VLOOKUP($E58&amp;$F58,Results!$A$2:$G$413,AB$1,FALSE))</f>
        <v/>
      </c>
      <c r="AC58" s="16"/>
      <c r="AD58" s="20" t="str">
        <f>IF(ISERROR(VLOOKUP($AB58&amp;"-"&amp;$F58,Bonuses!$B$1:$G$1000,4,FALSE)),"",INT(VLOOKUP($AB58&amp;"-"&amp;$F58,Bonuses!$B$1:$G$1000,4,FALSE)))</f>
        <v/>
      </c>
      <c r="AE58" s="16" t="str">
        <f>IF(ISERROR(VLOOKUP($AB58&amp;"-"&amp;$F58,Bonuses!$B$1:$G$1000,5,FALSE)),"",IF(VLOOKUP($AB58&amp;"-"&amp;$F58,Bonuses!$B$1:$G$1000,5,FALSE)="","",VLOOKUP($AB58&amp;"-"&amp;$F58,Bonuses!$B$1:$G$1000,6,FALSE)&amp;" yrs, "&amp;VLOOKUP($AB58&amp;"-"&amp;$F58,Bonuses!$B$1:$G$1000,5,FALSE)))</f>
        <v/>
      </c>
    </row>
    <row r="59" spans="1:31" s="21" customFormat="1">
      <c r="A59" s="21" t="s">
        <v>250</v>
      </c>
      <c r="B59" s="21">
        <f t="shared" si="0"/>
        <v>1</v>
      </c>
      <c r="C59" s="21" t="str">
        <f t="shared" si="1"/>
        <v>B</v>
      </c>
      <c r="D59" s="17">
        <f>IF($C59="B",VLOOKUP($A59,Bat!$A$4:$BD$2323,D$1,FALSE),VLOOKUP($A59,Pit!$A$4:$AZ$2261,D$2,FALSE))</f>
        <v>1753</v>
      </c>
      <c r="E59" s="16" t="str">
        <f>IF($C59="B",VLOOKUP($A59,Bat!$A$4:$BD$2323,E$1,FALSE),VLOOKUP($A59,Pit!$A$4:$AZ$2261,E$2,FALSE))</f>
        <v>LF</v>
      </c>
      <c r="F59" s="16" t="str">
        <f>IF($C59="B",VLOOKUP($A59,Bat!$A$4:$BD$2323,F$1,FALSE),VLOOKUP($A59,Pit!$A$4:$AZ$2261,F$2,FALSE))</f>
        <v>Stu Greer</v>
      </c>
      <c r="G59" s="16">
        <f>IF($C59="B",VLOOKUP($A59,Bat!$A$4:$BD$2323,G$1,FALSE),VLOOKUP($A59,Pit!$A$4:$AZ$2261,G$2,FALSE))</f>
        <v>18</v>
      </c>
      <c r="H59" s="16" t="str">
        <f>IF($C59="B",VLOOKUP($A59,Bat!$A$4:$BD$2323,H$1,FALSE),VLOOKUP($A59,Pit!$A$4:$AZ$2261,H$2,FALSE))</f>
        <v>R</v>
      </c>
      <c r="I59" s="16" t="str">
        <f>IF($C59="B",VLOOKUP($A59,Bat!$A$4:$BD$2323,I$1,FALSE),VLOOKUP($A59,Pit!$A$4:$AZ$2261,I$2,FALSE))</f>
        <v>R</v>
      </c>
      <c r="J59" s="16" t="str">
        <f>IF($C59="B",VLOOKUP($A59,Bat!$A$4:$BD$2323,J$1,FALSE),VLOOKUP($A59,Pit!$A$4:$AZ$2261,J$2,FALSE))</f>
        <v>Low</v>
      </c>
      <c r="K59" s="17" t="str">
        <f>IF($C59="B",VLOOKUP($A59,Bat!$A$4:$BD$2323,K$1,FALSE),VLOOKUP($A59,Pit!$A$4:$AZ$2261,K$2,FALSE))</f>
        <v>Very Low</v>
      </c>
      <c r="L59" s="16">
        <f>IF($C59="B",VLOOKUP($A59,Bat!$A$4:$BD$2323,L$1,FALSE),VLOOKUP($A59,Pit!$A$4:$AZ$2261,L$2,FALSE))</f>
        <v>7</v>
      </c>
      <c r="M59" s="16">
        <f>IF($C59="B",VLOOKUP($A59,Bat!$A$4:$BD$2323,M$1,FALSE),VLOOKUP($A59,Pit!$A$4:$AZ$2261,M$2,FALSE))</f>
        <v>6</v>
      </c>
      <c r="N59" s="16">
        <f>IF($C59="B",VLOOKUP($A59,Bat!$A$4:$BD$2323,N$1,FALSE),VLOOKUP($A59,Pit!$A$4:$AZ$2261,N$2,FALSE))</f>
        <v>6</v>
      </c>
      <c r="O59" s="16">
        <f>IF($C59="B",VLOOKUP($A59,Bat!$A$4:$BD$2323,O$1,FALSE),VLOOKUP($A59,Pit!$A$4:$AZ$2261,O$2,FALSE))</f>
        <v>6</v>
      </c>
      <c r="P59" s="17">
        <f>IF($C59="B",VLOOKUP($A59,Bat!$A$4:$BD$2323,P$1,FALSE),VLOOKUP($A59,Pit!$A$4:$AZ$2261,P$2,FALSE))</f>
        <v>5</v>
      </c>
      <c r="Q59" s="18">
        <f>IF($C59="B",VLOOKUP($A59,Bat!$A$4:$BD$2323,Q$1,FALSE),VLOOKUP($A59,Pit!$A$4:$AZ$2261,Q$2,FALSE))</f>
        <v>23.420772070696792</v>
      </c>
      <c r="R59" s="19">
        <f>IF($C59="B",VLOOKUP($A59,Bat!$A$4:$BD$2323,R$1,FALSE),VLOOKUP($A59,Pit!$A$4:$AZ$2261,R$2,FALSE))</f>
        <v>1.7718687673629177</v>
      </c>
      <c r="S59" s="20" t="str">
        <f>IF($C59="B",VLOOKUP($A59,Bat!$A$4:$BD$2323,S$1,FALSE),VLOOKUP($A59,Pit!$A$4:$AZ$2261,S$2,FALSE))</f>
        <v>Slot</v>
      </c>
      <c r="T59" s="17" t="str">
        <f>IF(S59="Slot","",VLOOKUP(IF($C59="B",VLOOKUP($A59,Bat!$A$4:$AT$2323,T$1,FALSE),VLOOKUP($A59,Pit!$A$4:$BD$2261,T$2,FALSE)),COND!$A$34:$B$40,2,FALSE))</f>
        <v/>
      </c>
      <c r="U59" s="21">
        <f>IF($C59="B",VLOOKUP($A59,Bat!$A$4:$AR$1287,44,FALSE),VLOOKUP($A59,Pit!$A$4:$BB$1239,54,FALSE))</f>
        <v>55</v>
      </c>
      <c r="W59" s="21">
        <f t="shared" si="2"/>
        <v>55</v>
      </c>
      <c r="X59" s="22" t="e">
        <f t="shared" si="3"/>
        <v>#N/A</v>
      </c>
      <c r="Y59" s="16" t="str">
        <f>IF(ISERROR(VLOOKUP($E59&amp;$F59,Results!$A$2:$G$413,Y$1,FALSE)),"",VLOOKUP($E59&amp;$F59,Results!$A$2:$G$413,Y$1,FALSE))</f>
        <v/>
      </c>
      <c r="Z59" s="16" t="str">
        <f>IF(ISERROR(VLOOKUP($E59&amp;$F59,Results!$A$2:$G$413,Z$1,FALSE)),"",VLOOKUP($E59&amp;$F59,Results!$A$2:$G$413,Z$1,FALSE))</f>
        <v/>
      </c>
      <c r="AA59" s="16" t="str">
        <f>IF(ISERROR(VLOOKUP($E59&amp;$F59,Results!$A$2:$G$413,AA$1,FALSE)),"",VLOOKUP($E59&amp;$F59,Results!$A$2:$G$413,AA$1,FALSE))</f>
        <v/>
      </c>
      <c r="AB59" s="16" t="str">
        <f>IF(ISERROR(VLOOKUP($E59&amp;$F59,Results!$A$2:$G$413,AB$1,FALSE)),"",VLOOKUP($E59&amp;$F59,Results!$A$2:$G$413,AB$1,FALSE))</f>
        <v/>
      </c>
      <c r="AC59" s="16"/>
      <c r="AD59" s="20" t="str">
        <f>IF(ISERROR(VLOOKUP($AB59&amp;"-"&amp;$F59,Bonuses!$B$1:$G$1000,4,FALSE)),"",INT(VLOOKUP($AB59&amp;"-"&amp;$F59,Bonuses!$B$1:$G$1000,4,FALSE)))</f>
        <v/>
      </c>
      <c r="AE59" s="16" t="str">
        <f>IF(ISERROR(VLOOKUP($AB59&amp;"-"&amp;$F59,Bonuses!$B$1:$G$1000,5,FALSE)),"",IF(VLOOKUP($AB59&amp;"-"&amp;$F59,Bonuses!$B$1:$G$1000,5,FALSE)="","",VLOOKUP($AB59&amp;"-"&amp;$F59,Bonuses!$B$1:$G$1000,6,FALSE)&amp;" yrs, "&amp;VLOOKUP($AB59&amp;"-"&amp;$F59,Bonuses!$B$1:$G$1000,5,FALSE)))</f>
        <v/>
      </c>
    </row>
    <row r="60" spans="1:31" s="21" customFormat="1">
      <c r="A60" s="21" t="s">
        <v>947</v>
      </c>
      <c r="B60" s="21">
        <f t="shared" si="0"/>
        <v>1</v>
      </c>
      <c r="C60" s="21" t="str">
        <f t="shared" si="1"/>
        <v>B</v>
      </c>
      <c r="D60" s="17">
        <f>IF($C60="B",VLOOKUP($A60,Bat!$A$4:$BD$2323,D$1,FALSE),VLOOKUP($A60,Pit!$A$4:$AZ$2261,D$2,FALSE))</f>
        <v>6534</v>
      </c>
      <c r="E60" s="16" t="str">
        <f>IF($C60="B",VLOOKUP($A60,Bat!$A$4:$BD$2323,E$1,FALSE),VLOOKUP($A60,Pit!$A$4:$AZ$2261,E$2,FALSE))</f>
        <v>LF</v>
      </c>
      <c r="F60" s="16" t="str">
        <f>IF($C60="B",VLOOKUP($A60,Bat!$A$4:$BD$2323,F$1,FALSE),VLOOKUP($A60,Pit!$A$4:$AZ$2261,F$2,FALSE))</f>
        <v>Kenny Hand</v>
      </c>
      <c r="G60" s="16">
        <f>IF($C60="B",VLOOKUP($A60,Bat!$A$4:$BD$2323,G$1,FALSE),VLOOKUP($A60,Pit!$A$4:$AZ$2261,G$2,FALSE))</f>
        <v>21</v>
      </c>
      <c r="H60" s="16" t="str">
        <f>IF($C60="B",VLOOKUP($A60,Bat!$A$4:$BD$2323,H$1,FALSE),VLOOKUP($A60,Pit!$A$4:$AZ$2261,H$2,FALSE))</f>
        <v>R</v>
      </c>
      <c r="I60" s="16" t="str">
        <f>IF($C60="B",VLOOKUP($A60,Bat!$A$4:$BD$2323,I$1,FALSE),VLOOKUP($A60,Pit!$A$4:$AZ$2261,I$2,FALSE))</f>
        <v>R</v>
      </c>
      <c r="J60" s="16" t="str">
        <f>IF($C60="B",VLOOKUP($A60,Bat!$A$4:$BD$2323,J$1,FALSE),VLOOKUP($A60,Pit!$A$4:$AZ$2261,J$2,FALSE))</f>
        <v>Normal</v>
      </c>
      <c r="K60" s="17" t="str">
        <f>IF($C60="B",VLOOKUP($A60,Bat!$A$4:$BD$2323,K$1,FALSE),VLOOKUP($A60,Pit!$A$4:$AZ$2261,K$2,FALSE))</f>
        <v>Normal</v>
      </c>
      <c r="L60" s="16">
        <f>IF($C60="B",VLOOKUP($A60,Bat!$A$4:$BD$2323,L$1,FALSE),VLOOKUP($A60,Pit!$A$4:$AZ$2261,L$2,FALSE))</f>
        <v>5</v>
      </c>
      <c r="M60" s="16">
        <f>IF($C60="B",VLOOKUP($A60,Bat!$A$4:$BD$2323,M$1,FALSE),VLOOKUP($A60,Pit!$A$4:$AZ$2261,M$2,FALSE))</f>
        <v>5</v>
      </c>
      <c r="N60" s="16">
        <f>IF($C60="B",VLOOKUP($A60,Bat!$A$4:$BD$2323,N$1,FALSE),VLOOKUP($A60,Pit!$A$4:$AZ$2261,N$2,FALSE))</f>
        <v>5</v>
      </c>
      <c r="O60" s="16">
        <f>IF($C60="B",VLOOKUP($A60,Bat!$A$4:$BD$2323,O$1,FALSE),VLOOKUP($A60,Pit!$A$4:$AZ$2261,O$2,FALSE))</f>
        <v>4</v>
      </c>
      <c r="P60" s="17">
        <f>IF($C60="B",VLOOKUP($A60,Bat!$A$4:$BD$2323,P$1,FALSE),VLOOKUP($A60,Pit!$A$4:$AZ$2261,P$2,FALSE))</f>
        <v>4</v>
      </c>
      <c r="Q60" s="18">
        <f>IF($C60="B",VLOOKUP($A60,Bat!$A$4:$BD$2323,Q$1,FALSE),VLOOKUP($A60,Pit!$A$4:$AZ$2261,Q$2,FALSE))</f>
        <v>12.817306330442422</v>
      </c>
      <c r="R60" s="19">
        <f>IF($C60="B",VLOOKUP($A60,Bat!$A$4:$BD$2323,R$1,FALSE),VLOOKUP($A60,Pit!$A$4:$AZ$2261,R$2,FALSE))</f>
        <v>0.29879657345183114</v>
      </c>
      <c r="S60" s="20" t="str">
        <f>IF($C60="B",VLOOKUP($A60,Bat!$A$4:$BD$2323,S$1,FALSE),VLOOKUP($A60,Pit!$A$4:$AZ$2261,S$2,FALSE))</f>
        <v>Slot</v>
      </c>
      <c r="T60" s="17" t="str">
        <f>IF(S60="Slot","",VLOOKUP(IF($C60="B",VLOOKUP($A60,Bat!$A$4:$AT$2323,T$1,FALSE),VLOOKUP($A60,Pit!$A$4:$BD$2261,T$2,FALSE)),COND!$A$34:$B$40,2,FALSE))</f>
        <v/>
      </c>
      <c r="U60" s="21">
        <f>IF($C60="B",VLOOKUP($A60,Bat!$A$4:$AR$1287,44,FALSE),VLOOKUP($A60,Pit!$A$4:$BB$1239,54,FALSE))</f>
        <v>56</v>
      </c>
      <c r="W60" s="21">
        <f t="shared" si="2"/>
        <v>56</v>
      </c>
      <c r="X60" s="22" t="e">
        <f t="shared" si="3"/>
        <v>#N/A</v>
      </c>
      <c r="Y60" s="16" t="str">
        <f>IF(ISERROR(VLOOKUP($E60&amp;$F60,Results!$A$2:$G$413,Y$1,FALSE)),"",VLOOKUP($E60&amp;$F60,Results!$A$2:$G$413,Y$1,FALSE))</f>
        <v/>
      </c>
      <c r="Z60" s="16" t="str">
        <f>IF(ISERROR(VLOOKUP($E60&amp;$F60,Results!$A$2:$G$413,Z$1,FALSE)),"",VLOOKUP($E60&amp;$F60,Results!$A$2:$G$413,Z$1,FALSE))</f>
        <v/>
      </c>
      <c r="AA60" s="16" t="str">
        <f>IF(ISERROR(VLOOKUP($E60&amp;$F60,Results!$A$2:$G$413,AA$1,FALSE)),"",VLOOKUP($E60&amp;$F60,Results!$A$2:$G$413,AA$1,FALSE))</f>
        <v/>
      </c>
      <c r="AB60" s="16" t="str">
        <f>IF(ISERROR(VLOOKUP($E60&amp;$F60,Results!$A$2:$G$413,AB$1,FALSE)),"",VLOOKUP($E60&amp;$F60,Results!$A$2:$G$413,AB$1,FALSE))</f>
        <v/>
      </c>
      <c r="AC60" s="16"/>
      <c r="AD60" s="20" t="str">
        <f>IF(ISERROR(VLOOKUP($AB60&amp;"-"&amp;$F60,Bonuses!$B$1:$G$1000,4,FALSE)),"",INT(VLOOKUP($AB60&amp;"-"&amp;$F60,Bonuses!$B$1:$G$1000,4,FALSE)))</f>
        <v/>
      </c>
      <c r="AE60" s="16" t="str">
        <f>IF(ISERROR(VLOOKUP($AB60&amp;"-"&amp;$F60,Bonuses!$B$1:$G$1000,5,FALSE)),"",IF(VLOOKUP($AB60&amp;"-"&amp;$F60,Bonuses!$B$1:$G$1000,5,FALSE)="","",VLOOKUP($AB60&amp;"-"&amp;$F60,Bonuses!$B$1:$G$1000,6,FALSE)&amp;" yrs, "&amp;VLOOKUP($AB60&amp;"-"&amp;$F60,Bonuses!$B$1:$G$1000,5,FALSE)))</f>
        <v/>
      </c>
    </row>
    <row r="61" spans="1:31" s="21" customFormat="1">
      <c r="A61" s="21" t="s">
        <v>954</v>
      </c>
      <c r="B61" s="21">
        <f t="shared" si="0"/>
        <v>1</v>
      </c>
      <c r="C61" s="21" t="str">
        <f t="shared" si="1"/>
        <v>B</v>
      </c>
      <c r="D61" s="17">
        <f>IF($C61="B",VLOOKUP($A61,Bat!$A$4:$BD$2323,D$1,FALSE),VLOOKUP($A61,Pit!$A$4:$AZ$2261,D$2,FALSE))</f>
        <v>2017</v>
      </c>
      <c r="E61" s="16" t="str">
        <f>IF($C61="B",VLOOKUP($A61,Bat!$A$4:$BD$2323,E$1,FALSE),VLOOKUP($A61,Pit!$A$4:$AZ$2261,E$2,FALSE))</f>
        <v>SS</v>
      </c>
      <c r="F61" s="16" t="str">
        <f>IF($C61="B",VLOOKUP($A61,Bat!$A$4:$BD$2323,F$1,FALSE),VLOOKUP($A61,Pit!$A$4:$AZ$2261,F$2,FALSE))</f>
        <v>Bobby Miller</v>
      </c>
      <c r="G61" s="16">
        <f>IF($C61="B",VLOOKUP($A61,Bat!$A$4:$BD$2323,G$1,FALSE),VLOOKUP($A61,Pit!$A$4:$AZ$2261,G$2,FALSE))</f>
        <v>21</v>
      </c>
      <c r="H61" s="16" t="str">
        <f>IF($C61="B",VLOOKUP($A61,Bat!$A$4:$BD$2323,H$1,FALSE),VLOOKUP($A61,Pit!$A$4:$AZ$2261,H$2,FALSE))</f>
        <v>R</v>
      </c>
      <c r="I61" s="16" t="str">
        <f>IF($C61="B",VLOOKUP($A61,Bat!$A$4:$BD$2323,I$1,FALSE),VLOOKUP($A61,Pit!$A$4:$AZ$2261,I$2,FALSE))</f>
        <v>R</v>
      </c>
      <c r="J61" s="16" t="str">
        <f>IF($C61="B",VLOOKUP($A61,Bat!$A$4:$BD$2323,J$1,FALSE),VLOOKUP($A61,Pit!$A$4:$AZ$2261,J$2,FALSE))</f>
        <v>Very Low</v>
      </c>
      <c r="K61" s="17" t="str">
        <f>IF($C61="B",VLOOKUP($A61,Bat!$A$4:$BD$2323,K$1,FALSE),VLOOKUP($A61,Pit!$A$4:$AZ$2261,K$2,FALSE))</f>
        <v>Very High</v>
      </c>
      <c r="L61" s="16">
        <f>IF($C61="B",VLOOKUP($A61,Bat!$A$4:$BD$2323,L$1,FALSE),VLOOKUP($A61,Pit!$A$4:$AZ$2261,L$2,FALSE))</f>
        <v>5</v>
      </c>
      <c r="M61" s="16">
        <f>IF($C61="B",VLOOKUP($A61,Bat!$A$4:$BD$2323,M$1,FALSE),VLOOKUP($A61,Pit!$A$4:$AZ$2261,M$2,FALSE))</f>
        <v>4</v>
      </c>
      <c r="N61" s="16">
        <f>IF($C61="B",VLOOKUP($A61,Bat!$A$4:$BD$2323,N$1,FALSE),VLOOKUP($A61,Pit!$A$4:$AZ$2261,N$2,FALSE))</f>
        <v>2</v>
      </c>
      <c r="O61" s="16">
        <f>IF($C61="B",VLOOKUP($A61,Bat!$A$4:$BD$2323,O$1,FALSE),VLOOKUP($A61,Pit!$A$4:$AZ$2261,O$2,FALSE))</f>
        <v>6</v>
      </c>
      <c r="P61" s="17">
        <f>IF($C61="B",VLOOKUP($A61,Bat!$A$4:$BD$2323,P$1,FALSE),VLOOKUP($A61,Pit!$A$4:$AZ$2261,P$2,FALSE))</f>
        <v>4</v>
      </c>
      <c r="Q61" s="18">
        <f>IF($C61="B",VLOOKUP($A61,Bat!$A$4:$BD$2323,Q$1,FALSE),VLOOKUP($A61,Pit!$A$4:$AZ$2261,Q$2,FALSE))</f>
        <v>11.943589096160462</v>
      </c>
      <c r="R61" s="19">
        <f>IF($C61="B",VLOOKUP($A61,Bat!$A$4:$BD$2323,R$1,FALSE),VLOOKUP($A61,Pit!$A$4:$AZ$2261,R$2,FALSE))</f>
        <v>0.1774165836740004</v>
      </c>
      <c r="S61" s="20" t="str">
        <f>IF($C61="B",VLOOKUP($A61,Bat!$A$4:$BD$2323,S$1,FALSE),VLOOKUP($A61,Pit!$A$4:$AZ$2261,S$2,FALSE))</f>
        <v>Slot</v>
      </c>
      <c r="T61" s="17" t="str">
        <f>IF(S61="Slot","",VLOOKUP(IF($C61="B",VLOOKUP($A61,Bat!$A$4:$AT$2323,T$1,FALSE),VLOOKUP($A61,Pit!$A$4:$BD$2261,T$2,FALSE)),COND!$A$34:$B$40,2,FALSE))</f>
        <v/>
      </c>
      <c r="U61" s="21">
        <f>IF($C61="B",VLOOKUP($A61,Bat!$A$4:$AR$1287,44,FALSE),VLOOKUP($A61,Pit!$A$4:$BB$1239,54,FALSE))</f>
        <v>57</v>
      </c>
      <c r="W61" s="21">
        <f t="shared" si="2"/>
        <v>57</v>
      </c>
      <c r="X61" s="22" t="e">
        <f t="shared" si="3"/>
        <v>#N/A</v>
      </c>
      <c r="Y61" s="16" t="str">
        <f>IF(ISERROR(VLOOKUP($E61&amp;$F61,Results!$A$2:$G$413,Y$1,FALSE)),"",VLOOKUP($E61&amp;$F61,Results!$A$2:$G$413,Y$1,FALSE))</f>
        <v/>
      </c>
      <c r="Z61" s="16" t="str">
        <f>IF(ISERROR(VLOOKUP($E61&amp;$F61,Results!$A$2:$G$413,Z$1,FALSE)),"",VLOOKUP($E61&amp;$F61,Results!$A$2:$G$413,Z$1,FALSE))</f>
        <v/>
      </c>
      <c r="AA61" s="16" t="str">
        <f>IF(ISERROR(VLOOKUP($E61&amp;$F61,Results!$A$2:$G$413,AA$1,FALSE)),"",VLOOKUP($E61&amp;$F61,Results!$A$2:$G$413,AA$1,FALSE))</f>
        <v/>
      </c>
      <c r="AB61" s="16" t="str">
        <f>IF(ISERROR(VLOOKUP($E61&amp;$F61,Results!$A$2:$G$413,AB$1,FALSE)),"",VLOOKUP($E61&amp;$F61,Results!$A$2:$G$413,AB$1,FALSE))</f>
        <v/>
      </c>
      <c r="AC61" s="16"/>
      <c r="AD61" s="20" t="str">
        <f>IF(ISERROR(VLOOKUP($AB61&amp;"-"&amp;$F61,Bonuses!$B$1:$G$1000,4,FALSE)),"",INT(VLOOKUP($AB61&amp;"-"&amp;$F61,Bonuses!$B$1:$G$1000,4,FALSE)))</f>
        <v/>
      </c>
      <c r="AE61" s="16" t="str">
        <f>IF(ISERROR(VLOOKUP($AB61&amp;"-"&amp;$F61,Bonuses!$B$1:$G$1000,5,FALSE)),"",IF(VLOOKUP($AB61&amp;"-"&amp;$F61,Bonuses!$B$1:$G$1000,5,FALSE)="","",VLOOKUP($AB61&amp;"-"&amp;$F61,Bonuses!$B$1:$G$1000,6,FALSE)&amp;" yrs, "&amp;VLOOKUP($AB61&amp;"-"&amp;$F61,Bonuses!$B$1:$G$1000,5,FALSE)))</f>
        <v/>
      </c>
    </row>
    <row r="62" spans="1:31" s="21" customFormat="1">
      <c r="A62" s="21" t="s">
        <v>951</v>
      </c>
      <c r="B62" s="21">
        <f t="shared" si="0"/>
        <v>1</v>
      </c>
      <c r="C62" s="21" t="str">
        <f t="shared" si="1"/>
        <v>B</v>
      </c>
      <c r="D62" s="17">
        <f>IF($C62="B",VLOOKUP($A62,Bat!$A$4:$BD$2323,D$1,FALSE),VLOOKUP($A62,Pit!$A$4:$AZ$2261,D$2,FALSE))</f>
        <v>8929</v>
      </c>
      <c r="E62" s="16" t="str">
        <f>IF($C62="B",VLOOKUP($A62,Bat!$A$4:$BD$2323,E$1,FALSE),VLOOKUP($A62,Pit!$A$4:$AZ$2261,E$2,FALSE))</f>
        <v>CF</v>
      </c>
      <c r="F62" s="16" t="str">
        <f>IF($C62="B",VLOOKUP($A62,Bat!$A$4:$BD$2323,F$1,FALSE),VLOOKUP($A62,Pit!$A$4:$AZ$2261,F$2,FALSE))</f>
        <v>Oliver McBride</v>
      </c>
      <c r="G62" s="16">
        <f>IF($C62="B",VLOOKUP($A62,Bat!$A$4:$BD$2323,G$1,FALSE),VLOOKUP($A62,Pit!$A$4:$AZ$2261,G$2,FALSE))</f>
        <v>21</v>
      </c>
      <c r="H62" s="16" t="str">
        <f>IF($C62="B",VLOOKUP($A62,Bat!$A$4:$BD$2323,H$1,FALSE),VLOOKUP($A62,Pit!$A$4:$AZ$2261,H$2,FALSE))</f>
        <v>R</v>
      </c>
      <c r="I62" s="16" t="str">
        <f>IF($C62="B",VLOOKUP($A62,Bat!$A$4:$BD$2323,I$1,FALSE),VLOOKUP($A62,Pit!$A$4:$AZ$2261,I$2,FALSE))</f>
        <v>R</v>
      </c>
      <c r="J62" s="16" t="str">
        <f>IF($C62="B",VLOOKUP($A62,Bat!$A$4:$BD$2323,J$1,FALSE),VLOOKUP($A62,Pit!$A$4:$AZ$2261,J$2,FALSE))</f>
        <v>Very High</v>
      </c>
      <c r="K62" s="17" t="str">
        <f>IF($C62="B",VLOOKUP($A62,Bat!$A$4:$BD$2323,K$1,FALSE),VLOOKUP($A62,Pit!$A$4:$AZ$2261,K$2,FALSE))</f>
        <v>Low</v>
      </c>
      <c r="L62" s="16">
        <f>IF($C62="B",VLOOKUP($A62,Bat!$A$4:$BD$2323,L$1,FALSE),VLOOKUP($A62,Pit!$A$4:$AZ$2261,L$2,FALSE))</f>
        <v>5</v>
      </c>
      <c r="M62" s="16">
        <f>IF($C62="B",VLOOKUP($A62,Bat!$A$4:$BD$2323,M$1,FALSE),VLOOKUP($A62,Pit!$A$4:$AZ$2261,M$2,FALSE))</f>
        <v>4</v>
      </c>
      <c r="N62" s="16">
        <f>IF($C62="B",VLOOKUP($A62,Bat!$A$4:$BD$2323,N$1,FALSE),VLOOKUP($A62,Pit!$A$4:$AZ$2261,N$2,FALSE))</f>
        <v>2</v>
      </c>
      <c r="O62" s="16">
        <f>IF($C62="B",VLOOKUP($A62,Bat!$A$4:$BD$2323,O$1,FALSE),VLOOKUP($A62,Pit!$A$4:$AZ$2261,O$2,FALSE))</f>
        <v>4</v>
      </c>
      <c r="P62" s="17">
        <f>IF($C62="B",VLOOKUP($A62,Bat!$A$4:$BD$2323,P$1,FALSE),VLOOKUP($A62,Pit!$A$4:$AZ$2261,P$2,FALSE))</f>
        <v>4</v>
      </c>
      <c r="Q62" s="18">
        <f>IF($C62="B",VLOOKUP($A62,Bat!$A$4:$BD$2323,Q$1,FALSE),VLOOKUP($A62,Pit!$A$4:$AZ$2261,Q$2,FALSE))</f>
        <v>11.004846965281773</v>
      </c>
      <c r="R62" s="19">
        <f>IF($C62="B",VLOOKUP($A62,Bat!$A$4:$BD$2323,R$1,FALSE),VLOOKUP($A62,Pit!$A$4:$AZ$2261,R$2,FALSE))</f>
        <v>4.7003097732274235E-2</v>
      </c>
      <c r="S62" s="20" t="str">
        <f>IF($C62="B",VLOOKUP($A62,Bat!$A$4:$BD$2323,S$1,FALSE),VLOOKUP($A62,Pit!$A$4:$AZ$2261,S$2,FALSE))</f>
        <v>Slot</v>
      </c>
      <c r="T62" s="17" t="str">
        <f>IF(S62="Slot","",VLOOKUP(IF($C62="B",VLOOKUP($A62,Bat!$A$4:$AT$2323,T$1,FALSE),VLOOKUP($A62,Pit!$A$4:$BD$2261,T$2,FALSE)),COND!$A$34:$B$40,2,FALSE))</f>
        <v/>
      </c>
      <c r="U62" s="21">
        <f>IF($C62="B",VLOOKUP($A62,Bat!$A$4:$AR$1287,44,FALSE),VLOOKUP($A62,Pit!$A$4:$BB$1239,54,FALSE))</f>
        <v>58</v>
      </c>
      <c r="W62" s="21">
        <f t="shared" si="2"/>
        <v>58</v>
      </c>
      <c r="X62" s="22" t="e">
        <f t="shared" si="3"/>
        <v>#N/A</v>
      </c>
      <c r="Y62" s="16" t="str">
        <f>IF(ISERROR(VLOOKUP($E62&amp;$F62,Results!$A$2:$G$413,Y$1,FALSE)),"",VLOOKUP($E62&amp;$F62,Results!$A$2:$G$413,Y$1,FALSE))</f>
        <v/>
      </c>
      <c r="Z62" s="16" t="str">
        <f>IF(ISERROR(VLOOKUP($E62&amp;$F62,Results!$A$2:$G$413,Z$1,FALSE)),"",VLOOKUP($E62&amp;$F62,Results!$A$2:$G$413,Z$1,FALSE))</f>
        <v/>
      </c>
      <c r="AA62" s="16" t="str">
        <f>IF(ISERROR(VLOOKUP($E62&amp;$F62,Results!$A$2:$G$413,AA$1,FALSE)),"",VLOOKUP($E62&amp;$F62,Results!$A$2:$G$413,AA$1,FALSE))</f>
        <v/>
      </c>
      <c r="AB62" s="16" t="str">
        <f>IF(ISERROR(VLOOKUP($E62&amp;$F62,Results!$A$2:$G$413,AB$1,FALSE)),"",VLOOKUP($E62&amp;$F62,Results!$A$2:$G$413,AB$1,FALSE))</f>
        <v/>
      </c>
      <c r="AC62" s="16"/>
      <c r="AD62" s="20" t="str">
        <f>IF(ISERROR(VLOOKUP($AB62&amp;"-"&amp;$F62,Bonuses!$B$1:$G$1000,4,FALSE)),"",INT(VLOOKUP($AB62&amp;"-"&amp;$F62,Bonuses!$B$1:$G$1000,4,FALSE)))</f>
        <v/>
      </c>
      <c r="AE62" s="16" t="str">
        <f>IF(ISERROR(VLOOKUP($AB62&amp;"-"&amp;$F62,Bonuses!$B$1:$G$1000,5,FALSE)),"",IF(VLOOKUP($AB62&amp;"-"&amp;$F62,Bonuses!$B$1:$G$1000,5,FALSE)="","",VLOOKUP($AB62&amp;"-"&amp;$F62,Bonuses!$B$1:$G$1000,6,FALSE)&amp;" yrs, "&amp;VLOOKUP($AB62&amp;"-"&amp;$F62,Bonuses!$B$1:$G$1000,5,FALSE)))</f>
        <v/>
      </c>
    </row>
    <row r="63" spans="1:31" s="21" customFormat="1">
      <c r="A63" s="21" t="s">
        <v>932</v>
      </c>
      <c r="B63" s="21">
        <f t="shared" si="0"/>
        <v>1</v>
      </c>
      <c r="C63" s="21" t="str">
        <f t="shared" si="1"/>
        <v>B</v>
      </c>
      <c r="D63" s="17">
        <f>IF($C63="B",VLOOKUP($A63,Bat!$A$4:$BD$2323,D$1,FALSE),VLOOKUP($A63,Pit!$A$4:$AZ$2261,D$2,FALSE))</f>
        <v>10375</v>
      </c>
      <c r="E63" s="16" t="str">
        <f>IF($C63="B",VLOOKUP($A63,Bat!$A$4:$BD$2323,E$1,FALSE),VLOOKUP($A63,Pit!$A$4:$AZ$2261,E$2,FALSE))</f>
        <v>1B</v>
      </c>
      <c r="F63" s="16" t="str">
        <f>IF($C63="B",VLOOKUP($A63,Bat!$A$4:$BD$2323,F$1,FALSE),VLOOKUP($A63,Pit!$A$4:$AZ$2261,F$2,FALSE))</f>
        <v>George Thomas</v>
      </c>
      <c r="G63" s="16">
        <f>IF($C63="B",VLOOKUP($A63,Bat!$A$4:$BD$2323,G$1,FALSE),VLOOKUP($A63,Pit!$A$4:$AZ$2261,G$2,FALSE))</f>
        <v>20</v>
      </c>
      <c r="H63" s="16" t="str">
        <f>IF($C63="B",VLOOKUP($A63,Bat!$A$4:$BD$2323,H$1,FALSE),VLOOKUP($A63,Pit!$A$4:$AZ$2261,H$2,FALSE))</f>
        <v>R</v>
      </c>
      <c r="I63" s="16" t="str">
        <f>IF($C63="B",VLOOKUP($A63,Bat!$A$4:$BD$2323,I$1,FALSE),VLOOKUP($A63,Pit!$A$4:$AZ$2261,I$2,FALSE))</f>
        <v>R</v>
      </c>
      <c r="J63" s="16" t="str">
        <f>IF($C63="B",VLOOKUP($A63,Bat!$A$4:$BD$2323,J$1,FALSE),VLOOKUP($A63,Pit!$A$4:$AZ$2261,J$2,FALSE))</f>
        <v>Low</v>
      </c>
      <c r="K63" s="17" t="str">
        <f>IF($C63="B",VLOOKUP($A63,Bat!$A$4:$BD$2323,K$1,FALSE),VLOOKUP($A63,Pit!$A$4:$AZ$2261,K$2,FALSE))</f>
        <v>High</v>
      </c>
      <c r="L63" s="16">
        <f>IF($C63="B",VLOOKUP($A63,Bat!$A$4:$BD$2323,L$1,FALSE),VLOOKUP($A63,Pit!$A$4:$AZ$2261,L$2,FALSE))</f>
        <v>5</v>
      </c>
      <c r="M63" s="16">
        <f>IF($C63="B",VLOOKUP($A63,Bat!$A$4:$BD$2323,M$1,FALSE),VLOOKUP($A63,Pit!$A$4:$AZ$2261,M$2,FALSE))</f>
        <v>5</v>
      </c>
      <c r="N63" s="16">
        <f>IF($C63="B",VLOOKUP($A63,Bat!$A$4:$BD$2323,N$1,FALSE),VLOOKUP($A63,Pit!$A$4:$AZ$2261,N$2,FALSE))</f>
        <v>6</v>
      </c>
      <c r="O63" s="16">
        <f>IF($C63="B",VLOOKUP($A63,Bat!$A$4:$BD$2323,O$1,FALSE),VLOOKUP($A63,Pit!$A$4:$AZ$2261,O$2,FALSE))</f>
        <v>6</v>
      </c>
      <c r="P63" s="17">
        <f>IF($C63="B",VLOOKUP($A63,Bat!$A$4:$BD$2323,P$1,FALSE),VLOOKUP($A63,Pit!$A$4:$AZ$2261,P$2,FALSE))</f>
        <v>5</v>
      </c>
      <c r="Q63" s="18">
        <f>IF($C63="B",VLOOKUP($A63,Bat!$A$4:$BD$2323,Q$1,FALSE),VLOOKUP($A63,Pit!$A$4:$AZ$2261,Q$2,FALSE))</f>
        <v>15.551485294286456</v>
      </c>
      <c r="R63" s="19">
        <f>IF($C63="B",VLOOKUP($A63,Bat!$A$4:$BD$2323,R$1,FALSE),VLOOKUP($A63,Pit!$A$4:$AZ$2261,R$2,FALSE))</f>
        <v>0.67863870275913551</v>
      </c>
      <c r="S63" s="20">
        <f>IF($C63="B",VLOOKUP($A63,Bat!$A$4:$BD$2323,S$1,FALSE),VLOOKUP($A63,Pit!$A$4:$AZ$2261,S$2,FALSE))</f>
        <v>210000</v>
      </c>
      <c r="T63" s="17" t="str">
        <f>IF(S63="Slot","",VLOOKUP(IF($C63="B",VLOOKUP($A63,Bat!$A$4:$AT$2323,T$1,FALSE),VLOOKUP($A63,Pit!$A$4:$BD$2261,T$2,FALSE)),COND!$A$34:$B$40,2,FALSE))</f>
        <v>H</v>
      </c>
      <c r="U63" s="21">
        <f>IF($C63="B",VLOOKUP($A63,Bat!$A$4:$AR$1287,44,FALSE),VLOOKUP($A63,Pit!$A$4:$BB$1239,54,FALSE))</f>
        <v>59</v>
      </c>
      <c r="W63" s="21">
        <f t="shared" si="2"/>
        <v>59</v>
      </c>
      <c r="X63" s="22" t="e">
        <f t="shared" si="3"/>
        <v>#N/A</v>
      </c>
      <c r="Y63" s="16" t="str">
        <f>IF(ISERROR(VLOOKUP($E63&amp;$F63,Results!$A$2:$G$413,Y$1,FALSE)),"",VLOOKUP($E63&amp;$F63,Results!$A$2:$G$413,Y$1,FALSE))</f>
        <v/>
      </c>
      <c r="Z63" s="16" t="str">
        <f>IF(ISERROR(VLOOKUP($E63&amp;$F63,Results!$A$2:$G$413,Z$1,FALSE)),"",VLOOKUP($E63&amp;$F63,Results!$A$2:$G$413,Z$1,FALSE))</f>
        <v/>
      </c>
      <c r="AA63" s="16" t="str">
        <f>IF(ISERROR(VLOOKUP($E63&amp;$F63,Results!$A$2:$G$413,AA$1,FALSE)),"",VLOOKUP($E63&amp;$F63,Results!$A$2:$G$413,AA$1,FALSE))</f>
        <v/>
      </c>
      <c r="AB63" s="16" t="str">
        <f>IF(ISERROR(VLOOKUP($E63&amp;$F63,Results!$A$2:$G$413,AB$1,FALSE)),"",VLOOKUP($E63&amp;$F63,Results!$A$2:$G$413,AB$1,FALSE))</f>
        <v/>
      </c>
      <c r="AC63" s="16"/>
      <c r="AD63" s="20" t="str">
        <f>IF(ISERROR(VLOOKUP($AB63&amp;"-"&amp;$F63,Bonuses!$B$1:$G$1000,4,FALSE)),"",INT(VLOOKUP($AB63&amp;"-"&amp;$F63,Bonuses!$B$1:$G$1000,4,FALSE)))</f>
        <v/>
      </c>
      <c r="AE63" s="16" t="str">
        <f>IF(ISERROR(VLOOKUP($AB63&amp;"-"&amp;$F63,Bonuses!$B$1:$G$1000,5,FALSE)),"",IF(VLOOKUP($AB63&amp;"-"&amp;$F63,Bonuses!$B$1:$G$1000,5,FALSE)="","",VLOOKUP($AB63&amp;"-"&amp;$F63,Bonuses!$B$1:$G$1000,6,FALSE)&amp;" yrs, "&amp;VLOOKUP($AB63&amp;"-"&amp;$F63,Bonuses!$B$1:$G$1000,5,FALSE)))</f>
        <v/>
      </c>
    </row>
    <row r="64" spans="1:31" s="21" customFormat="1">
      <c r="A64" s="21" t="s">
        <v>962</v>
      </c>
      <c r="B64" s="21">
        <f t="shared" si="0"/>
        <v>1</v>
      </c>
      <c r="C64" s="21" t="str">
        <f t="shared" si="1"/>
        <v>B</v>
      </c>
      <c r="D64" s="17">
        <f>IF($C64="B",VLOOKUP($A64,Bat!$A$4:$BD$2323,D$1,FALSE),VLOOKUP($A64,Pit!$A$4:$AZ$2261,D$2,FALSE))</f>
        <v>13810</v>
      </c>
      <c r="E64" s="16" t="str">
        <f>IF($C64="B",VLOOKUP($A64,Bat!$A$4:$BD$2323,E$1,FALSE),VLOOKUP($A64,Pit!$A$4:$AZ$2261,E$2,FALSE))</f>
        <v>RF</v>
      </c>
      <c r="F64" s="16" t="str">
        <f>IF($C64="B",VLOOKUP($A64,Bat!$A$4:$BD$2323,F$1,FALSE),VLOOKUP($A64,Pit!$A$4:$AZ$2261,F$2,FALSE))</f>
        <v>Mario Machado</v>
      </c>
      <c r="G64" s="16">
        <f>IF($C64="B",VLOOKUP($A64,Bat!$A$4:$BD$2323,G$1,FALSE),VLOOKUP($A64,Pit!$A$4:$AZ$2261,G$2,FALSE))</f>
        <v>18</v>
      </c>
      <c r="H64" s="16" t="str">
        <f>IF($C64="B",VLOOKUP($A64,Bat!$A$4:$BD$2323,H$1,FALSE),VLOOKUP($A64,Pit!$A$4:$AZ$2261,H$2,FALSE))</f>
        <v>L</v>
      </c>
      <c r="I64" s="16" t="str">
        <f>IF($C64="B",VLOOKUP($A64,Bat!$A$4:$BD$2323,I$1,FALSE),VLOOKUP($A64,Pit!$A$4:$AZ$2261,I$2,FALSE))</f>
        <v>L</v>
      </c>
      <c r="J64" s="16" t="str">
        <f>IF($C64="B",VLOOKUP($A64,Bat!$A$4:$BD$2323,J$1,FALSE),VLOOKUP($A64,Pit!$A$4:$AZ$2261,J$2,FALSE))</f>
        <v>Low</v>
      </c>
      <c r="K64" s="17" t="str">
        <f>IF($C64="B",VLOOKUP($A64,Bat!$A$4:$BD$2323,K$1,FALSE),VLOOKUP($A64,Pit!$A$4:$AZ$2261,K$2,FALSE))</f>
        <v>Low</v>
      </c>
      <c r="L64" s="16">
        <f>IF($C64="B",VLOOKUP($A64,Bat!$A$4:$BD$2323,L$1,FALSE),VLOOKUP($A64,Pit!$A$4:$AZ$2261,L$2,FALSE))</f>
        <v>5</v>
      </c>
      <c r="M64" s="16">
        <f>IF($C64="B",VLOOKUP($A64,Bat!$A$4:$BD$2323,M$1,FALSE),VLOOKUP($A64,Pit!$A$4:$AZ$2261,M$2,FALSE))</f>
        <v>7</v>
      </c>
      <c r="N64" s="16">
        <f>IF($C64="B",VLOOKUP($A64,Bat!$A$4:$BD$2323,N$1,FALSE),VLOOKUP($A64,Pit!$A$4:$AZ$2261,N$2,FALSE))</f>
        <v>7</v>
      </c>
      <c r="O64" s="16">
        <f>IF($C64="B",VLOOKUP($A64,Bat!$A$4:$BD$2323,O$1,FALSE),VLOOKUP($A64,Pit!$A$4:$AZ$2261,O$2,FALSE))</f>
        <v>3</v>
      </c>
      <c r="P64" s="17">
        <f>IF($C64="B",VLOOKUP($A64,Bat!$A$4:$BD$2323,P$1,FALSE),VLOOKUP($A64,Pit!$A$4:$AZ$2261,P$2,FALSE))</f>
        <v>4</v>
      </c>
      <c r="Q64" s="18">
        <f>IF($C64="B",VLOOKUP($A64,Bat!$A$4:$BD$2323,Q$1,FALSE),VLOOKUP($A64,Pit!$A$4:$AZ$2261,Q$2,FALSE))</f>
        <v>13.317587928689145</v>
      </c>
      <c r="R64" s="19">
        <f>IF($C64="B",VLOOKUP($A64,Bat!$A$4:$BD$2323,R$1,FALSE),VLOOKUP($A64,Pit!$A$4:$AZ$2261,R$2,FALSE))</f>
        <v>0.36829752055301596</v>
      </c>
      <c r="S64" s="20">
        <f>IF($C64="B",VLOOKUP($A64,Bat!$A$4:$BD$2323,S$1,FALSE),VLOOKUP($A64,Pit!$A$4:$AZ$2261,S$2,FALSE))</f>
        <v>1900000</v>
      </c>
      <c r="T64" s="17" t="str">
        <f>IF(S64="Slot","",VLOOKUP(IF($C64="B",VLOOKUP($A64,Bat!$A$4:$AT$2323,T$1,FALSE),VLOOKUP($A64,Pit!$A$4:$BD$2261,T$2,FALSE)),COND!$A$34:$B$40,2,FALSE))</f>
        <v>EH</v>
      </c>
      <c r="U64" s="21">
        <f>IF($C64="B",VLOOKUP($A64,Bat!$A$4:$AR$1287,44,FALSE),VLOOKUP($A64,Pit!$A$4:$BB$1239,54,FALSE))</f>
        <v>60</v>
      </c>
      <c r="W64" s="21">
        <f t="shared" si="2"/>
        <v>60</v>
      </c>
      <c r="X64" s="22" t="e">
        <f t="shared" si="3"/>
        <v>#N/A</v>
      </c>
      <c r="Y64" s="16" t="str">
        <f>IF(ISERROR(VLOOKUP($E64&amp;$F64,Results!$A$2:$G$413,Y$1,FALSE)),"",VLOOKUP($E64&amp;$F64,Results!$A$2:$G$413,Y$1,FALSE))</f>
        <v/>
      </c>
      <c r="Z64" s="16" t="str">
        <f>IF(ISERROR(VLOOKUP($E64&amp;$F64,Results!$A$2:$G$413,Z$1,FALSE)),"",VLOOKUP($E64&amp;$F64,Results!$A$2:$G$413,Z$1,FALSE))</f>
        <v/>
      </c>
      <c r="AA64" s="16" t="str">
        <f>IF(ISERROR(VLOOKUP($E64&amp;$F64,Results!$A$2:$G$413,AA$1,FALSE)),"",VLOOKUP($E64&amp;$F64,Results!$A$2:$G$413,AA$1,FALSE))</f>
        <v/>
      </c>
      <c r="AB64" s="16" t="str">
        <f>IF(ISERROR(VLOOKUP($E64&amp;$F64,Results!$A$2:$G$413,AB$1,FALSE)),"",VLOOKUP($E64&amp;$F64,Results!$A$2:$G$413,AB$1,FALSE))</f>
        <v/>
      </c>
      <c r="AC64" s="16"/>
      <c r="AD64" s="20" t="str">
        <f>IF(ISERROR(VLOOKUP($AB64&amp;"-"&amp;$F64,Bonuses!$B$1:$G$1000,4,FALSE)),"",INT(VLOOKUP($AB64&amp;"-"&amp;$F64,Bonuses!$B$1:$G$1000,4,FALSE)))</f>
        <v/>
      </c>
      <c r="AE64" s="16" t="str">
        <f>IF(ISERROR(VLOOKUP($AB64&amp;"-"&amp;$F64,Bonuses!$B$1:$G$1000,5,FALSE)),"",IF(VLOOKUP($AB64&amp;"-"&amp;$F64,Bonuses!$B$1:$G$1000,5,FALSE)="","",VLOOKUP($AB64&amp;"-"&amp;$F64,Bonuses!$B$1:$G$1000,6,FALSE)&amp;" yrs, "&amp;VLOOKUP($AB64&amp;"-"&amp;$F64,Bonuses!$B$1:$G$1000,5,FALSE)))</f>
        <v/>
      </c>
    </row>
    <row r="65" spans="1:31" s="21" customFormat="1">
      <c r="A65" s="21" t="s">
        <v>837</v>
      </c>
      <c r="B65" s="21">
        <f t="shared" si="0"/>
        <v>1</v>
      </c>
      <c r="C65" s="21" t="str">
        <f t="shared" si="1"/>
        <v>B</v>
      </c>
      <c r="D65" s="17">
        <f>IF($C65="B",VLOOKUP($A65,Bat!$A$4:$BD$2323,D$1,FALSE),VLOOKUP($A65,Pit!$A$4:$AZ$2261,D$2,FALSE))</f>
        <v>1879</v>
      </c>
      <c r="E65" s="16" t="str">
        <f>IF($C65="B",VLOOKUP($A65,Bat!$A$4:$BD$2323,E$1,FALSE),VLOOKUP($A65,Pit!$A$4:$AZ$2261,E$2,FALSE))</f>
        <v>LF</v>
      </c>
      <c r="F65" s="16" t="str">
        <f>IF($C65="B",VLOOKUP($A65,Bat!$A$4:$BD$2323,F$1,FALSE),VLOOKUP($A65,Pit!$A$4:$AZ$2261,F$2,FALSE))</f>
        <v>Paul Hughes</v>
      </c>
      <c r="G65" s="16">
        <f>IF($C65="B",VLOOKUP($A65,Bat!$A$4:$BD$2323,G$1,FALSE),VLOOKUP($A65,Pit!$A$4:$AZ$2261,G$2,FALSE))</f>
        <v>18</v>
      </c>
      <c r="H65" s="16" t="str">
        <f>IF($C65="B",VLOOKUP($A65,Bat!$A$4:$BD$2323,H$1,FALSE),VLOOKUP($A65,Pit!$A$4:$AZ$2261,H$2,FALSE))</f>
        <v>L</v>
      </c>
      <c r="I65" s="16" t="str">
        <f>IF($C65="B",VLOOKUP($A65,Bat!$A$4:$BD$2323,I$1,FALSE),VLOOKUP($A65,Pit!$A$4:$AZ$2261,I$2,FALSE))</f>
        <v>R</v>
      </c>
      <c r="J65" s="16" t="str">
        <f>IF($C65="B",VLOOKUP($A65,Bat!$A$4:$BD$2323,J$1,FALSE),VLOOKUP($A65,Pit!$A$4:$AZ$2261,J$2,FALSE))</f>
        <v>Very High</v>
      </c>
      <c r="K65" s="17" t="str">
        <f>IF($C65="B",VLOOKUP($A65,Bat!$A$4:$BD$2323,K$1,FALSE),VLOOKUP($A65,Pit!$A$4:$AZ$2261,K$2,FALSE))</f>
        <v>Very Low</v>
      </c>
      <c r="L65" s="16">
        <f>IF($C65="B",VLOOKUP($A65,Bat!$A$4:$BD$2323,L$1,FALSE),VLOOKUP($A65,Pit!$A$4:$AZ$2261,L$2,FALSE))</f>
        <v>5</v>
      </c>
      <c r="M65" s="16">
        <f>IF($C65="B",VLOOKUP($A65,Bat!$A$4:$BD$2323,M$1,FALSE),VLOOKUP($A65,Pit!$A$4:$AZ$2261,M$2,FALSE))</f>
        <v>9</v>
      </c>
      <c r="N65" s="16">
        <f>IF($C65="B",VLOOKUP($A65,Bat!$A$4:$BD$2323,N$1,FALSE),VLOOKUP($A65,Pit!$A$4:$AZ$2261,N$2,FALSE))</f>
        <v>2</v>
      </c>
      <c r="O65" s="16">
        <f>IF($C65="B",VLOOKUP($A65,Bat!$A$4:$BD$2323,O$1,FALSE),VLOOKUP($A65,Pit!$A$4:$AZ$2261,O$2,FALSE))</f>
        <v>3</v>
      </c>
      <c r="P65" s="17">
        <f>IF($C65="B",VLOOKUP($A65,Bat!$A$4:$BD$2323,P$1,FALSE),VLOOKUP($A65,Pit!$A$4:$AZ$2261,P$2,FALSE))</f>
        <v>4</v>
      </c>
      <c r="Q65" s="18">
        <f>IF($C65="B",VLOOKUP($A65,Bat!$A$4:$BD$2323,Q$1,FALSE),VLOOKUP($A65,Pit!$A$4:$AZ$2261,Q$2,FALSE))</f>
        <v>9.8375627434754023</v>
      </c>
      <c r="R65" s="19">
        <f>IF($C65="B",VLOOKUP($A65,Bat!$A$4:$BD$2323,R$1,FALSE),VLOOKUP($A65,Pit!$A$4:$AZ$2261,R$2,FALSE))</f>
        <v>-0.11516029031983419</v>
      </c>
      <c r="S65" s="20">
        <f>IF($C65="B",VLOOKUP($A65,Bat!$A$4:$BD$2323,S$1,FALSE),VLOOKUP($A65,Pit!$A$4:$AZ$2261,S$2,FALSE))</f>
        <v>3000000</v>
      </c>
      <c r="T65" s="17" t="str">
        <f>IF(S65="Slot","",VLOOKUP(IF($C65="B",VLOOKUP($A65,Bat!$A$4:$AT$2323,T$1,FALSE),VLOOKUP($A65,Pit!$A$4:$BD$2261,T$2,FALSE)),COND!$A$34:$B$40,2,FALSE))</f>
        <v>EH</v>
      </c>
      <c r="U65" s="21">
        <f>IF($C65="B",VLOOKUP($A65,Bat!$A$4:$AR$1287,44,FALSE),VLOOKUP($A65,Pit!$A$4:$BB$1239,54,FALSE))</f>
        <v>61</v>
      </c>
      <c r="W65" s="21">
        <f t="shared" si="2"/>
        <v>61</v>
      </c>
      <c r="X65" s="22" t="e">
        <f t="shared" si="3"/>
        <v>#N/A</v>
      </c>
      <c r="Y65" s="16" t="str">
        <f>IF(ISERROR(VLOOKUP($E65&amp;$F65,Results!$A$2:$G$413,Y$1,FALSE)),"",VLOOKUP($E65&amp;$F65,Results!$A$2:$G$413,Y$1,FALSE))</f>
        <v/>
      </c>
      <c r="Z65" s="16" t="str">
        <f>IF(ISERROR(VLOOKUP($E65&amp;$F65,Results!$A$2:$G$413,Z$1,FALSE)),"",VLOOKUP($E65&amp;$F65,Results!$A$2:$G$413,Z$1,FALSE))</f>
        <v/>
      </c>
      <c r="AA65" s="16" t="str">
        <f>IF(ISERROR(VLOOKUP($E65&amp;$F65,Results!$A$2:$G$413,AA$1,FALSE)),"",VLOOKUP($E65&amp;$F65,Results!$A$2:$G$413,AA$1,FALSE))</f>
        <v/>
      </c>
      <c r="AB65" s="16" t="str">
        <f>IF(ISERROR(VLOOKUP($E65&amp;$F65,Results!$A$2:$G$413,AB$1,FALSE)),"",VLOOKUP($E65&amp;$F65,Results!$A$2:$G$413,AB$1,FALSE))</f>
        <v/>
      </c>
      <c r="AC65" s="16"/>
      <c r="AD65" s="20" t="str">
        <f>IF(ISERROR(VLOOKUP($AB65&amp;"-"&amp;$F65,Bonuses!$B$1:$G$1000,4,FALSE)),"",INT(VLOOKUP($AB65&amp;"-"&amp;$F65,Bonuses!$B$1:$G$1000,4,FALSE)))</f>
        <v/>
      </c>
      <c r="AE65" s="16" t="str">
        <f>IF(ISERROR(VLOOKUP($AB65&amp;"-"&amp;$F65,Bonuses!$B$1:$G$1000,5,FALSE)),"",IF(VLOOKUP($AB65&amp;"-"&amp;$F65,Bonuses!$B$1:$G$1000,5,FALSE)="","",VLOOKUP($AB65&amp;"-"&amp;$F65,Bonuses!$B$1:$G$1000,6,FALSE)&amp;" yrs, "&amp;VLOOKUP($AB65&amp;"-"&amp;$F65,Bonuses!$B$1:$G$1000,5,FALSE)))</f>
        <v/>
      </c>
    </row>
    <row r="66" spans="1:31" s="21" customFormat="1">
      <c r="A66" s="21" t="s">
        <v>1084</v>
      </c>
      <c r="B66" s="21">
        <f t="shared" si="0"/>
        <v>1</v>
      </c>
      <c r="C66" s="21" t="str">
        <f t="shared" si="1"/>
        <v>B</v>
      </c>
      <c r="D66" s="17" t="e">
        <f>IF($C66="B",VLOOKUP($A66,Bat!$A$4:$BD$2323,D$1,FALSE),VLOOKUP($A66,Pit!$A$4:$AZ$2261,D$2,FALSE))</f>
        <v>#N/A</v>
      </c>
      <c r="E66" s="16" t="e">
        <f>IF($C66="B",VLOOKUP($A66,Bat!$A$4:$BD$2323,E$1,FALSE),VLOOKUP($A66,Pit!$A$4:$AZ$2261,E$2,FALSE))</f>
        <v>#N/A</v>
      </c>
      <c r="F66" s="16" t="e">
        <f>IF($C66="B",VLOOKUP($A66,Bat!$A$4:$BD$2323,F$1,FALSE),VLOOKUP($A66,Pit!$A$4:$AZ$2261,F$2,FALSE))</f>
        <v>#N/A</v>
      </c>
      <c r="G66" s="16" t="e">
        <f>IF($C66="B",VLOOKUP($A66,Bat!$A$4:$BD$2323,G$1,FALSE),VLOOKUP($A66,Pit!$A$4:$AZ$2261,G$2,FALSE))</f>
        <v>#N/A</v>
      </c>
      <c r="H66" s="16" t="e">
        <f>IF($C66="B",VLOOKUP($A66,Bat!$A$4:$BD$2323,H$1,FALSE),VLOOKUP($A66,Pit!$A$4:$AZ$2261,H$2,FALSE))</f>
        <v>#N/A</v>
      </c>
      <c r="I66" s="16" t="e">
        <f>IF($C66="B",VLOOKUP($A66,Bat!$A$4:$BD$2323,I$1,FALSE),VLOOKUP($A66,Pit!$A$4:$AZ$2261,I$2,FALSE))</f>
        <v>#N/A</v>
      </c>
      <c r="J66" s="16" t="e">
        <f>IF($C66="B",VLOOKUP($A66,Bat!$A$4:$BD$2323,J$1,FALSE),VLOOKUP($A66,Pit!$A$4:$AZ$2261,J$2,FALSE))</f>
        <v>#N/A</v>
      </c>
      <c r="K66" s="17" t="e">
        <f>IF($C66="B",VLOOKUP($A66,Bat!$A$4:$BD$2323,K$1,FALSE),VLOOKUP($A66,Pit!$A$4:$AZ$2261,K$2,FALSE))</f>
        <v>#N/A</v>
      </c>
      <c r="L66" s="16" t="e">
        <f>IF($C66="B",VLOOKUP($A66,Bat!$A$4:$BD$2323,L$1,FALSE),VLOOKUP($A66,Pit!$A$4:$AZ$2261,L$2,FALSE))</f>
        <v>#N/A</v>
      </c>
      <c r="M66" s="16" t="e">
        <f>IF($C66="B",VLOOKUP($A66,Bat!$A$4:$BD$2323,M$1,FALSE),VLOOKUP($A66,Pit!$A$4:$AZ$2261,M$2,FALSE))</f>
        <v>#N/A</v>
      </c>
      <c r="N66" s="16" t="e">
        <f>IF($C66="B",VLOOKUP($A66,Bat!$A$4:$BD$2323,N$1,FALSE),VLOOKUP($A66,Pit!$A$4:$AZ$2261,N$2,FALSE))</f>
        <v>#N/A</v>
      </c>
      <c r="O66" s="16" t="e">
        <f>IF($C66="B",VLOOKUP($A66,Bat!$A$4:$BD$2323,O$1,FALSE),VLOOKUP($A66,Pit!$A$4:$AZ$2261,O$2,FALSE))</f>
        <v>#N/A</v>
      </c>
      <c r="P66" s="17" t="e">
        <f>IF($C66="B",VLOOKUP($A66,Bat!$A$4:$BD$2323,P$1,FALSE),VLOOKUP($A66,Pit!$A$4:$AZ$2261,P$2,FALSE))</f>
        <v>#N/A</v>
      </c>
      <c r="Q66" s="18" t="e">
        <f>IF($C66="B",VLOOKUP($A66,Bat!$A$4:$BD$2323,Q$1,FALSE),VLOOKUP($A66,Pit!$A$4:$AZ$2261,Q$2,FALSE))</f>
        <v>#N/A</v>
      </c>
      <c r="R66" s="19" t="e">
        <f>IF($C66="B",VLOOKUP($A66,Bat!$A$4:$BD$2323,R$1,FALSE),VLOOKUP($A66,Pit!$A$4:$AZ$2261,R$2,FALSE))</f>
        <v>#N/A</v>
      </c>
      <c r="S66" s="20" t="e">
        <f>IF($C66="B",VLOOKUP($A66,Bat!$A$4:$BD$2323,S$1,FALSE),VLOOKUP($A66,Pit!$A$4:$AZ$2261,S$2,FALSE))</f>
        <v>#N/A</v>
      </c>
      <c r="T66" s="17" t="e">
        <f>IF(S66="Slot","",VLOOKUP(IF($C66="B",VLOOKUP($A66,Bat!$A$4:$AT$2323,T$1,FALSE),VLOOKUP($A66,Pit!$A$4:$BD$2261,T$2,FALSE)),COND!$A$34:$B$40,2,FALSE))</f>
        <v>#N/A</v>
      </c>
      <c r="U66" s="21" t="e">
        <f>IF($C66="B",VLOOKUP($A66,Bat!$A$4:$AR$1287,44,FALSE),VLOOKUP($A66,Pit!$A$4:$BB$1239,54,FALSE))</f>
        <v>#N/A</v>
      </c>
      <c r="W66" s="21" t="e">
        <f t="shared" si="2"/>
        <v>#N/A</v>
      </c>
      <c r="X66" s="22" t="e">
        <f t="shared" si="3"/>
        <v>#N/A</v>
      </c>
      <c r="Y66" s="16" t="str">
        <f>IF(ISERROR(VLOOKUP($E66&amp;$F66,Results!$A$2:$G$413,Y$1,FALSE)),"",VLOOKUP($E66&amp;$F66,Results!$A$2:$G$413,Y$1,FALSE))</f>
        <v/>
      </c>
      <c r="Z66" s="16" t="str">
        <f>IF(ISERROR(VLOOKUP($E66&amp;$F66,Results!$A$2:$G$413,Z$1,FALSE)),"",VLOOKUP($E66&amp;$F66,Results!$A$2:$G$413,Z$1,FALSE))</f>
        <v/>
      </c>
      <c r="AA66" s="16" t="str">
        <f>IF(ISERROR(VLOOKUP($E66&amp;$F66,Results!$A$2:$G$413,AA$1,FALSE)),"",VLOOKUP($E66&amp;$F66,Results!$A$2:$G$413,AA$1,FALSE))</f>
        <v/>
      </c>
      <c r="AB66" s="16" t="str">
        <f>IF(ISERROR(VLOOKUP($E66&amp;$F66,Results!$A$2:$G$413,AB$1,FALSE)),"",VLOOKUP($E66&amp;$F66,Results!$A$2:$G$413,AB$1,FALSE))</f>
        <v/>
      </c>
      <c r="AC66" s="16"/>
      <c r="AD66" s="20" t="str">
        <f>IF(ISERROR(VLOOKUP($AB66&amp;"-"&amp;$F66,Bonuses!$B$1:$G$1000,4,FALSE)),"",INT(VLOOKUP($AB66&amp;"-"&amp;$F66,Bonuses!$B$1:$G$1000,4,FALSE)))</f>
        <v/>
      </c>
      <c r="AE66" s="16" t="str">
        <f>IF(ISERROR(VLOOKUP($AB66&amp;"-"&amp;$F66,Bonuses!$B$1:$G$1000,5,FALSE)),"",IF(VLOOKUP($AB66&amp;"-"&amp;$F66,Bonuses!$B$1:$G$1000,5,FALSE)="","",VLOOKUP($AB66&amp;"-"&amp;$F66,Bonuses!$B$1:$G$1000,6,FALSE)&amp;" yrs, "&amp;VLOOKUP($AB66&amp;"-"&amp;$F66,Bonuses!$B$1:$G$1000,5,FALSE)))</f>
        <v/>
      </c>
    </row>
    <row r="67" spans="1:31" s="21" customFormat="1">
      <c r="A67" s="21" t="s">
        <v>903</v>
      </c>
      <c r="B67" s="21">
        <f t="shared" si="0"/>
        <v>1</v>
      </c>
      <c r="C67" s="21" t="str">
        <f t="shared" si="1"/>
        <v>B</v>
      </c>
      <c r="D67" s="17">
        <f>IF($C67="B",VLOOKUP($A67,Bat!$A$4:$BD$2323,D$1,FALSE),VLOOKUP($A67,Pit!$A$4:$AZ$2261,D$2,FALSE))</f>
        <v>13795</v>
      </c>
      <c r="E67" s="16" t="str">
        <f>IF($C67="B",VLOOKUP($A67,Bat!$A$4:$BD$2323,E$1,FALSE),VLOOKUP($A67,Pit!$A$4:$AZ$2261,E$2,FALSE))</f>
        <v>CF</v>
      </c>
      <c r="F67" s="16" t="str">
        <f>IF($C67="B",VLOOKUP($A67,Bat!$A$4:$BD$2323,F$1,FALSE),VLOOKUP($A67,Pit!$A$4:$AZ$2261,F$2,FALSE))</f>
        <v>Norberto Peralta</v>
      </c>
      <c r="G67" s="16">
        <f>IF($C67="B",VLOOKUP($A67,Bat!$A$4:$BD$2323,G$1,FALSE),VLOOKUP($A67,Pit!$A$4:$AZ$2261,G$2,FALSE))</f>
        <v>18</v>
      </c>
      <c r="H67" s="16" t="str">
        <f>IF($C67="B",VLOOKUP($A67,Bat!$A$4:$BD$2323,H$1,FALSE),VLOOKUP($A67,Pit!$A$4:$AZ$2261,H$2,FALSE))</f>
        <v>R</v>
      </c>
      <c r="I67" s="16" t="str">
        <f>IF($C67="B",VLOOKUP($A67,Bat!$A$4:$BD$2323,I$1,FALSE),VLOOKUP($A67,Pit!$A$4:$AZ$2261,I$2,FALSE))</f>
        <v>R</v>
      </c>
      <c r="J67" s="16" t="str">
        <f>IF($C67="B",VLOOKUP($A67,Bat!$A$4:$BD$2323,J$1,FALSE),VLOOKUP($A67,Pit!$A$4:$AZ$2261,J$2,FALSE))</f>
        <v>Very Low</v>
      </c>
      <c r="K67" s="17" t="str">
        <f>IF($C67="B",VLOOKUP($A67,Bat!$A$4:$BD$2323,K$1,FALSE),VLOOKUP($A67,Pit!$A$4:$AZ$2261,K$2,FALSE))</f>
        <v>Normal</v>
      </c>
      <c r="L67" s="16">
        <f>IF($C67="B",VLOOKUP($A67,Bat!$A$4:$BD$2323,L$1,FALSE),VLOOKUP($A67,Pit!$A$4:$AZ$2261,L$2,FALSE))</f>
        <v>8</v>
      </c>
      <c r="M67" s="16">
        <f>IF($C67="B",VLOOKUP($A67,Bat!$A$4:$BD$2323,M$1,FALSE),VLOOKUP($A67,Pit!$A$4:$AZ$2261,M$2,FALSE))</f>
        <v>9</v>
      </c>
      <c r="N67" s="16">
        <f>IF($C67="B",VLOOKUP($A67,Bat!$A$4:$BD$2323,N$1,FALSE),VLOOKUP($A67,Pit!$A$4:$AZ$2261,N$2,FALSE))</f>
        <v>4</v>
      </c>
      <c r="O67" s="16">
        <f>IF($C67="B",VLOOKUP($A67,Bat!$A$4:$BD$2323,O$1,FALSE),VLOOKUP($A67,Pit!$A$4:$AZ$2261,O$2,FALSE))</f>
        <v>4</v>
      </c>
      <c r="P67" s="17">
        <f>IF($C67="B",VLOOKUP($A67,Bat!$A$4:$BD$2323,P$1,FALSE),VLOOKUP($A67,Pit!$A$4:$AZ$2261,P$2,FALSE))</f>
        <v>10</v>
      </c>
      <c r="Q67" s="18">
        <f>IF($C67="B",VLOOKUP($A67,Bat!$A$4:$BD$2323,Q$1,FALSE),VLOOKUP($A67,Pit!$A$4:$AZ$2261,Q$2,FALSE))</f>
        <v>27.49718235954893</v>
      </c>
      <c r="R67" s="19">
        <f>IF($C67="B",VLOOKUP($A67,Bat!$A$4:$BD$2323,R$1,FALSE),VLOOKUP($A67,Pit!$A$4:$AZ$2261,R$2,FALSE))</f>
        <v>2.3381785753613253</v>
      </c>
      <c r="S67" s="20">
        <f>IF($C67="B",VLOOKUP($A67,Bat!$A$4:$BD$2323,S$1,FALSE),VLOOKUP($A67,Pit!$A$4:$AZ$2261,S$2,FALSE))</f>
        <v>2100000</v>
      </c>
      <c r="T67" s="17" t="str">
        <f>IF(S67="Slot","",VLOOKUP(IF($C67="B",VLOOKUP($A67,Bat!$A$4:$AT$2323,T$1,FALSE),VLOOKUP($A67,Pit!$A$4:$BD$2261,T$2,FALSE)),COND!$A$34:$B$40,2,FALSE))</f>
        <v>EH</v>
      </c>
      <c r="U67" s="21" t="str">
        <f>IF($C67="B",VLOOKUP($A67,Bat!$A$4:$AR$1287,44,FALSE),VLOOKUP($A67,Pit!$A$4:$BB$1239,54,FALSE))</f>
        <v/>
      </c>
      <c r="W67" s="21" t="str">
        <f t="shared" si="2"/>
        <v/>
      </c>
      <c r="X67" s="22" t="e">
        <f t="shared" si="3"/>
        <v>#N/A</v>
      </c>
      <c r="Y67" s="16" t="str">
        <f>IF(ISERROR(VLOOKUP($E67&amp;$F67,Results!$A$2:$G$413,Y$1,FALSE)),"",VLOOKUP($E67&amp;$F67,Results!$A$2:$G$413,Y$1,FALSE))</f>
        <v/>
      </c>
      <c r="Z67" s="16" t="str">
        <f>IF(ISERROR(VLOOKUP($E67&amp;$F67,Results!$A$2:$G$413,Z$1,FALSE)),"",VLOOKUP($E67&amp;$F67,Results!$A$2:$G$413,Z$1,FALSE))</f>
        <v/>
      </c>
      <c r="AA67" s="16" t="str">
        <f>IF(ISERROR(VLOOKUP($E67&amp;$F67,Results!$A$2:$G$413,AA$1,FALSE)),"",VLOOKUP($E67&amp;$F67,Results!$A$2:$G$413,AA$1,FALSE))</f>
        <v/>
      </c>
      <c r="AB67" s="16" t="str">
        <f>IF(ISERROR(VLOOKUP($E67&amp;$F67,Results!$A$2:$G$413,AB$1,FALSE)),"",VLOOKUP($E67&amp;$F67,Results!$A$2:$G$413,AB$1,FALSE))</f>
        <v/>
      </c>
      <c r="AC67" s="16"/>
      <c r="AD67" s="20" t="str">
        <f>IF(ISERROR(VLOOKUP($AB67&amp;"-"&amp;$F67,Bonuses!$B$1:$G$1000,4,FALSE)),"",INT(VLOOKUP($AB67&amp;"-"&amp;$F67,Bonuses!$B$1:$G$1000,4,FALSE)))</f>
        <v/>
      </c>
      <c r="AE67" s="16" t="str">
        <f>IF(ISERROR(VLOOKUP($AB67&amp;"-"&amp;$F67,Bonuses!$B$1:$G$1000,5,FALSE)),"",IF(VLOOKUP($AB67&amp;"-"&amp;$F67,Bonuses!$B$1:$G$1000,5,FALSE)="","",VLOOKUP($AB67&amp;"-"&amp;$F67,Bonuses!$B$1:$G$1000,6,FALSE)&amp;" yrs, "&amp;VLOOKUP($AB67&amp;"-"&amp;$F67,Bonuses!$B$1:$G$1000,5,FALSE)))</f>
        <v/>
      </c>
    </row>
    <row r="68" spans="1:31" s="21" customFormat="1">
      <c r="A68" s="21" t="s">
        <v>922</v>
      </c>
      <c r="B68" s="21">
        <f t="shared" si="0"/>
        <v>1</v>
      </c>
      <c r="C68" s="21" t="str">
        <f t="shared" si="1"/>
        <v>B</v>
      </c>
      <c r="D68" s="17">
        <f>IF($C68="B",VLOOKUP($A68,Bat!$A$4:$BD$2323,D$1,FALSE),VLOOKUP($A68,Pit!$A$4:$AZ$2261,D$2,FALSE))</f>
        <v>13839</v>
      </c>
      <c r="E68" s="16" t="str">
        <f>IF($C68="B",VLOOKUP($A68,Bat!$A$4:$BD$2323,E$1,FALSE),VLOOKUP($A68,Pit!$A$4:$AZ$2261,E$2,FALSE))</f>
        <v>1B</v>
      </c>
      <c r="F68" s="16" t="str">
        <f>IF($C68="B",VLOOKUP($A68,Bat!$A$4:$BD$2323,F$1,FALSE),VLOOKUP($A68,Pit!$A$4:$AZ$2261,F$2,FALSE))</f>
        <v>Jason Green</v>
      </c>
      <c r="G68" s="16">
        <f>IF($C68="B",VLOOKUP($A68,Bat!$A$4:$BD$2323,G$1,FALSE),VLOOKUP($A68,Pit!$A$4:$AZ$2261,G$2,FALSE))</f>
        <v>18</v>
      </c>
      <c r="H68" s="16" t="str">
        <f>IF($C68="B",VLOOKUP($A68,Bat!$A$4:$BD$2323,H$1,FALSE),VLOOKUP($A68,Pit!$A$4:$AZ$2261,H$2,FALSE))</f>
        <v>R</v>
      </c>
      <c r="I68" s="16" t="str">
        <f>IF($C68="B",VLOOKUP($A68,Bat!$A$4:$BD$2323,I$1,FALSE),VLOOKUP($A68,Pit!$A$4:$AZ$2261,I$2,FALSE))</f>
        <v>R</v>
      </c>
      <c r="J68" s="16" t="str">
        <f>IF($C68="B",VLOOKUP($A68,Bat!$A$4:$BD$2323,J$1,FALSE),VLOOKUP($A68,Pit!$A$4:$AZ$2261,J$2,FALSE))</f>
        <v>Normal</v>
      </c>
      <c r="K68" s="17" t="str">
        <f>IF($C68="B",VLOOKUP($A68,Bat!$A$4:$BD$2323,K$1,FALSE),VLOOKUP($A68,Pit!$A$4:$AZ$2261,K$2,FALSE))</f>
        <v>High</v>
      </c>
      <c r="L68" s="16">
        <f>IF($C68="B",VLOOKUP($A68,Bat!$A$4:$BD$2323,L$1,FALSE),VLOOKUP($A68,Pit!$A$4:$AZ$2261,L$2,FALSE))</f>
        <v>6</v>
      </c>
      <c r="M68" s="16">
        <f>IF($C68="B",VLOOKUP($A68,Bat!$A$4:$BD$2323,M$1,FALSE),VLOOKUP($A68,Pit!$A$4:$AZ$2261,M$2,FALSE))</f>
        <v>8</v>
      </c>
      <c r="N68" s="16">
        <f>IF($C68="B",VLOOKUP($A68,Bat!$A$4:$BD$2323,N$1,FALSE),VLOOKUP($A68,Pit!$A$4:$AZ$2261,N$2,FALSE))</f>
        <v>2</v>
      </c>
      <c r="O68" s="16">
        <f>IF($C68="B",VLOOKUP($A68,Bat!$A$4:$BD$2323,O$1,FALSE),VLOOKUP($A68,Pit!$A$4:$AZ$2261,O$2,FALSE))</f>
        <v>7</v>
      </c>
      <c r="P68" s="17">
        <f>IF($C68="B",VLOOKUP($A68,Bat!$A$4:$BD$2323,P$1,FALSE),VLOOKUP($A68,Pit!$A$4:$AZ$2261,P$2,FALSE))</f>
        <v>7</v>
      </c>
      <c r="Q68" s="18">
        <f>IF($C68="B",VLOOKUP($A68,Bat!$A$4:$BD$2323,Q$1,FALSE),VLOOKUP($A68,Pit!$A$4:$AZ$2261,Q$2,FALSE))</f>
        <v>19.025494189691283</v>
      </c>
      <c r="R68" s="19">
        <f>IF($C68="B",VLOOKUP($A68,Bat!$A$4:$BD$2323,R$1,FALSE),VLOOKUP($A68,Pit!$A$4:$AZ$2261,R$2,FALSE))</f>
        <v>1.1612607086748972</v>
      </c>
      <c r="S68" s="20">
        <f>IF($C68="B",VLOOKUP($A68,Bat!$A$4:$BD$2323,S$1,FALSE),VLOOKUP($A68,Pit!$A$4:$AZ$2261,S$2,FALSE))</f>
        <v>1600000</v>
      </c>
      <c r="T68" s="17" t="str">
        <f>IF(S68="Slot","",VLOOKUP(IF($C68="B",VLOOKUP($A68,Bat!$A$4:$AT$2323,T$1,FALSE),VLOOKUP($A68,Pit!$A$4:$BD$2261,T$2,FALSE)),COND!$A$34:$B$40,2,FALSE))</f>
        <v>EH</v>
      </c>
      <c r="U68" s="21" t="str">
        <f>IF($C68="B",VLOOKUP($A68,Bat!$A$4:$AR$1287,44,FALSE),VLOOKUP($A68,Pit!$A$4:$BB$1239,54,FALSE))</f>
        <v/>
      </c>
      <c r="W68" s="21" t="str">
        <f t="shared" si="2"/>
        <v/>
      </c>
      <c r="X68" s="22" t="e">
        <f t="shared" si="3"/>
        <v>#N/A</v>
      </c>
      <c r="Y68" s="16" t="str">
        <f>IF(ISERROR(VLOOKUP($E68&amp;$F68,Results!$A$2:$G$413,Y$1,FALSE)),"",VLOOKUP($E68&amp;$F68,Results!$A$2:$G$413,Y$1,FALSE))</f>
        <v/>
      </c>
      <c r="Z68" s="16" t="str">
        <f>IF(ISERROR(VLOOKUP($E68&amp;$F68,Results!$A$2:$G$413,Z$1,FALSE)),"",VLOOKUP($E68&amp;$F68,Results!$A$2:$G$413,Z$1,FALSE))</f>
        <v/>
      </c>
      <c r="AA68" s="16" t="str">
        <f>IF(ISERROR(VLOOKUP($E68&amp;$F68,Results!$A$2:$G$413,AA$1,FALSE)),"",VLOOKUP($E68&amp;$F68,Results!$A$2:$G$413,AA$1,FALSE))</f>
        <v/>
      </c>
      <c r="AB68" s="16" t="str">
        <f>IF(ISERROR(VLOOKUP($E68&amp;$F68,Results!$A$2:$G$413,AB$1,FALSE)),"",VLOOKUP($E68&amp;$F68,Results!$A$2:$G$413,AB$1,FALSE))</f>
        <v/>
      </c>
      <c r="AC68" s="16"/>
      <c r="AD68" s="20" t="str">
        <f>IF(ISERROR(VLOOKUP($AB68&amp;"-"&amp;$F68,Bonuses!$B$1:$G$1000,4,FALSE)),"",INT(VLOOKUP($AB68&amp;"-"&amp;$F68,Bonuses!$B$1:$G$1000,4,FALSE)))</f>
        <v/>
      </c>
      <c r="AE68" s="16" t="str">
        <f>IF(ISERROR(VLOOKUP($AB68&amp;"-"&amp;$F68,Bonuses!$B$1:$G$1000,5,FALSE)),"",IF(VLOOKUP($AB68&amp;"-"&amp;$F68,Bonuses!$B$1:$G$1000,5,FALSE)="","",VLOOKUP($AB68&amp;"-"&amp;$F68,Bonuses!$B$1:$G$1000,6,FALSE)&amp;" yrs, "&amp;VLOOKUP($AB68&amp;"-"&amp;$F68,Bonuses!$B$1:$G$1000,5,FALSE)))</f>
        <v/>
      </c>
    </row>
    <row r="69" spans="1:31" s="21" customFormat="1">
      <c r="A69" s="21" t="s">
        <v>919</v>
      </c>
      <c r="B69" s="21">
        <f t="shared" ref="B69:B132" si="4">COUNTIF($A$5:$A$598,A69)</f>
        <v>1</v>
      </c>
      <c r="C69" s="21" t="str">
        <f t="shared" ref="C69:C132" si="5">IF(OR(MID(A69,1,2)="SP",MID(A69,1,2)="MR",MID(A69,1,2)="CL",MID(A69,1,2)="RP"),"P","B")</f>
        <v>B</v>
      </c>
      <c r="D69" s="17" t="e">
        <f>IF($C69="B",VLOOKUP($A69,Bat!$A$4:$BD$2323,D$1,FALSE),VLOOKUP($A69,Pit!$A$4:$AZ$2261,D$2,FALSE))</f>
        <v>#N/A</v>
      </c>
      <c r="E69" s="16" t="e">
        <f>IF($C69="B",VLOOKUP($A69,Bat!$A$4:$BD$2323,E$1,FALSE),VLOOKUP($A69,Pit!$A$4:$AZ$2261,E$2,FALSE))</f>
        <v>#N/A</v>
      </c>
      <c r="F69" s="16" t="e">
        <f>IF($C69="B",VLOOKUP($A69,Bat!$A$4:$BD$2323,F$1,FALSE),VLOOKUP($A69,Pit!$A$4:$AZ$2261,F$2,FALSE))</f>
        <v>#N/A</v>
      </c>
      <c r="G69" s="16" t="e">
        <f>IF($C69="B",VLOOKUP($A69,Bat!$A$4:$BD$2323,G$1,FALSE),VLOOKUP($A69,Pit!$A$4:$AZ$2261,G$2,FALSE))</f>
        <v>#N/A</v>
      </c>
      <c r="H69" s="16" t="e">
        <f>IF($C69="B",VLOOKUP($A69,Bat!$A$4:$BD$2323,H$1,FALSE),VLOOKUP($A69,Pit!$A$4:$AZ$2261,H$2,FALSE))</f>
        <v>#N/A</v>
      </c>
      <c r="I69" s="16" t="e">
        <f>IF($C69="B",VLOOKUP($A69,Bat!$A$4:$BD$2323,I$1,FALSE),VLOOKUP($A69,Pit!$A$4:$AZ$2261,I$2,FALSE))</f>
        <v>#N/A</v>
      </c>
      <c r="J69" s="16" t="e">
        <f>IF($C69="B",VLOOKUP($A69,Bat!$A$4:$BD$2323,J$1,FALSE),VLOOKUP($A69,Pit!$A$4:$AZ$2261,J$2,FALSE))</f>
        <v>#N/A</v>
      </c>
      <c r="K69" s="17" t="e">
        <f>IF($C69="B",VLOOKUP($A69,Bat!$A$4:$BD$2323,K$1,FALSE),VLOOKUP($A69,Pit!$A$4:$AZ$2261,K$2,FALSE))</f>
        <v>#N/A</v>
      </c>
      <c r="L69" s="16" t="e">
        <f>IF($C69="B",VLOOKUP($A69,Bat!$A$4:$BD$2323,L$1,FALSE),VLOOKUP($A69,Pit!$A$4:$AZ$2261,L$2,FALSE))</f>
        <v>#N/A</v>
      </c>
      <c r="M69" s="16" t="e">
        <f>IF($C69="B",VLOOKUP($A69,Bat!$A$4:$BD$2323,M$1,FALSE),VLOOKUP($A69,Pit!$A$4:$AZ$2261,M$2,FALSE))</f>
        <v>#N/A</v>
      </c>
      <c r="N69" s="16" t="e">
        <f>IF($C69="B",VLOOKUP($A69,Bat!$A$4:$BD$2323,N$1,FALSE),VLOOKUP($A69,Pit!$A$4:$AZ$2261,N$2,FALSE))</f>
        <v>#N/A</v>
      </c>
      <c r="O69" s="16" t="e">
        <f>IF($C69="B",VLOOKUP($A69,Bat!$A$4:$BD$2323,O$1,FALSE),VLOOKUP($A69,Pit!$A$4:$AZ$2261,O$2,FALSE))</f>
        <v>#N/A</v>
      </c>
      <c r="P69" s="17" t="e">
        <f>IF($C69="B",VLOOKUP($A69,Bat!$A$4:$BD$2323,P$1,FALSE),VLOOKUP($A69,Pit!$A$4:$AZ$2261,P$2,FALSE))</f>
        <v>#N/A</v>
      </c>
      <c r="Q69" s="18" t="e">
        <f>IF($C69="B",VLOOKUP($A69,Bat!$A$4:$BD$2323,Q$1,FALSE),VLOOKUP($A69,Pit!$A$4:$AZ$2261,Q$2,FALSE))</f>
        <v>#N/A</v>
      </c>
      <c r="R69" s="19" t="e">
        <f>IF($C69="B",VLOOKUP($A69,Bat!$A$4:$BD$2323,R$1,FALSE),VLOOKUP($A69,Pit!$A$4:$AZ$2261,R$2,FALSE))</f>
        <v>#N/A</v>
      </c>
      <c r="S69" s="20" t="e">
        <f>IF($C69="B",VLOOKUP($A69,Bat!$A$4:$BD$2323,S$1,FALSE),VLOOKUP($A69,Pit!$A$4:$AZ$2261,S$2,FALSE))</f>
        <v>#N/A</v>
      </c>
      <c r="T69" s="17" t="e">
        <f>IF(S69="Slot","",VLOOKUP(IF($C69="B",VLOOKUP($A69,Bat!$A$4:$AT$2323,T$1,FALSE),VLOOKUP($A69,Pit!$A$4:$BD$2261,T$2,FALSE)),COND!$A$34:$B$40,2,FALSE))</f>
        <v>#N/A</v>
      </c>
      <c r="U69" s="21" t="e">
        <f>IF($C69="B",VLOOKUP($A69,Bat!$A$4:$AR$1287,44,FALSE),VLOOKUP($A69,Pit!$A$4:$BB$1239,54,FALSE))</f>
        <v>#N/A</v>
      </c>
      <c r="W69" s="21" t="e">
        <f t="shared" ref="W69:W132" si="6">IF(OR(U69=999,AND(S69&gt;$S$3,S69&lt;&gt;"Slot")),"",U69)</f>
        <v>#N/A</v>
      </c>
      <c r="X69" s="22" t="e">
        <f t="shared" ref="X69:X132" si="7">RANK(R69,$R$5:$R$1469)</f>
        <v>#N/A</v>
      </c>
      <c r="Y69" s="16" t="str">
        <f>IF(ISERROR(VLOOKUP($E69&amp;$F69,Results!$A$2:$G$413,Y$1,FALSE)),"",VLOOKUP($E69&amp;$F69,Results!$A$2:$G$413,Y$1,FALSE))</f>
        <v/>
      </c>
      <c r="Z69" s="16" t="str">
        <f>IF(ISERROR(VLOOKUP($E69&amp;$F69,Results!$A$2:$G$413,Z$1,FALSE)),"",VLOOKUP($E69&amp;$F69,Results!$A$2:$G$413,Z$1,FALSE))</f>
        <v/>
      </c>
      <c r="AA69" s="16" t="str">
        <f>IF(ISERROR(VLOOKUP($E69&amp;$F69,Results!$A$2:$G$413,AA$1,FALSE)),"",VLOOKUP($E69&amp;$F69,Results!$A$2:$G$413,AA$1,FALSE))</f>
        <v/>
      </c>
      <c r="AB69" s="16" t="str">
        <f>IF(ISERROR(VLOOKUP($E69&amp;$F69,Results!$A$2:$G$413,AB$1,FALSE)),"",VLOOKUP($E69&amp;$F69,Results!$A$2:$G$413,AB$1,FALSE))</f>
        <v/>
      </c>
      <c r="AC69" s="16"/>
      <c r="AD69" s="20" t="str">
        <f>IF(ISERROR(VLOOKUP($AB69&amp;"-"&amp;$F69,Bonuses!$B$1:$G$1000,4,FALSE)),"",INT(VLOOKUP($AB69&amp;"-"&amp;$F69,Bonuses!$B$1:$G$1000,4,FALSE)))</f>
        <v/>
      </c>
      <c r="AE69" s="16" t="str">
        <f>IF(ISERROR(VLOOKUP($AB69&amp;"-"&amp;$F69,Bonuses!$B$1:$G$1000,5,FALSE)),"",IF(VLOOKUP($AB69&amp;"-"&amp;$F69,Bonuses!$B$1:$G$1000,5,FALSE)="","",VLOOKUP($AB69&amp;"-"&amp;$F69,Bonuses!$B$1:$G$1000,6,FALSE)&amp;" yrs, "&amp;VLOOKUP($AB69&amp;"-"&amp;$F69,Bonuses!$B$1:$G$1000,5,FALSE)))</f>
        <v/>
      </c>
    </row>
    <row r="70" spans="1:31" s="21" customFormat="1">
      <c r="A70" s="21" t="s">
        <v>921</v>
      </c>
      <c r="B70" s="21">
        <f t="shared" si="4"/>
        <v>1</v>
      </c>
      <c r="C70" s="21" t="str">
        <f t="shared" si="5"/>
        <v>B</v>
      </c>
      <c r="D70" s="17" t="e">
        <f>IF($C70="B",VLOOKUP($A70,Bat!$A$4:$BD$2323,D$1,FALSE),VLOOKUP($A70,Pit!$A$4:$AZ$2261,D$2,FALSE))</f>
        <v>#N/A</v>
      </c>
      <c r="E70" s="16" t="str">
        <f>IF($C70="B",VLOOKUP($A70,Bat!$A$4:$BD$2323,E$1,FALSE),VLOOKUP($A70,Pit!$A$4:$AZ$2261,E$2,FALSE))</f>
        <v>2B</v>
      </c>
      <c r="F70" s="16" t="str">
        <f>IF($C70="B",VLOOKUP($A70,Bat!$A$4:$BD$2323,F$1,FALSE),VLOOKUP($A70,Pit!$A$4:$AZ$2261,F$2,FALSE))</f>
        <v>Tomás Hernández</v>
      </c>
      <c r="G70" s="16">
        <f>IF($C70="B",VLOOKUP($A70,Bat!$A$4:$BD$2323,G$1,FALSE),VLOOKUP($A70,Pit!$A$4:$AZ$2261,G$2,FALSE))</f>
        <v>21</v>
      </c>
      <c r="H70" s="16" t="str">
        <f>IF($C70="B",VLOOKUP($A70,Bat!$A$4:$BD$2323,H$1,FALSE),VLOOKUP($A70,Pit!$A$4:$AZ$2261,H$2,FALSE))</f>
        <v>R</v>
      </c>
      <c r="I70" s="16" t="str">
        <f>IF($C70="B",VLOOKUP($A70,Bat!$A$4:$BD$2323,I$1,FALSE),VLOOKUP($A70,Pit!$A$4:$AZ$2261,I$2,FALSE))</f>
        <v>R</v>
      </c>
      <c r="J70" s="16" t="str">
        <f>IF($C70="B",VLOOKUP($A70,Bat!$A$4:$BD$2323,J$1,FALSE),VLOOKUP($A70,Pit!$A$4:$AZ$2261,J$2,FALSE))</f>
        <v>Normal</v>
      </c>
      <c r="K70" s="17" t="str">
        <f>IF($C70="B",VLOOKUP($A70,Bat!$A$4:$BD$2323,K$1,FALSE),VLOOKUP($A70,Pit!$A$4:$AZ$2261,K$2,FALSE))</f>
        <v>Low</v>
      </c>
      <c r="L70" s="16">
        <f>IF($C70="B",VLOOKUP($A70,Bat!$A$4:$BD$2323,L$1,FALSE),VLOOKUP($A70,Pit!$A$4:$AZ$2261,L$2,FALSE))</f>
        <v>6</v>
      </c>
      <c r="M70" s="16">
        <f>IF($C70="B",VLOOKUP($A70,Bat!$A$4:$BD$2323,M$1,FALSE),VLOOKUP($A70,Pit!$A$4:$AZ$2261,M$2,FALSE))</f>
        <v>4</v>
      </c>
      <c r="N70" s="16">
        <f>IF($C70="B",VLOOKUP($A70,Bat!$A$4:$BD$2323,N$1,FALSE),VLOOKUP($A70,Pit!$A$4:$AZ$2261,N$2,FALSE))</f>
        <v>4</v>
      </c>
      <c r="O70" s="16">
        <f>IF($C70="B",VLOOKUP($A70,Bat!$A$4:$BD$2323,O$1,FALSE),VLOOKUP($A70,Pit!$A$4:$AZ$2261,O$2,FALSE))</f>
        <v>6</v>
      </c>
      <c r="P70" s="17">
        <f>IF($C70="B",VLOOKUP($A70,Bat!$A$4:$BD$2323,P$1,FALSE),VLOOKUP($A70,Pit!$A$4:$AZ$2261,P$2,FALSE))</f>
        <v>7</v>
      </c>
      <c r="Q70" s="18">
        <f>IF($C70="B",VLOOKUP($A70,Bat!$A$4:$BD$2323,Q$1,FALSE),VLOOKUP($A70,Pit!$A$4:$AZ$2261,Q$2,FALSE))</f>
        <v>18.103836828553682</v>
      </c>
      <c r="R70" s="19">
        <f>IF($C70="B",VLOOKUP($A70,Bat!$A$4:$BD$2323,R$1,FALSE),VLOOKUP($A70,Pit!$A$4:$AZ$2261,R$2,FALSE))</f>
        <v>1.0332207013543566</v>
      </c>
      <c r="S70" s="20" t="str">
        <f>IF($C70="B",VLOOKUP($A70,Bat!$A$4:$BD$2323,S$1,FALSE),VLOOKUP($A70,Pit!$A$4:$AZ$2261,S$2,FALSE))</f>
        <v>Slot</v>
      </c>
      <c r="T70" s="17" t="str">
        <f>IF(S70="Slot","",VLOOKUP(IF($C70="B",VLOOKUP($A70,Bat!$A$4:$AT$2323,T$1,FALSE),VLOOKUP($A70,Pit!$A$4:$BD$2261,T$2,FALSE)),COND!$A$34:$B$40,2,FALSE))</f>
        <v/>
      </c>
      <c r="U70" s="21" t="str">
        <f>IF($C70="B",VLOOKUP($A70,Bat!$A$4:$AR$1287,44,FALSE),VLOOKUP($A70,Pit!$A$4:$BB$1239,54,FALSE))</f>
        <v/>
      </c>
      <c r="W70" s="21" t="str">
        <f t="shared" si="6"/>
        <v/>
      </c>
      <c r="X70" s="22" t="e">
        <f t="shared" si="7"/>
        <v>#N/A</v>
      </c>
      <c r="Y70" s="16" t="str">
        <f>IF(ISERROR(VLOOKUP($E70&amp;$F70,Results!$A$2:$G$413,Y$1,FALSE)),"",VLOOKUP($E70&amp;$F70,Results!$A$2:$G$413,Y$1,FALSE))</f>
        <v/>
      </c>
      <c r="Z70" s="16" t="str">
        <f>IF(ISERROR(VLOOKUP($E70&amp;$F70,Results!$A$2:$G$413,Z$1,FALSE)),"",VLOOKUP($E70&amp;$F70,Results!$A$2:$G$413,Z$1,FALSE))</f>
        <v/>
      </c>
      <c r="AA70" s="16" t="str">
        <f>IF(ISERROR(VLOOKUP($E70&amp;$F70,Results!$A$2:$G$413,AA$1,FALSE)),"",VLOOKUP($E70&amp;$F70,Results!$A$2:$G$413,AA$1,FALSE))</f>
        <v/>
      </c>
      <c r="AB70" s="16" t="str">
        <f>IF(ISERROR(VLOOKUP($E70&amp;$F70,Results!$A$2:$G$413,AB$1,FALSE)),"",VLOOKUP($E70&amp;$F70,Results!$A$2:$G$413,AB$1,FALSE))</f>
        <v/>
      </c>
      <c r="AC70" s="16"/>
      <c r="AD70" s="20" t="str">
        <f>IF(ISERROR(VLOOKUP($AB70&amp;"-"&amp;$F70,Bonuses!$B$1:$G$1000,4,FALSE)),"",INT(VLOOKUP($AB70&amp;"-"&amp;$F70,Bonuses!$B$1:$G$1000,4,FALSE)))</f>
        <v/>
      </c>
      <c r="AE70" s="16" t="str">
        <f>IF(ISERROR(VLOOKUP($AB70&amp;"-"&amp;$F70,Bonuses!$B$1:$G$1000,5,FALSE)),"",IF(VLOOKUP($AB70&amp;"-"&amp;$F70,Bonuses!$B$1:$G$1000,5,FALSE)="","",VLOOKUP($AB70&amp;"-"&amp;$F70,Bonuses!$B$1:$G$1000,6,FALSE)&amp;" yrs, "&amp;VLOOKUP($AB70&amp;"-"&amp;$F70,Bonuses!$B$1:$G$1000,5,FALSE)))</f>
        <v/>
      </c>
    </row>
    <row r="71" spans="1:31" s="21" customFormat="1">
      <c r="A71" s="21" t="s">
        <v>917</v>
      </c>
      <c r="B71" s="21">
        <f t="shared" si="4"/>
        <v>1</v>
      </c>
      <c r="C71" s="21" t="str">
        <f t="shared" si="5"/>
        <v>B</v>
      </c>
      <c r="D71" s="17">
        <f>IF($C71="B",VLOOKUP($A71,Bat!$A$4:$BD$2323,D$1,FALSE),VLOOKUP($A71,Pit!$A$4:$AZ$2261,D$2,FALSE))</f>
        <v>6580</v>
      </c>
      <c r="E71" s="16" t="str">
        <f>IF($C71="B",VLOOKUP($A71,Bat!$A$4:$BD$2323,E$1,FALSE),VLOOKUP($A71,Pit!$A$4:$AZ$2261,E$2,FALSE))</f>
        <v>2B</v>
      </c>
      <c r="F71" s="16" t="str">
        <f>IF($C71="B",VLOOKUP($A71,Bat!$A$4:$BD$2323,F$1,FALSE),VLOOKUP($A71,Pit!$A$4:$AZ$2261,F$2,FALSE))</f>
        <v>Joe Walsh</v>
      </c>
      <c r="G71" s="16">
        <f>IF($C71="B",VLOOKUP($A71,Bat!$A$4:$BD$2323,G$1,FALSE),VLOOKUP($A71,Pit!$A$4:$AZ$2261,G$2,FALSE))</f>
        <v>21</v>
      </c>
      <c r="H71" s="16" t="str">
        <f>IF($C71="B",VLOOKUP($A71,Bat!$A$4:$BD$2323,H$1,FALSE),VLOOKUP($A71,Pit!$A$4:$AZ$2261,H$2,FALSE))</f>
        <v>L</v>
      </c>
      <c r="I71" s="16" t="str">
        <f>IF($C71="B",VLOOKUP($A71,Bat!$A$4:$BD$2323,I$1,FALSE),VLOOKUP($A71,Pit!$A$4:$AZ$2261,I$2,FALSE))</f>
        <v>R</v>
      </c>
      <c r="J71" s="16" t="str">
        <f>IF($C71="B",VLOOKUP($A71,Bat!$A$4:$BD$2323,J$1,FALSE),VLOOKUP($A71,Pit!$A$4:$AZ$2261,J$2,FALSE))</f>
        <v>Low</v>
      </c>
      <c r="K71" s="17" t="str">
        <f>IF($C71="B",VLOOKUP($A71,Bat!$A$4:$BD$2323,K$1,FALSE),VLOOKUP($A71,Pit!$A$4:$AZ$2261,K$2,FALSE))</f>
        <v>Normal</v>
      </c>
      <c r="L71" s="16">
        <f>IF($C71="B",VLOOKUP($A71,Bat!$A$4:$BD$2323,L$1,FALSE),VLOOKUP($A71,Pit!$A$4:$AZ$2261,L$2,FALSE))</f>
        <v>6</v>
      </c>
      <c r="M71" s="16">
        <f>IF($C71="B",VLOOKUP($A71,Bat!$A$4:$BD$2323,M$1,FALSE),VLOOKUP($A71,Pit!$A$4:$AZ$2261,M$2,FALSE))</f>
        <v>6</v>
      </c>
      <c r="N71" s="16">
        <f>IF($C71="B",VLOOKUP($A71,Bat!$A$4:$BD$2323,N$1,FALSE),VLOOKUP($A71,Pit!$A$4:$AZ$2261,N$2,FALSE))</f>
        <v>5</v>
      </c>
      <c r="O71" s="16">
        <f>IF($C71="B",VLOOKUP($A71,Bat!$A$4:$BD$2323,O$1,FALSE),VLOOKUP($A71,Pit!$A$4:$AZ$2261,O$2,FALSE))</f>
        <v>5</v>
      </c>
      <c r="P71" s="17">
        <f>IF($C71="B",VLOOKUP($A71,Bat!$A$4:$BD$2323,P$1,FALSE),VLOOKUP($A71,Pit!$A$4:$AZ$2261,P$2,FALSE))</f>
        <v>4</v>
      </c>
      <c r="Q71" s="18">
        <f>IF($C71="B",VLOOKUP($A71,Bat!$A$4:$BD$2323,Q$1,FALSE),VLOOKUP($A71,Pit!$A$4:$AZ$2261,Q$2,FALSE))</f>
        <v>18.035265996911541</v>
      </c>
      <c r="R71" s="19">
        <f>IF($C71="B",VLOOKUP($A71,Bat!$A$4:$BD$2323,R$1,FALSE),VLOOKUP($A71,Pit!$A$4:$AZ$2261,R$2,FALSE))</f>
        <v>1.0236945909410482</v>
      </c>
      <c r="S71" s="20" t="str">
        <f>IF($C71="B",VLOOKUP($A71,Bat!$A$4:$BD$2323,S$1,FALSE),VLOOKUP($A71,Pit!$A$4:$AZ$2261,S$2,FALSE))</f>
        <v>Slot</v>
      </c>
      <c r="T71" s="17" t="str">
        <f>IF(S71="Slot","",VLOOKUP(IF($C71="B",VLOOKUP($A71,Bat!$A$4:$AT$2323,T$1,FALSE),VLOOKUP($A71,Pit!$A$4:$BD$2261,T$2,FALSE)),COND!$A$34:$B$40,2,FALSE))</f>
        <v/>
      </c>
      <c r="U71" s="21" t="str">
        <f>IF($C71="B",VLOOKUP($A71,Bat!$A$4:$AR$1287,44,FALSE),VLOOKUP($A71,Pit!$A$4:$BB$1239,54,FALSE))</f>
        <v/>
      </c>
      <c r="W71" s="21" t="str">
        <f t="shared" si="6"/>
        <v/>
      </c>
      <c r="X71" s="22" t="e">
        <f t="shared" si="7"/>
        <v>#N/A</v>
      </c>
      <c r="Y71" s="16" t="str">
        <f>IF(ISERROR(VLOOKUP($E71&amp;$F71,Results!$A$2:$G$413,Y$1,FALSE)),"",VLOOKUP($E71&amp;$F71,Results!$A$2:$G$413,Y$1,FALSE))</f>
        <v/>
      </c>
      <c r="Z71" s="16" t="str">
        <f>IF(ISERROR(VLOOKUP($E71&amp;$F71,Results!$A$2:$G$413,Z$1,FALSE)),"",VLOOKUP($E71&amp;$F71,Results!$A$2:$G$413,Z$1,FALSE))</f>
        <v/>
      </c>
      <c r="AA71" s="16" t="str">
        <f>IF(ISERROR(VLOOKUP($E71&amp;$F71,Results!$A$2:$G$413,AA$1,FALSE)),"",VLOOKUP($E71&amp;$F71,Results!$A$2:$G$413,AA$1,FALSE))</f>
        <v/>
      </c>
      <c r="AB71" s="16" t="str">
        <f>IF(ISERROR(VLOOKUP($E71&amp;$F71,Results!$A$2:$G$413,AB$1,FALSE)),"",VLOOKUP($E71&amp;$F71,Results!$A$2:$G$413,AB$1,FALSE))</f>
        <v/>
      </c>
      <c r="AC71" s="16"/>
      <c r="AD71" s="20" t="str">
        <f>IF(ISERROR(VLOOKUP($AB71&amp;"-"&amp;$F71,Bonuses!$B$1:$G$1000,4,FALSE)),"",INT(VLOOKUP($AB71&amp;"-"&amp;$F71,Bonuses!$B$1:$G$1000,4,FALSE)))</f>
        <v/>
      </c>
      <c r="AE71" s="16" t="str">
        <f>IF(ISERROR(VLOOKUP($AB71&amp;"-"&amp;$F71,Bonuses!$B$1:$G$1000,5,FALSE)),"",IF(VLOOKUP($AB71&amp;"-"&amp;$F71,Bonuses!$B$1:$G$1000,5,FALSE)="","",VLOOKUP($AB71&amp;"-"&amp;$F71,Bonuses!$B$1:$G$1000,6,FALSE)&amp;" yrs, "&amp;VLOOKUP($AB71&amp;"-"&amp;$F71,Bonuses!$B$1:$G$1000,5,FALSE)))</f>
        <v/>
      </c>
    </row>
    <row r="72" spans="1:31" s="21" customFormat="1">
      <c r="A72" s="21" t="s">
        <v>920</v>
      </c>
      <c r="B72" s="21">
        <f t="shared" si="4"/>
        <v>1</v>
      </c>
      <c r="C72" s="21" t="str">
        <f t="shared" si="5"/>
        <v>B</v>
      </c>
      <c r="D72" s="17">
        <f>IF($C72="B",VLOOKUP($A72,Bat!$A$4:$BD$2323,D$1,FALSE),VLOOKUP($A72,Pit!$A$4:$AZ$2261,D$2,FALSE))</f>
        <v>13826</v>
      </c>
      <c r="E72" s="16" t="str">
        <f>IF($C72="B",VLOOKUP($A72,Bat!$A$4:$BD$2323,E$1,FALSE),VLOOKUP($A72,Pit!$A$4:$AZ$2261,E$2,FALSE))</f>
        <v>CF</v>
      </c>
      <c r="F72" s="16" t="str">
        <f>IF($C72="B",VLOOKUP($A72,Bat!$A$4:$BD$2323,F$1,FALSE),VLOOKUP($A72,Pit!$A$4:$AZ$2261,F$2,FALSE))</f>
        <v>Steve Curtis</v>
      </c>
      <c r="G72" s="16">
        <f>IF($C72="B",VLOOKUP($A72,Bat!$A$4:$BD$2323,G$1,FALSE),VLOOKUP($A72,Pit!$A$4:$AZ$2261,G$2,FALSE))</f>
        <v>18</v>
      </c>
      <c r="H72" s="16" t="str">
        <f>IF($C72="B",VLOOKUP($A72,Bat!$A$4:$BD$2323,H$1,FALSE),VLOOKUP($A72,Pit!$A$4:$AZ$2261,H$2,FALSE))</f>
        <v>L</v>
      </c>
      <c r="I72" s="16" t="str">
        <f>IF($C72="B",VLOOKUP($A72,Bat!$A$4:$BD$2323,I$1,FALSE),VLOOKUP($A72,Pit!$A$4:$AZ$2261,I$2,FALSE))</f>
        <v>R</v>
      </c>
      <c r="J72" s="16" t="str">
        <f>IF($C72="B",VLOOKUP($A72,Bat!$A$4:$BD$2323,J$1,FALSE),VLOOKUP($A72,Pit!$A$4:$AZ$2261,J$2,FALSE))</f>
        <v>Normal</v>
      </c>
      <c r="K72" s="17" t="str">
        <f>IF($C72="B",VLOOKUP($A72,Bat!$A$4:$BD$2323,K$1,FALSE),VLOOKUP($A72,Pit!$A$4:$AZ$2261,K$2,FALSE))</f>
        <v>Normal</v>
      </c>
      <c r="L72" s="16">
        <f>IF($C72="B",VLOOKUP($A72,Bat!$A$4:$BD$2323,L$1,FALSE),VLOOKUP($A72,Pit!$A$4:$AZ$2261,L$2,FALSE))</f>
        <v>5</v>
      </c>
      <c r="M72" s="16">
        <f>IF($C72="B",VLOOKUP($A72,Bat!$A$4:$BD$2323,M$1,FALSE),VLOOKUP($A72,Pit!$A$4:$AZ$2261,M$2,FALSE))</f>
        <v>6</v>
      </c>
      <c r="N72" s="16">
        <f>IF($C72="B",VLOOKUP($A72,Bat!$A$4:$BD$2323,N$1,FALSE),VLOOKUP($A72,Pit!$A$4:$AZ$2261,N$2,FALSE))</f>
        <v>6</v>
      </c>
      <c r="O72" s="16">
        <f>IF($C72="B",VLOOKUP($A72,Bat!$A$4:$BD$2323,O$1,FALSE),VLOOKUP($A72,Pit!$A$4:$AZ$2261,O$2,FALSE))</f>
        <v>7</v>
      </c>
      <c r="P72" s="17">
        <f>IF($C72="B",VLOOKUP($A72,Bat!$A$4:$BD$2323,P$1,FALSE),VLOOKUP($A72,Pit!$A$4:$AZ$2261,P$2,FALSE))</f>
        <v>5</v>
      </c>
      <c r="Q72" s="18">
        <f>IF($C72="B",VLOOKUP($A72,Bat!$A$4:$BD$2323,Q$1,FALSE),VLOOKUP($A72,Pit!$A$4:$AZ$2261,Q$2,FALSE))</f>
        <v>17.522613268614236</v>
      </c>
      <c r="R72" s="19">
        <f>IF($C72="B",VLOOKUP($A72,Bat!$A$4:$BD$2323,R$1,FALSE),VLOOKUP($A72,Pit!$A$4:$AZ$2261,R$2,FALSE))</f>
        <v>0.95247500126288154</v>
      </c>
      <c r="S72" s="20" t="str">
        <f>IF($C72="B",VLOOKUP($A72,Bat!$A$4:$BD$2323,S$1,FALSE),VLOOKUP($A72,Pit!$A$4:$AZ$2261,S$2,FALSE))</f>
        <v>Slot</v>
      </c>
      <c r="T72" s="17" t="str">
        <f>IF(S72="Slot","",VLOOKUP(IF($C72="B",VLOOKUP($A72,Bat!$A$4:$AT$2323,T$1,FALSE),VLOOKUP($A72,Pit!$A$4:$BD$2261,T$2,FALSE)),COND!$A$34:$B$40,2,FALSE))</f>
        <v/>
      </c>
      <c r="U72" s="21" t="str">
        <f>IF($C72="B",VLOOKUP($A72,Bat!$A$4:$AR$1287,44,FALSE),VLOOKUP($A72,Pit!$A$4:$BB$1239,54,FALSE))</f>
        <v/>
      </c>
      <c r="W72" s="21" t="str">
        <f t="shared" si="6"/>
        <v/>
      </c>
      <c r="X72" s="22" t="e">
        <f t="shared" si="7"/>
        <v>#N/A</v>
      </c>
      <c r="Y72" s="16" t="str">
        <f>IF(ISERROR(VLOOKUP($E72&amp;$F72,Results!$A$2:$G$413,Y$1,FALSE)),"",VLOOKUP($E72&amp;$F72,Results!$A$2:$G$413,Y$1,FALSE))</f>
        <v/>
      </c>
      <c r="Z72" s="16" t="str">
        <f>IF(ISERROR(VLOOKUP($E72&amp;$F72,Results!$A$2:$G$413,Z$1,FALSE)),"",VLOOKUP($E72&amp;$F72,Results!$A$2:$G$413,Z$1,FALSE))</f>
        <v/>
      </c>
      <c r="AA72" s="16" t="str">
        <f>IF(ISERROR(VLOOKUP($E72&amp;$F72,Results!$A$2:$G$413,AA$1,FALSE)),"",VLOOKUP($E72&amp;$F72,Results!$A$2:$G$413,AA$1,FALSE))</f>
        <v/>
      </c>
      <c r="AB72" s="16" t="str">
        <f>IF(ISERROR(VLOOKUP($E72&amp;$F72,Results!$A$2:$G$413,AB$1,FALSE)),"",VLOOKUP($E72&amp;$F72,Results!$A$2:$G$413,AB$1,FALSE))</f>
        <v/>
      </c>
      <c r="AC72" s="16"/>
      <c r="AD72" s="20" t="str">
        <f>IF(ISERROR(VLOOKUP($AB72&amp;"-"&amp;$F72,Bonuses!$B$1:$G$1000,4,FALSE)),"",INT(VLOOKUP($AB72&amp;"-"&amp;$F72,Bonuses!$B$1:$G$1000,4,FALSE)))</f>
        <v/>
      </c>
      <c r="AE72" s="16" t="str">
        <f>IF(ISERROR(VLOOKUP($AB72&amp;"-"&amp;$F72,Bonuses!$B$1:$G$1000,5,FALSE)),"",IF(VLOOKUP($AB72&amp;"-"&amp;$F72,Bonuses!$B$1:$G$1000,5,FALSE)="","",VLOOKUP($AB72&amp;"-"&amp;$F72,Bonuses!$B$1:$G$1000,6,FALSE)&amp;" yrs, "&amp;VLOOKUP($AB72&amp;"-"&amp;$F72,Bonuses!$B$1:$G$1000,5,FALSE)))</f>
        <v/>
      </c>
    </row>
    <row r="73" spans="1:31" s="21" customFormat="1">
      <c r="A73" s="21" t="s">
        <v>939</v>
      </c>
      <c r="B73" s="21">
        <f t="shared" si="4"/>
        <v>1</v>
      </c>
      <c r="C73" s="21" t="str">
        <f t="shared" si="5"/>
        <v>B</v>
      </c>
      <c r="D73" s="17">
        <f>IF($C73="B",VLOOKUP($A73,Bat!$A$4:$BD$2323,D$1,FALSE),VLOOKUP($A73,Pit!$A$4:$AZ$2261,D$2,FALSE))</f>
        <v>8657</v>
      </c>
      <c r="E73" s="16" t="str">
        <f>IF($C73="B",VLOOKUP($A73,Bat!$A$4:$BD$2323,E$1,FALSE),VLOOKUP($A73,Pit!$A$4:$AZ$2261,E$2,FALSE))</f>
        <v>1B</v>
      </c>
      <c r="F73" s="16" t="str">
        <f>IF($C73="B",VLOOKUP($A73,Bat!$A$4:$BD$2323,F$1,FALSE),VLOOKUP($A73,Pit!$A$4:$AZ$2261,F$2,FALSE))</f>
        <v>Evan Burgess</v>
      </c>
      <c r="G73" s="16">
        <f>IF($C73="B",VLOOKUP($A73,Bat!$A$4:$BD$2323,G$1,FALSE),VLOOKUP($A73,Pit!$A$4:$AZ$2261,G$2,FALSE))</f>
        <v>21</v>
      </c>
      <c r="H73" s="16" t="str">
        <f>IF($C73="B",VLOOKUP($A73,Bat!$A$4:$BD$2323,H$1,FALSE),VLOOKUP($A73,Pit!$A$4:$AZ$2261,H$2,FALSE))</f>
        <v>L</v>
      </c>
      <c r="I73" s="16" t="str">
        <f>IF($C73="B",VLOOKUP($A73,Bat!$A$4:$BD$2323,I$1,FALSE),VLOOKUP($A73,Pit!$A$4:$AZ$2261,I$2,FALSE))</f>
        <v>R</v>
      </c>
      <c r="J73" s="16" t="str">
        <f>IF($C73="B",VLOOKUP($A73,Bat!$A$4:$BD$2323,J$1,FALSE),VLOOKUP($A73,Pit!$A$4:$AZ$2261,J$2,FALSE))</f>
        <v>High</v>
      </c>
      <c r="K73" s="17" t="str">
        <f>IF($C73="B",VLOOKUP($A73,Bat!$A$4:$BD$2323,K$1,FALSE),VLOOKUP($A73,Pit!$A$4:$AZ$2261,K$2,FALSE))</f>
        <v>Low</v>
      </c>
      <c r="L73" s="16">
        <f>IF($C73="B",VLOOKUP($A73,Bat!$A$4:$BD$2323,L$1,FALSE),VLOOKUP($A73,Pit!$A$4:$AZ$2261,L$2,FALSE))</f>
        <v>7</v>
      </c>
      <c r="M73" s="16">
        <f>IF($C73="B",VLOOKUP($A73,Bat!$A$4:$BD$2323,M$1,FALSE),VLOOKUP($A73,Pit!$A$4:$AZ$2261,M$2,FALSE))</f>
        <v>3</v>
      </c>
      <c r="N73" s="16">
        <f>IF($C73="B",VLOOKUP($A73,Bat!$A$4:$BD$2323,N$1,FALSE),VLOOKUP($A73,Pit!$A$4:$AZ$2261,N$2,FALSE))</f>
        <v>2</v>
      </c>
      <c r="O73" s="16">
        <f>IF($C73="B",VLOOKUP($A73,Bat!$A$4:$BD$2323,O$1,FALSE),VLOOKUP($A73,Pit!$A$4:$AZ$2261,O$2,FALSE))</f>
        <v>5</v>
      </c>
      <c r="P73" s="17">
        <f>IF($C73="B",VLOOKUP($A73,Bat!$A$4:$BD$2323,P$1,FALSE),VLOOKUP($A73,Pit!$A$4:$AZ$2261,P$2,FALSE))</f>
        <v>5</v>
      </c>
      <c r="Q73" s="18">
        <f>IF($C73="B",VLOOKUP($A73,Bat!$A$4:$BD$2323,Q$1,FALSE),VLOOKUP($A73,Pit!$A$4:$AZ$2261,Q$2,FALSE))</f>
        <v>16.816224398319733</v>
      </c>
      <c r="R73" s="19">
        <f>IF($C73="B",VLOOKUP($A73,Bat!$A$4:$BD$2323,R$1,FALSE),VLOOKUP($A73,Pit!$A$4:$AZ$2261,R$2,FALSE))</f>
        <v>0.85434087904199563</v>
      </c>
      <c r="S73" s="20" t="str">
        <f>IF($C73="B",VLOOKUP($A73,Bat!$A$4:$BD$2323,S$1,FALSE),VLOOKUP($A73,Pit!$A$4:$AZ$2261,S$2,FALSE))</f>
        <v>Slot</v>
      </c>
      <c r="T73" s="17" t="str">
        <f>IF(S73="Slot","",VLOOKUP(IF($C73="B",VLOOKUP($A73,Bat!$A$4:$AT$2323,T$1,FALSE),VLOOKUP($A73,Pit!$A$4:$BD$2261,T$2,FALSE)),COND!$A$34:$B$40,2,FALSE))</f>
        <v/>
      </c>
      <c r="U73" s="21" t="str">
        <f>IF($C73="B",VLOOKUP($A73,Bat!$A$4:$AR$1287,44,FALSE),VLOOKUP($A73,Pit!$A$4:$BB$1239,54,FALSE))</f>
        <v/>
      </c>
      <c r="W73" s="21" t="str">
        <f t="shared" si="6"/>
        <v/>
      </c>
      <c r="X73" s="22" t="e">
        <f t="shared" si="7"/>
        <v>#N/A</v>
      </c>
      <c r="Y73" s="16" t="str">
        <f>IF(ISERROR(VLOOKUP($E73&amp;$F73,Results!$A$2:$G$413,Y$1,FALSE)),"",VLOOKUP($E73&amp;$F73,Results!$A$2:$G$413,Y$1,FALSE))</f>
        <v/>
      </c>
      <c r="Z73" s="16" t="str">
        <f>IF(ISERROR(VLOOKUP($E73&amp;$F73,Results!$A$2:$G$413,Z$1,FALSE)),"",VLOOKUP($E73&amp;$F73,Results!$A$2:$G$413,Z$1,FALSE))</f>
        <v/>
      </c>
      <c r="AA73" s="16" t="str">
        <f>IF(ISERROR(VLOOKUP($E73&amp;$F73,Results!$A$2:$G$413,AA$1,FALSE)),"",VLOOKUP($E73&amp;$F73,Results!$A$2:$G$413,AA$1,FALSE))</f>
        <v/>
      </c>
      <c r="AB73" s="16" t="str">
        <f>IF(ISERROR(VLOOKUP($E73&amp;$F73,Results!$A$2:$G$413,AB$1,FALSE)),"",VLOOKUP($E73&amp;$F73,Results!$A$2:$G$413,AB$1,FALSE))</f>
        <v/>
      </c>
      <c r="AC73" s="16"/>
      <c r="AD73" s="20" t="str">
        <f>IF(ISERROR(VLOOKUP($AB73&amp;"-"&amp;$F73,Bonuses!$B$1:$G$1000,4,FALSE)),"",INT(VLOOKUP($AB73&amp;"-"&amp;$F73,Bonuses!$B$1:$G$1000,4,FALSE)))</f>
        <v/>
      </c>
      <c r="AE73" s="16" t="str">
        <f>IF(ISERROR(VLOOKUP($AB73&amp;"-"&amp;$F73,Bonuses!$B$1:$G$1000,5,FALSE)),"",IF(VLOOKUP($AB73&amp;"-"&amp;$F73,Bonuses!$B$1:$G$1000,5,FALSE)="","",VLOOKUP($AB73&amp;"-"&amp;$F73,Bonuses!$B$1:$G$1000,6,FALSE)&amp;" yrs, "&amp;VLOOKUP($AB73&amp;"-"&amp;$F73,Bonuses!$B$1:$G$1000,5,FALSE)))</f>
        <v/>
      </c>
    </row>
    <row r="74" spans="1:31" s="21" customFormat="1">
      <c r="A74" s="21" t="s">
        <v>940</v>
      </c>
      <c r="B74" s="21">
        <f t="shared" si="4"/>
        <v>1</v>
      </c>
      <c r="C74" s="21" t="str">
        <f t="shared" si="5"/>
        <v>B</v>
      </c>
      <c r="D74" s="17" t="e">
        <f>IF($C74="B",VLOOKUP($A74,Bat!$A$4:$BD$2323,D$1,FALSE),VLOOKUP($A74,Pit!$A$4:$AZ$2261,D$2,FALSE))</f>
        <v>#N/A</v>
      </c>
      <c r="E74" s="16" t="str">
        <f>IF($C74="B",VLOOKUP($A74,Bat!$A$4:$BD$2323,E$1,FALSE),VLOOKUP($A74,Pit!$A$4:$AZ$2261,E$2,FALSE))</f>
        <v>2B</v>
      </c>
      <c r="F74" s="16" t="str">
        <f>IF($C74="B",VLOOKUP($A74,Bat!$A$4:$BD$2323,F$1,FALSE),VLOOKUP($A74,Pit!$A$4:$AZ$2261,F$2,FALSE))</f>
        <v>Luis Martínez</v>
      </c>
      <c r="G74" s="16">
        <f>IF($C74="B",VLOOKUP($A74,Bat!$A$4:$BD$2323,G$1,FALSE),VLOOKUP($A74,Pit!$A$4:$AZ$2261,G$2,FALSE))</f>
        <v>21</v>
      </c>
      <c r="H74" s="16" t="str">
        <f>IF($C74="B",VLOOKUP($A74,Bat!$A$4:$BD$2323,H$1,FALSE),VLOOKUP($A74,Pit!$A$4:$AZ$2261,H$2,FALSE))</f>
        <v>R</v>
      </c>
      <c r="I74" s="16" t="str">
        <f>IF($C74="B",VLOOKUP($A74,Bat!$A$4:$BD$2323,I$1,FALSE),VLOOKUP($A74,Pit!$A$4:$AZ$2261,I$2,FALSE))</f>
        <v>R</v>
      </c>
      <c r="J74" s="16" t="str">
        <f>IF($C74="B",VLOOKUP($A74,Bat!$A$4:$BD$2323,J$1,FALSE),VLOOKUP($A74,Pit!$A$4:$AZ$2261,J$2,FALSE))</f>
        <v>Normal</v>
      </c>
      <c r="K74" s="17" t="str">
        <f>IF($C74="B",VLOOKUP($A74,Bat!$A$4:$BD$2323,K$1,FALSE),VLOOKUP($A74,Pit!$A$4:$AZ$2261,K$2,FALSE))</f>
        <v>Very Low</v>
      </c>
      <c r="L74" s="16">
        <f>IF($C74="B",VLOOKUP($A74,Bat!$A$4:$BD$2323,L$1,FALSE),VLOOKUP($A74,Pit!$A$4:$AZ$2261,L$2,FALSE))</f>
        <v>6</v>
      </c>
      <c r="M74" s="16">
        <f>IF($C74="B",VLOOKUP($A74,Bat!$A$4:$BD$2323,M$1,FALSE),VLOOKUP($A74,Pit!$A$4:$AZ$2261,M$2,FALSE))</f>
        <v>5</v>
      </c>
      <c r="N74" s="16">
        <f>IF($C74="B",VLOOKUP($A74,Bat!$A$4:$BD$2323,N$1,FALSE),VLOOKUP($A74,Pit!$A$4:$AZ$2261,N$2,FALSE))</f>
        <v>3</v>
      </c>
      <c r="O74" s="16">
        <f>IF($C74="B",VLOOKUP($A74,Bat!$A$4:$BD$2323,O$1,FALSE),VLOOKUP($A74,Pit!$A$4:$AZ$2261,O$2,FALSE))</f>
        <v>4</v>
      </c>
      <c r="P74" s="17">
        <f>IF($C74="B",VLOOKUP($A74,Bat!$A$4:$BD$2323,P$1,FALSE),VLOOKUP($A74,Pit!$A$4:$AZ$2261,P$2,FALSE))</f>
        <v>6</v>
      </c>
      <c r="Q74" s="18">
        <f>IF($C74="B",VLOOKUP($A74,Bat!$A$4:$BD$2323,Q$1,FALSE),VLOOKUP($A74,Pit!$A$4:$AZ$2261,Q$2,FALSE))</f>
        <v>15.120672615668994</v>
      </c>
      <c r="R74" s="19">
        <f>IF($C74="B",VLOOKUP($A74,Bat!$A$4:$BD$2323,R$1,FALSE),VLOOKUP($A74,Pit!$A$4:$AZ$2261,R$2,FALSE))</f>
        <v>0.61878863173504484</v>
      </c>
      <c r="S74" s="20" t="str">
        <f>IF($C74="B",VLOOKUP($A74,Bat!$A$4:$BD$2323,S$1,FALSE),VLOOKUP($A74,Pit!$A$4:$AZ$2261,S$2,FALSE))</f>
        <v>Slot</v>
      </c>
      <c r="T74" s="17" t="str">
        <f>IF(S74="Slot","",VLOOKUP(IF($C74="B",VLOOKUP($A74,Bat!$A$4:$AT$2323,T$1,FALSE),VLOOKUP($A74,Pit!$A$4:$BD$2261,T$2,FALSE)),COND!$A$34:$B$40,2,FALSE))</f>
        <v/>
      </c>
      <c r="U74" s="21" t="str">
        <f>IF($C74="B",VLOOKUP($A74,Bat!$A$4:$AR$1287,44,FALSE),VLOOKUP($A74,Pit!$A$4:$BB$1239,54,FALSE))</f>
        <v/>
      </c>
      <c r="W74" s="21" t="str">
        <f t="shared" si="6"/>
        <v/>
      </c>
      <c r="X74" s="22" t="e">
        <f t="shared" si="7"/>
        <v>#N/A</v>
      </c>
      <c r="Y74" s="16" t="str">
        <f>IF(ISERROR(VLOOKUP($E74&amp;$F74,Results!$A$2:$G$413,Y$1,FALSE)),"",VLOOKUP($E74&amp;$F74,Results!$A$2:$G$413,Y$1,FALSE))</f>
        <v/>
      </c>
      <c r="Z74" s="16" t="str">
        <f>IF(ISERROR(VLOOKUP($E74&amp;$F74,Results!$A$2:$G$413,Z$1,FALSE)),"",VLOOKUP($E74&amp;$F74,Results!$A$2:$G$413,Z$1,FALSE))</f>
        <v/>
      </c>
      <c r="AA74" s="16" t="str">
        <f>IF(ISERROR(VLOOKUP($E74&amp;$F74,Results!$A$2:$G$413,AA$1,FALSE)),"",VLOOKUP($E74&amp;$F74,Results!$A$2:$G$413,AA$1,FALSE))</f>
        <v/>
      </c>
      <c r="AB74" s="16" t="str">
        <f>IF(ISERROR(VLOOKUP($E74&amp;$F74,Results!$A$2:$G$413,AB$1,FALSE)),"",VLOOKUP($E74&amp;$F74,Results!$A$2:$G$413,AB$1,FALSE))</f>
        <v/>
      </c>
      <c r="AC74" s="16"/>
      <c r="AD74" s="20" t="str">
        <f>IF(ISERROR(VLOOKUP($AB74&amp;"-"&amp;$F74,Bonuses!$B$1:$G$1000,4,FALSE)),"",INT(VLOOKUP($AB74&amp;"-"&amp;$F74,Bonuses!$B$1:$G$1000,4,FALSE)))</f>
        <v/>
      </c>
      <c r="AE74" s="16" t="str">
        <f>IF(ISERROR(VLOOKUP($AB74&amp;"-"&amp;$F74,Bonuses!$B$1:$G$1000,5,FALSE)),"",IF(VLOOKUP($AB74&amp;"-"&amp;$F74,Bonuses!$B$1:$G$1000,5,FALSE)="","",VLOOKUP($AB74&amp;"-"&amp;$F74,Bonuses!$B$1:$G$1000,6,FALSE)&amp;" yrs, "&amp;VLOOKUP($AB74&amp;"-"&amp;$F74,Bonuses!$B$1:$G$1000,5,FALSE)))</f>
        <v/>
      </c>
    </row>
    <row r="75" spans="1:31" s="21" customFormat="1">
      <c r="A75" s="21" t="s">
        <v>941</v>
      </c>
      <c r="B75" s="21">
        <f t="shared" si="4"/>
        <v>1</v>
      </c>
      <c r="C75" s="21" t="str">
        <f t="shared" si="5"/>
        <v>B</v>
      </c>
      <c r="D75" s="17">
        <f>IF($C75="B",VLOOKUP($A75,Bat!$A$4:$BD$2323,D$1,FALSE),VLOOKUP($A75,Pit!$A$4:$AZ$2261,D$2,FALSE))</f>
        <v>13772</v>
      </c>
      <c r="E75" s="16" t="str">
        <f>IF($C75="B",VLOOKUP($A75,Bat!$A$4:$BD$2323,E$1,FALSE),VLOOKUP($A75,Pit!$A$4:$AZ$2261,E$2,FALSE))</f>
        <v>1B</v>
      </c>
      <c r="F75" s="16" t="str">
        <f>IF($C75="B",VLOOKUP($A75,Bat!$A$4:$BD$2323,F$1,FALSE),VLOOKUP($A75,Pit!$A$4:$AZ$2261,F$2,FALSE))</f>
        <v>Jorge Villa</v>
      </c>
      <c r="G75" s="16">
        <f>IF($C75="B",VLOOKUP($A75,Bat!$A$4:$BD$2323,G$1,FALSE),VLOOKUP($A75,Pit!$A$4:$AZ$2261,G$2,FALSE))</f>
        <v>18</v>
      </c>
      <c r="H75" s="16" t="str">
        <f>IF($C75="B",VLOOKUP($A75,Bat!$A$4:$BD$2323,H$1,FALSE),VLOOKUP($A75,Pit!$A$4:$AZ$2261,H$2,FALSE))</f>
        <v>L</v>
      </c>
      <c r="I75" s="16" t="str">
        <f>IF($C75="B",VLOOKUP($A75,Bat!$A$4:$BD$2323,I$1,FALSE),VLOOKUP($A75,Pit!$A$4:$AZ$2261,I$2,FALSE))</f>
        <v>L</v>
      </c>
      <c r="J75" s="16" t="str">
        <f>IF($C75="B",VLOOKUP($A75,Bat!$A$4:$BD$2323,J$1,FALSE),VLOOKUP($A75,Pit!$A$4:$AZ$2261,J$2,FALSE))</f>
        <v>Very High</v>
      </c>
      <c r="K75" s="17" t="str">
        <f>IF($C75="B",VLOOKUP($A75,Bat!$A$4:$BD$2323,K$1,FALSE),VLOOKUP($A75,Pit!$A$4:$AZ$2261,K$2,FALSE))</f>
        <v>Normal</v>
      </c>
      <c r="L75" s="16">
        <f>IF($C75="B",VLOOKUP($A75,Bat!$A$4:$BD$2323,L$1,FALSE),VLOOKUP($A75,Pit!$A$4:$AZ$2261,L$2,FALSE))</f>
        <v>5</v>
      </c>
      <c r="M75" s="16">
        <f>IF($C75="B",VLOOKUP($A75,Bat!$A$4:$BD$2323,M$1,FALSE),VLOOKUP($A75,Pit!$A$4:$AZ$2261,M$2,FALSE))</f>
        <v>7</v>
      </c>
      <c r="N75" s="16">
        <f>IF($C75="B",VLOOKUP($A75,Bat!$A$4:$BD$2323,N$1,FALSE),VLOOKUP($A75,Pit!$A$4:$AZ$2261,N$2,FALSE))</f>
        <v>6</v>
      </c>
      <c r="O75" s="16">
        <f>IF($C75="B",VLOOKUP($A75,Bat!$A$4:$BD$2323,O$1,FALSE),VLOOKUP($A75,Pit!$A$4:$AZ$2261,O$2,FALSE))</f>
        <v>5</v>
      </c>
      <c r="P75" s="17">
        <f>IF($C75="B",VLOOKUP($A75,Bat!$A$4:$BD$2323,P$1,FALSE),VLOOKUP($A75,Pit!$A$4:$AZ$2261,P$2,FALSE))</f>
        <v>4</v>
      </c>
      <c r="Q75" s="18">
        <f>IF($C75="B",VLOOKUP($A75,Bat!$A$4:$BD$2323,Q$1,FALSE),VLOOKUP($A75,Pit!$A$4:$AZ$2261,Q$2,FALSE))</f>
        <v>14.937291337996532</v>
      </c>
      <c r="R75" s="19">
        <f>IF($C75="B",VLOOKUP($A75,Bat!$A$4:$BD$2323,R$1,FALSE),VLOOKUP($A75,Pit!$A$4:$AZ$2261,R$2,FALSE))</f>
        <v>0.59331263476947993</v>
      </c>
      <c r="S75" s="20" t="str">
        <f>IF($C75="B",VLOOKUP($A75,Bat!$A$4:$BD$2323,S$1,FALSE),VLOOKUP($A75,Pit!$A$4:$AZ$2261,S$2,FALSE))</f>
        <v>Slot</v>
      </c>
      <c r="T75" s="17" t="str">
        <f>IF(S75="Slot","",VLOOKUP(IF($C75="B",VLOOKUP($A75,Bat!$A$4:$AT$2323,T$1,FALSE),VLOOKUP($A75,Pit!$A$4:$BD$2261,T$2,FALSE)),COND!$A$34:$B$40,2,FALSE))</f>
        <v/>
      </c>
      <c r="U75" s="21" t="str">
        <f>IF($C75="B",VLOOKUP($A75,Bat!$A$4:$AR$1287,44,FALSE),VLOOKUP($A75,Pit!$A$4:$BB$1239,54,FALSE))</f>
        <v/>
      </c>
      <c r="W75" s="21" t="str">
        <f t="shared" si="6"/>
        <v/>
      </c>
      <c r="X75" s="22" t="e">
        <f t="shared" si="7"/>
        <v>#N/A</v>
      </c>
      <c r="Y75" s="16" t="str">
        <f>IF(ISERROR(VLOOKUP($E75&amp;$F75,Results!$A$2:$G$413,Y$1,FALSE)),"",VLOOKUP($E75&amp;$F75,Results!$A$2:$G$413,Y$1,FALSE))</f>
        <v/>
      </c>
      <c r="Z75" s="16" t="str">
        <f>IF(ISERROR(VLOOKUP($E75&amp;$F75,Results!$A$2:$G$413,Z$1,FALSE)),"",VLOOKUP($E75&amp;$F75,Results!$A$2:$G$413,Z$1,FALSE))</f>
        <v/>
      </c>
      <c r="AA75" s="16" t="str">
        <f>IF(ISERROR(VLOOKUP($E75&amp;$F75,Results!$A$2:$G$413,AA$1,FALSE)),"",VLOOKUP($E75&amp;$F75,Results!$A$2:$G$413,AA$1,FALSE))</f>
        <v/>
      </c>
      <c r="AB75" s="16" t="str">
        <f>IF(ISERROR(VLOOKUP($E75&amp;$F75,Results!$A$2:$G$413,AB$1,FALSE)),"",VLOOKUP($E75&amp;$F75,Results!$A$2:$G$413,AB$1,FALSE))</f>
        <v/>
      </c>
      <c r="AC75" s="16"/>
      <c r="AD75" s="20" t="str">
        <f>IF(ISERROR(VLOOKUP($AB75&amp;"-"&amp;$F75,Bonuses!$B$1:$G$1000,4,FALSE)),"",INT(VLOOKUP($AB75&amp;"-"&amp;$F75,Bonuses!$B$1:$G$1000,4,FALSE)))</f>
        <v/>
      </c>
      <c r="AE75" s="16" t="str">
        <f>IF(ISERROR(VLOOKUP($AB75&amp;"-"&amp;$F75,Bonuses!$B$1:$G$1000,5,FALSE)),"",IF(VLOOKUP($AB75&amp;"-"&amp;$F75,Bonuses!$B$1:$G$1000,5,FALSE)="","",VLOOKUP($AB75&amp;"-"&amp;$F75,Bonuses!$B$1:$G$1000,6,FALSE)&amp;" yrs, "&amp;VLOOKUP($AB75&amp;"-"&amp;$F75,Bonuses!$B$1:$G$1000,5,FALSE)))</f>
        <v/>
      </c>
    </row>
    <row r="76" spans="1:31" s="21" customFormat="1">
      <c r="A76" s="21" t="s">
        <v>955</v>
      </c>
      <c r="B76" s="21">
        <f t="shared" si="4"/>
        <v>1</v>
      </c>
      <c r="C76" s="21" t="str">
        <f t="shared" si="5"/>
        <v>B</v>
      </c>
      <c r="D76" s="17" t="e">
        <f>IF($C76="B",VLOOKUP($A76,Bat!$A$4:$BD$2323,D$1,FALSE),VLOOKUP($A76,Pit!$A$4:$AZ$2261,D$2,FALSE))</f>
        <v>#N/A</v>
      </c>
      <c r="E76" s="16" t="str">
        <f>IF($C76="B",VLOOKUP($A76,Bat!$A$4:$BD$2323,E$1,FALSE),VLOOKUP($A76,Pit!$A$4:$AZ$2261,E$2,FALSE))</f>
        <v>1B</v>
      </c>
      <c r="F76" s="16" t="str">
        <f>IF($C76="B",VLOOKUP($A76,Bat!$A$4:$BD$2323,F$1,FALSE),VLOOKUP($A76,Pit!$A$4:$AZ$2261,F$2,FALSE))</f>
        <v>Ricardo García</v>
      </c>
      <c r="G76" s="16">
        <f>IF($C76="B",VLOOKUP($A76,Bat!$A$4:$BD$2323,G$1,FALSE),VLOOKUP($A76,Pit!$A$4:$AZ$2261,G$2,FALSE))</f>
        <v>21</v>
      </c>
      <c r="H76" s="16" t="str">
        <f>IF($C76="B",VLOOKUP($A76,Bat!$A$4:$BD$2323,H$1,FALSE),VLOOKUP($A76,Pit!$A$4:$AZ$2261,H$2,FALSE))</f>
        <v>R</v>
      </c>
      <c r="I76" s="16" t="str">
        <f>IF($C76="B",VLOOKUP($A76,Bat!$A$4:$BD$2323,I$1,FALSE),VLOOKUP($A76,Pit!$A$4:$AZ$2261,I$2,FALSE))</f>
        <v>R</v>
      </c>
      <c r="J76" s="16" t="str">
        <f>IF($C76="B",VLOOKUP($A76,Bat!$A$4:$BD$2323,J$1,FALSE),VLOOKUP($A76,Pit!$A$4:$AZ$2261,J$2,FALSE))</f>
        <v>Very Low</v>
      </c>
      <c r="K76" s="17" t="str">
        <f>IF($C76="B",VLOOKUP($A76,Bat!$A$4:$BD$2323,K$1,FALSE),VLOOKUP($A76,Pit!$A$4:$AZ$2261,K$2,FALSE))</f>
        <v>Very High</v>
      </c>
      <c r="L76" s="16">
        <f>IF($C76="B",VLOOKUP($A76,Bat!$A$4:$BD$2323,L$1,FALSE),VLOOKUP($A76,Pit!$A$4:$AZ$2261,L$2,FALSE))</f>
        <v>6</v>
      </c>
      <c r="M76" s="16">
        <f>IF($C76="B",VLOOKUP($A76,Bat!$A$4:$BD$2323,M$1,FALSE),VLOOKUP($A76,Pit!$A$4:$AZ$2261,M$2,FALSE))</f>
        <v>7</v>
      </c>
      <c r="N76" s="16">
        <f>IF($C76="B",VLOOKUP($A76,Bat!$A$4:$BD$2323,N$1,FALSE),VLOOKUP($A76,Pit!$A$4:$AZ$2261,N$2,FALSE))</f>
        <v>3</v>
      </c>
      <c r="O76" s="16">
        <f>IF($C76="B",VLOOKUP($A76,Bat!$A$4:$BD$2323,O$1,FALSE),VLOOKUP($A76,Pit!$A$4:$AZ$2261,O$2,FALSE))</f>
        <v>4</v>
      </c>
      <c r="P76" s="17">
        <f>IF($C76="B",VLOOKUP($A76,Bat!$A$4:$BD$2323,P$1,FALSE),VLOOKUP($A76,Pit!$A$4:$AZ$2261,P$2,FALSE))</f>
        <v>5</v>
      </c>
      <c r="Q76" s="18">
        <f>IF($C76="B",VLOOKUP($A76,Bat!$A$4:$BD$2323,Q$1,FALSE),VLOOKUP($A76,Pit!$A$4:$AZ$2261,Q$2,FALSE))</f>
        <v>14.799714294022593</v>
      </c>
      <c r="R76" s="19">
        <f>IF($C76="B",VLOOKUP($A76,Bat!$A$4:$BD$2323,R$1,FALSE),VLOOKUP($A76,Pit!$A$4:$AZ$2261,R$2,FALSE))</f>
        <v>0.57419992926705887</v>
      </c>
      <c r="S76" s="20" t="str">
        <f>IF($C76="B",VLOOKUP($A76,Bat!$A$4:$BD$2323,S$1,FALSE),VLOOKUP($A76,Pit!$A$4:$AZ$2261,S$2,FALSE))</f>
        <v>Slot</v>
      </c>
      <c r="T76" s="17" t="str">
        <f>IF(S76="Slot","",VLOOKUP(IF($C76="B",VLOOKUP($A76,Bat!$A$4:$AT$2323,T$1,FALSE),VLOOKUP($A76,Pit!$A$4:$BD$2261,T$2,FALSE)),COND!$A$34:$B$40,2,FALSE))</f>
        <v/>
      </c>
      <c r="U76" s="21" t="str">
        <f>IF($C76="B",VLOOKUP($A76,Bat!$A$4:$AR$1287,44,FALSE),VLOOKUP($A76,Pit!$A$4:$BB$1239,54,FALSE))</f>
        <v/>
      </c>
      <c r="W76" s="21" t="str">
        <f t="shared" si="6"/>
        <v/>
      </c>
      <c r="X76" s="22" t="e">
        <f t="shared" si="7"/>
        <v>#N/A</v>
      </c>
      <c r="Y76" s="16" t="str">
        <f>IF(ISERROR(VLOOKUP($E76&amp;$F76,Results!$A$2:$G$413,Y$1,FALSE)),"",VLOOKUP($E76&amp;$F76,Results!$A$2:$G$413,Y$1,FALSE))</f>
        <v/>
      </c>
      <c r="Z76" s="16" t="str">
        <f>IF(ISERROR(VLOOKUP($E76&amp;$F76,Results!$A$2:$G$413,Z$1,FALSE)),"",VLOOKUP($E76&amp;$F76,Results!$A$2:$G$413,Z$1,FALSE))</f>
        <v/>
      </c>
      <c r="AA76" s="16" t="str">
        <f>IF(ISERROR(VLOOKUP($E76&amp;$F76,Results!$A$2:$G$413,AA$1,FALSE)),"",VLOOKUP($E76&amp;$F76,Results!$A$2:$G$413,AA$1,FALSE))</f>
        <v/>
      </c>
      <c r="AB76" s="16" t="str">
        <f>IF(ISERROR(VLOOKUP($E76&amp;$F76,Results!$A$2:$G$413,AB$1,FALSE)),"",VLOOKUP($E76&amp;$F76,Results!$A$2:$G$413,AB$1,FALSE))</f>
        <v/>
      </c>
      <c r="AC76" s="16"/>
      <c r="AD76" s="20" t="str">
        <f>IF(ISERROR(VLOOKUP($AB76&amp;"-"&amp;$F76,Bonuses!$B$1:$G$1000,4,FALSE)),"",INT(VLOOKUP($AB76&amp;"-"&amp;$F76,Bonuses!$B$1:$G$1000,4,FALSE)))</f>
        <v/>
      </c>
      <c r="AE76" s="16" t="str">
        <f>IF(ISERROR(VLOOKUP($AB76&amp;"-"&amp;$F76,Bonuses!$B$1:$G$1000,5,FALSE)),"",IF(VLOOKUP($AB76&amp;"-"&amp;$F76,Bonuses!$B$1:$G$1000,5,FALSE)="","",VLOOKUP($AB76&amp;"-"&amp;$F76,Bonuses!$B$1:$G$1000,6,FALSE)&amp;" yrs, "&amp;VLOOKUP($AB76&amp;"-"&amp;$F76,Bonuses!$B$1:$G$1000,5,FALSE)))</f>
        <v/>
      </c>
    </row>
    <row r="77" spans="1:31" s="21" customFormat="1">
      <c r="A77" s="21" t="s">
        <v>931</v>
      </c>
      <c r="B77" s="21">
        <f t="shared" si="4"/>
        <v>1</v>
      </c>
      <c r="C77" s="21" t="str">
        <f t="shared" si="5"/>
        <v>B</v>
      </c>
      <c r="D77" s="17">
        <f>IF($C77="B",VLOOKUP($A77,Bat!$A$4:$BD$2323,D$1,FALSE),VLOOKUP($A77,Pit!$A$4:$AZ$2261,D$2,FALSE))</f>
        <v>2824</v>
      </c>
      <c r="E77" s="16" t="str">
        <f>IF($C77="B",VLOOKUP($A77,Bat!$A$4:$BD$2323,E$1,FALSE),VLOOKUP($A77,Pit!$A$4:$AZ$2261,E$2,FALSE))</f>
        <v>2B</v>
      </c>
      <c r="F77" s="16" t="str">
        <f>IF($C77="B",VLOOKUP($A77,Bat!$A$4:$BD$2323,F$1,FALSE),VLOOKUP($A77,Pit!$A$4:$AZ$2261,F$2,FALSE))</f>
        <v>John Moss</v>
      </c>
      <c r="G77" s="16">
        <f>IF($C77="B",VLOOKUP($A77,Bat!$A$4:$BD$2323,G$1,FALSE),VLOOKUP($A77,Pit!$A$4:$AZ$2261,G$2,FALSE))</f>
        <v>21</v>
      </c>
      <c r="H77" s="16" t="str">
        <f>IF($C77="B",VLOOKUP($A77,Bat!$A$4:$BD$2323,H$1,FALSE),VLOOKUP($A77,Pit!$A$4:$AZ$2261,H$2,FALSE))</f>
        <v>L</v>
      </c>
      <c r="I77" s="16" t="str">
        <f>IF($C77="B",VLOOKUP($A77,Bat!$A$4:$BD$2323,I$1,FALSE),VLOOKUP($A77,Pit!$A$4:$AZ$2261,I$2,FALSE))</f>
        <v>R</v>
      </c>
      <c r="J77" s="16" t="str">
        <f>IF($C77="B",VLOOKUP($A77,Bat!$A$4:$BD$2323,J$1,FALSE),VLOOKUP($A77,Pit!$A$4:$AZ$2261,J$2,FALSE))</f>
        <v>Low</v>
      </c>
      <c r="K77" s="17" t="str">
        <f>IF($C77="B",VLOOKUP($A77,Bat!$A$4:$BD$2323,K$1,FALSE),VLOOKUP($A77,Pit!$A$4:$AZ$2261,K$2,FALSE))</f>
        <v>Normal</v>
      </c>
      <c r="L77" s="16">
        <f>IF($C77="B",VLOOKUP($A77,Bat!$A$4:$BD$2323,L$1,FALSE),VLOOKUP($A77,Pit!$A$4:$AZ$2261,L$2,FALSE))</f>
        <v>5</v>
      </c>
      <c r="M77" s="16">
        <f>IF($C77="B",VLOOKUP($A77,Bat!$A$4:$BD$2323,M$1,FALSE),VLOOKUP($A77,Pit!$A$4:$AZ$2261,M$2,FALSE))</f>
        <v>7</v>
      </c>
      <c r="N77" s="16">
        <f>IF($C77="B",VLOOKUP($A77,Bat!$A$4:$BD$2323,N$1,FALSE),VLOOKUP($A77,Pit!$A$4:$AZ$2261,N$2,FALSE))</f>
        <v>6</v>
      </c>
      <c r="O77" s="16">
        <f>IF($C77="B",VLOOKUP($A77,Bat!$A$4:$BD$2323,O$1,FALSE),VLOOKUP($A77,Pit!$A$4:$AZ$2261,O$2,FALSE))</f>
        <v>4</v>
      </c>
      <c r="P77" s="17">
        <f>IF($C77="B",VLOOKUP($A77,Bat!$A$4:$BD$2323,P$1,FALSE),VLOOKUP($A77,Pit!$A$4:$AZ$2261,P$2,FALSE))</f>
        <v>4</v>
      </c>
      <c r="Q77" s="18">
        <f>IF($C77="B",VLOOKUP($A77,Bat!$A$4:$BD$2323,Q$1,FALSE),VLOOKUP($A77,Pit!$A$4:$AZ$2261,Q$2,FALSE))</f>
        <v>14.760033148733299</v>
      </c>
      <c r="R77" s="19">
        <f>IF($C77="B",VLOOKUP($A77,Bat!$A$4:$BD$2323,R$1,FALSE),VLOOKUP($A77,Pit!$A$4:$AZ$2261,R$2,FALSE))</f>
        <v>0.56868727961268262</v>
      </c>
      <c r="S77" s="20" t="str">
        <f>IF($C77="B",VLOOKUP($A77,Bat!$A$4:$BD$2323,S$1,FALSE),VLOOKUP($A77,Pit!$A$4:$AZ$2261,S$2,FALSE))</f>
        <v>Slot</v>
      </c>
      <c r="T77" s="17" t="str">
        <f>IF(S77="Slot","",VLOOKUP(IF($C77="B",VLOOKUP($A77,Bat!$A$4:$AT$2323,T$1,FALSE),VLOOKUP($A77,Pit!$A$4:$BD$2261,T$2,FALSE)),COND!$A$34:$B$40,2,FALSE))</f>
        <v/>
      </c>
      <c r="U77" s="21" t="str">
        <f>IF($C77="B",VLOOKUP($A77,Bat!$A$4:$AR$1287,44,FALSE),VLOOKUP($A77,Pit!$A$4:$BB$1239,54,FALSE))</f>
        <v/>
      </c>
      <c r="W77" s="21" t="str">
        <f t="shared" si="6"/>
        <v/>
      </c>
      <c r="X77" s="22" t="e">
        <f t="shared" si="7"/>
        <v>#N/A</v>
      </c>
      <c r="Y77" s="16" t="str">
        <f>IF(ISERROR(VLOOKUP($E77&amp;$F77,Results!$A$2:$G$413,Y$1,FALSE)),"",VLOOKUP($E77&amp;$F77,Results!$A$2:$G$413,Y$1,FALSE))</f>
        <v/>
      </c>
      <c r="Z77" s="16" t="str">
        <f>IF(ISERROR(VLOOKUP($E77&amp;$F77,Results!$A$2:$G$413,Z$1,FALSE)),"",VLOOKUP($E77&amp;$F77,Results!$A$2:$G$413,Z$1,FALSE))</f>
        <v/>
      </c>
      <c r="AA77" s="16" t="str">
        <f>IF(ISERROR(VLOOKUP($E77&amp;$F77,Results!$A$2:$G$413,AA$1,FALSE)),"",VLOOKUP($E77&amp;$F77,Results!$A$2:$G$413,AA$1,FALSE))</f>
        <v/>
      </c>
      <c r="AB77" s="16" t="str">
        <f>IF(ISERROR(VLOOKUP($E77&amp;$F77,Results!$A$2:$G$413,AB$1,FALSE)),"",VLOOKUP($E77&amp;$F77,Results!$A$2:$G$413,AB$1,FALSE))</f>
        <v/>
      </c>
      <c r="AC77" s="16"/>
      <c r="AD77" s="20" t="str">
        <f>IF(ISERROR(VLOOKUP($AB77&amp;"-"&amp;$F77,Bonuses!$B$1:$G$1000,4,FALSE)),"",INT(VLOOKUP($AB77&amp;"-"&amp;$F77,Bonuses!$B$1:$G$1000,4,FALSE)))</f>
        <v/>
      </c>
      <c r="AE77" s="16" t="str">
        <f>IF(ISERROR(VLOOKUP($AB77&amp;"-"&amp;$F77,Bonuses!$B$1:$G$1000,5,FALSE)),"",IF(VLOOKUP($AB77&amp;"-"&amp;$F77,Bonuses!$B$1:$G$1000,5,FALSE)="","",VLOOKUP($AB77&amp;"-"&amp;$F77,Bonuses!$B$1:$G$1000,6,FALSE)&amp;" yrs, "&amp;VLOOKUP($AB77&amp;"-"&amp;$F77,Bonuses!$B$1:$G$1000,5,FALSE)))</f>
        <v/>
      </c>
    </row>
    <row r="78" spans="1:31" s="21" customFormat="1">
      <c r="A78" s="21" t="s">
        <v>950</v>
      </c>
      <c r="B78" s="21">
        <f t="shared" si="4"/>
        <v>1</v>
      </c>
      <c r="C78" s="21" t="str">
        <f t="shared" si="5"/>
        <v>B</v>
      </c>
      <c r="D78" s="17" t="e">
        <f>IF($C78="B",VLOOKUP($A78,Bat!$A$4:$BD$2323,D$1,FALSE),VLOOKUP($A78,Pit!$A$4:$AZ$2261,D$2,FALSE))</f>
        <v>#N/A</v>
      </c>
      <c r="E78" s="16" t="str">
        <f>IF($C78="B",VLOOKUP($A78,Bat!$A$4:$BD$2323,E$1,FALSE),VLOOKUP($A78,Pit!$A$4:$AZ$2261,E$2,FALSE))</f>
        <v>1B</v>
      </c>
      <c r="F78" s="16" t="str">
        <f>IF($C78="B",VLOOKUP($A78,Bat!$A$4:$BD$2323,F$1,FALSE),VLOOKUP($A78,Pit!$A$4:$AZ$2261,F$2,FALSE))</f>
        <v>Marcos Gonzáles</v>
      </c>
      <c r="G78" s="16">
        <f>IF($C78="B",VLOOKUP($A78,Bat!$A$4:$BD$2323,G$1,FALSE),VLOOKUP($A78,Pit!$A$4:$AZ$2261,G$2,FALSE))</f>
        <v>21</v>
      </c>
      <c r="H78" s="16" t="str">
        <f>IF($C78="B",VLOOKUP($A78,Bat!$A$4:$BD$2323,H$1,FALSE),VLOOKUP($A78,Pit!$A$4:$AZ$2261,H$2,FALSE))</f>
        <v>L</v>
      </c>
      <c r="I78" s="16" t="str">
        <f>IF($C78="B",VLOOKUP($A78,Bat!$A$4:$BD$2323,I$1,FALSE),VLOOKUP($A78,Pit!$A$4:$AZ$2261,I$2,FALSE))</f>
        <v>L</v>
      </c>
      <c r="J78" s="16" t="str">
        <f>IF($C78="B",VLOOKUP($A78,Bat!$A$4:$BD$2323,J$1,FALSE),VLOOKUP($A78,Pit!$A$4:$AZ$2261,J$2,FALSE))</f>
        <v>Very Low</v>
      </c>
      <c r="K78" s="17" t="str">
        <f>IF($C78="B",VLOOKUP($A78,Bat!$A$4:$BD$2323,K$1,FALSE),VLOOKUP($A78,Pit!$A$4:$AZ$2261,K$2,FALSE))</f>
        <v>Low</v>
      </c>
      <c r="L78" s="16">
        <f>IF($C78="B",VLOOKUP($A78,Bat!$A$4:$BD$2323,L$1,FALSE),VLOOKUP($A78,Pit!$A$4:$AZ$2261,L$2,FALSE))</f>
        <v>5</v>
      </c>
      <c r="M78" s="16">
        <f>IF($C78="B",VLOOKUP($A78,Bat!$A$4:$BD$2323,M$1,FALSE),VLOOKUP($A78,Pit!$A$4:$AZ$2261,M$2,FALSE))</f>
        <v>6</v>
      </c>
      <c r="N78" s="16">
        <f>IF($C78="B",VLOOKUP($A78,Bat!$A$4:$BD$2323,N$1,FALSE),VLOOKUP($A78,Pit!$A$4:$AZ$2261,N$2,FALSE))</f>
        <v>6</v>
      </c>
      <c r="O78" s="16">
        <f>IF($C78="B",VLOOKUP($A78,Bat!$A$4:$BD$2323,O$1,FALSE),VLOOKUP($A78,Pit!$A$4:$AZ$2261,O$2,FALSE))</f>
        <v>6</v>
      </c>
      <c r="P78" s="17">
        <f>IF($C78="B",VLOOKUP($A78,Bat!$A$4:$BD$2323,P$1,FALSE),VLOOKUP($A78,Pit!$A$4:$AZ$2261,P$2,FALSE))</f>
        <v>4</v>
      </c>
      <c r="Q78" s="18">
        <f>IF($C78="B",VLOOKUP($A78,Bat!$A$4:$BD$2323,Q$1,FALSE),VLOOKUP($A78,Pit!$A$4:$AZ$2261,Q$2,FALSE))</f>
        <v>14.702392745820449</v>
      </c>
      <c r="R78" s="19">
        <f>IF($C78="B",VLOOKUP($A78,Bat!$A$4:$BD$2323,R$1,FALSE),VLOOKUP($A78,Pit!$A$4:$AZ$2261,R$2,FALSE))</f>
        <v>0.5606796642860814</v>
      </c>
      <c r="S78" s="20" t="str">
        <f>IF($C78="B",VLOOKUP($A78,Bat!$A$4:$BD$2323,S$1,FALSE),VLOOKUP($A78,Pit!$A$4:$AZ$2261,S$2,FALSE))</f>
        <v>Slot</v>
      </c>
      <c r="T78" s="17" t="str">
        <f>IF(S78="Slot","",VLOOKUP(IF($C78="B",VLOOKUP($A78,Bat!$A$4:$AT$2323,T$1,FALSE),VLOOKUP($A78,Pit!$A$4:$BD$2261,T$2,FALSE)),COND!$A$34:$B$40,2,FALSE))</f>
        <v/>
      </c>
      <c r="U78" s="21" t="str">
        <f>IF($C78="B",VLOOKUP($A78,Bat!$A$4:$AR$1287,44,FALSE),VLOOKUP($A78,Pit!$A$4:$BB$1239,54,FALSE))</f>
        <v/>
      </c>
      <c r="W78" s="21" t="str">
        <f t="shared" si="6"/>
        <v/>
      </c>
      <c r="X78" s="22" t="e">
        <f t="shared" si="7"/>
        <v>#N/A</v>
      </c>
      <c r="Y78" s="16" t="str">
        <f>IF(ISERROR(VLOOKUP($E78&amp;$F78,Results!$A$2:$G$413,Y$1,FALSE)),"",VLOOKUP($E78&amp;$F78,Results!$A$2:$G$413,Y$1,FALSE))</f>
        <v/>
      </c>
      <c r="Z78" s="16" t="str">
        <f>IF(ISERROR(VLOOKUP($E78&amp;$F78,Results!$A$2:$G$413,Z$1,FALSE)),"",VLOOKUP($E78&amp;$F78,Results!$A$2:$G$413,Z$1,FALSE))</f>
        <v/>
      </c>
      <c r="AA78" s="16" t="str">
        <f>IF(ISERROR(VLOOKUP($E78&amp;$F78,Results!$A$2:$G$413,AA$1,FALSE)),"",VLOOKUP($E78&amp;$F78,Results!$A$2:$G$413,AA$1,FALSE))</f>
        <v/>
      </c>
      <c r="AB78" s="16" t="str">
        <f>IF(ISERROR(VLOOKUP($E78&amp;$F78,Results!$A$2:$G$413,AB$1,FALSE)),"",VLOOKUP($E78&amp;$F78,Results!$A$2:$G$413,AB$1,FALSE))</f>
        <v/>
      </c>
      <c r="AC78" s="16"/>
      <c r="AD78" s="20" t="str">
        <f>IF(ISERROR(VLOOKUP($AB78&amp;"-"&amp;$F78,Bonuses!$B$1:$G$1000,4,FALSE)),"",INT(VLOOKUP($AB78&amp;"-"&amp;$F78,Bonuses!$B$1:$G$1000,4,FALSE)))</f>
        <v/>
      </c>
      <c r="AE78" s="16" t="str">
        <f>IF(ISERROR(VLOOKUP($AB78&amp;"-"&amp;$F78,Bonuses!$B$1:$G$1000,5,FALSE)),"",IF(VLOOKUP($AB78&amp;"-"&amp;$F78,Bonuses!$B$1:$G$1000,5,FALSE)="","",VLOOKUP($AB78&amp;"-"&amp;$F78,Bonuses!$B$1:$G$1000,6,FALSE)&amp;" yrs, "&amp;VLOOKUP($AB78&amp;"-"&amp;$F78,Bonuses!$B$1:$G$1000,5,FALSE)))</f>
        <v/>
      </c>
    </row>
    <row r="79" spans="1:31" s="21" customFormat="1">
      <c r="A79" s="21" t="s">
        <v>933</v>
      </c>
      <c r="B79" s="21">
        <f t="shared" si="4"/>
        <v>1</v>
      </c>
      <c r="C79" s="21" t="str">
        <f t="shared" si="5"/>
        <v>B</v>
      </c>
      <c r="D79" s="17">
        <f>IF($C79="B",VLOOKUP($A79,Bat!$A$4:$BD$2323,D$1,FALSE),VLOOKUP($A79,Pit!$A$4:$AZ$2261,D$2,FALSE))</f>
        <v>1815</v>
      </c>
      <c r="E79" s="16" t="str">
        <f>IF($C79="B",VLOOKUP($A79,Bat!$A$4:$BD$2323,E$1,FALSE),VLOOKUP($A79,Pit!$A$4:$AZ$2261,E$2,FALSE))</f>
        <v>CF</v>
      </c>
      <c r="F79" s="16" t="str">
        <f>IF($C79="B",VLOOKUP($A79,Bat!$A$4:$BD$2323,F$1,FALSE),VLOOKUP($A79,Pit!$A$4:$AZ$2261,F$2,FALSE))</f>
        <v>Edgardo Acarcon</v>
      </c>
      <c r="G79" s="16">
        <f>IF($C79="B",VLOOKUP($A79,Bat!$A$4:$BD$2323,G$1,FALSE),VLOOKUP($A79,Pit!$A$4:$AZ$2261,G$2,FALSE))</f>
        <v>18</v>
      </c>
      <c r="H79" s="16" t="str">
        <f>IF($C79="B",VLOOKUP($A79,Bat!$A$4:$BD$2323,H$1,FALSE),VLOOKUP($A79,Pit!$A$4:$AZ$2261,H$2,FALSE))</f>
        <v>R</v>
      </c>
      <c r="I79" s="16" t="str">
        <f>IF($C79="B",VLOOKUP($A79,Bat!$A$4:$BD$2323,I$1,FALSE),VLOOKUP($A79,Pit!$A$4:$AZ$2261,I$2,FALSE))</f>
        <v>R</v>
      </c>
      <c r="J79" s="16" t="str">
        <f>IF($C79="B",VLOOKUP($A79,Bat!$A$4:$BD$2323,J$1,FALSE),VLOOKUP($A79,Pit!$A$4:$AZ$2261,J$2,FALSE))</f>
        <v>Low</v>
      </c>
      <c r="K79" s="17" t="str">
        <f>IF($C79="B",VLOOKUP($A79,Bat!$A$4:$BD$2323,K$1,FALSE),VLOOKUP($A79,Pit!$A$4:$AZ$2261,K$2,FALSE))</f>
        <v>Normal</v>
      </c>
      <c r="L79" s="16">
        <f>IF($C79="B",VLOOKUP($A79,Bat!$A$4:$BD$2323,L$1,FALSE),VLOOKUP($A79,Pit!$A$4:$AZ$2261,L$2,FALSE))</f>
        <v>5</v>
      </c>
      <c r="M79" s="16">
        <f>IF($C79="B",VLOOKUP($A79,Bat!$A$4:$BD$2323,M$1,FALSE),VLOOKUP($A79,Pit!$A$4:$AZ$2261,M$2,FALSE))</f>
        <v>4</v>
      </c>
      <c r="N79" s="16">
        <f>IF($C79="B",VLOOKUP($A79,Bat!$A$4:$BD$2323,N$1,FALSE),VLOOKUP($A79,Pit!$A$4:$AZ$2261,N$2,FALSE))</f>
        <v>8</v>
      </c>
      <c r="O79" s="16">
        <f>IF($C79="B",VLOOKUP($A79,Bat!$A$4:$BD$2323,O$1,FALSE),VLOOKUP($A79,Pit!$A$4:$AZ$2261,O$2,FALSE))</f>
        <v>4</v>
      </c>
      <c r="P79" s="17">
        <f>IF($C79="B",VLOOKUP($A79,Bat!$A$4:$BD$2323,P$1,FALSE),VLOOKUP($A79,Pit!$A$4:$AZ$2261,P$2,FALSE))</f>
        <v>4</v>
      </c>
      <c r="Q79" s="18">
        <f>IF($C79="B",VLOOKUP($A79,Bat!$A$4:$BD$2323,Q$1,FALSE),VLOOKUP($A79,Pit!$A$4:$AZ$2261,Q$2,FALSE))</f>
        <v>14.64757880285574</v>
      </c>
      <c r="R79" s="19">
        <f>IF($C79="B",VLOOKUP($A79,Bat!$A$4:$BD$2323,R$1,FALSE),VLOOKUP($A79,Pit!$A$4:$AZ$2261,R$2,FALSE))</f>
        <v>0.55306471110021826</v>
      </c>
      <c r="S79" s="20" t="str">
        <f>IF($C79="B",VLOOKUP($A79,Bat!$A$4:$BD$2323,S$1,FALSE),VLOOKUP($A79,Pit!$A$4:$AZ$2261,S$2,FALSE))</f>
        <v>Slot</v>
      </c>
      <c r="T79" s="17" t="str">
        <f>IF(S79="Slot","",VLOOKUP(IF($C79="B",VLOOKUP($A79,Bat!$A$4:$AT$2323,T$1,FALSE),VLOOKUP($A79,Pit!$A$4:$BD$2261,T$2,FALSE)),COND!$A$34:$B$40,2,FALSE))</f>
        <v/>
      </c>
      <c r="U79" s="21" t="str">
        <f>IF($C79="B",VLOOKUP($A79,Bat!$A$4:$AR$1287,44,FALSE),VLOOKUP($A79,Pit!$A$4:$BB$1239,54,FALSE))</f>
        <v/>
      </c>
      <c r="W79" s="21" t="str">
        <f t="shared" si="6"/>
        <v/>
      </c>
      <c r="X79" s="22" t="e">
        <f t="shared" si="7"/>
        <v>#N/A</v>
      </c>
      <c r="Y79" s="16" t="str">
        <f>IF(ISERROR(VLOOKUP($E79&amp;$F79,Results!$A$2:$G$413,Y$1,FALSE)),"",VLOOKUP($E79&amp;$F79,Results!$A$2:$G$413,Y$1,FALSE))</f>
        <v/>
      </c>
      <c r="Z79" s="16" t="str">
        <f>IF(ISERROR(VLOOKUP($E79&amp;$F79,Results!$A$2:$G$413,Z$1,FALSE)),"",VLOOKUP($E79&amp;$F79,Results!$A$2:$G$413,Z$1,FALSE))</f>
        <v/>
      </c>
      <c r="AA79" s="16" t="str">
        <f>IF(ISERROR(VLOOKUP($E79&amp;$F79,Results!$A$2:$G$413,AA$1,FALSE)),"",VLOOKUP($E79&amp;$F79,Results!$A$2:$G$413,AA$1,FALSE))</f>
        <v/>
      </c>
      <c r="AB79" s="16" t="str">
        <f>IF(ISERROR(VLOOKUP($E79&amp;$F79,Results!$A$2:$G$413,AB$1,FALSE)),"",VLOOKUP($E79&amp;$F79,Results!$A$2:$G$413,AB$1,FALSE))</f>
        <v/>
      </c>
      <c r="AC79" s="16"/>
      <c r="AD79" s="20" t="str">
        <f>IF(ISERROR(VLOOKUP($AB79&amp;"-"&amp;$F79,Bonuses!$B$1:$G$1000,4,FALSE)),"",INT(VLOOKUP($AB79&amp;"-"&amp;$F79,Bonuses!$B$1:$G$1000,4,FALSE)))</f>
        <v/>
      </c>
      <c r="AE79" s="16" t="str">
        <f>IF(ISERROR(VLOOKUP($AB79&amp;"-"&amp;$F79,Bonuses!$B$1:$G$1000,5,FALSE)),"",IF(VLOOKUP($AB79&amp;"-"&amp;$F79,Bonuses!$B$1:$G$1000,5,FALSE)="","",VLOOKUP($AB79&amp;"-"&amp;$F79,Bonuses!$B$1:$G$1000,6,FALSE)&amp;" yrs, "&amp;VLOOKUP($AB79&amp;"-"&amp;$F79,Bonuses!$B$1:$G$1000,5,FALSE)))</f>
        <v/>
      </c>
    </row>
    <row r="80" spans="1:31" s="21" customFormat="1">
      <c r="A80" s="21" t="s">
        <v>251</v>
      </c>
      <c r="B80" s="21">
        <f t="shared" si="4"/>
        <v>1</v>
      </c>
      <c r="C80" s="21" t="str">
        <f t="shared" si="5"/>
        <v>B</v>
      </c>
      <c r="D80" s="17">
        <f>IF($C80="B",VLOOKUP($A80,Bat!$A$4:$BD$2323,D$1,FALSE),VLOOKUP($A80,Pit!$A$4:$AZ$2261,D$2,FALSE))</f>
        <v>2713</v>
      </c>
      <c r="E80" s="16" t="str">
        <f>IF($C80="B",VLOOKUP($A80,Bat!$A$4:$BD$2323,E$1,FALSE),VLOOKUP($A80,Pit!$A$4:$AZ$2261,E$2,FALSE))</f>
        <v>2B</v>
      </c>
      <c r="F80" s="16" t="str">
        <f>IF($C80="B",VLOOKUP($A80,Bat!$A$4:$BD$2323,F$1,FALSE),VLOOKUP($A80,Pit!$A$4:$AZ$2261,F$2,FALSE))</f>
        <v>Al Fuller</v>
      </c>
      <c r="G80" s="16">
        <f>IF($C80="B",VLOOKUP($A80,Bat!$A$4:$BD$2323,G$1,FALSE),VLOOKUP($A80,Pit!$A$4:$AZ$2261,G$2,FALSE))</f>
        <v>21</v>
      </c>
      <c r="H80" s="16" t="str">
        <f>IF($C80="B",VLOOKUP($A80,Bat!$A$4:$BD$2323,H$1,FALSE),VLOOKUP($A80,Pit!$A$4:$AZ$2261,H$2,FALSE))</f>
        <v>R</v>
      </c>
      <c r="I80" s="16" t="str">
        <f>IF($C80="B",VLOOKUP($A80,Bat!$A$4:$BD$2323,I$1,FALSE),VLOOKUP($A80,Pit!$A$4:$AZ$2261,I$2,FALSE))</f>
        <v>R</v>
      </c>
      <c r="J80" s="16" t="str">
        <f>IF($C80="B",VLOOKUP($A80,Bat!$A$4:$BD$2323,J$1,FALSE),VLOOKUP($A80,Pit!$A$4:$AZ$2261,J$2,FALSE))</f>
        <v>Normal</v>
      </c>
      <c r="K80" s="17" t="str">
        <f>IF($C80="B",VLOOKUP($A80,Bat!$A$4:$BD$2323,K$1,FALSE),VLOOKUP($A80,Pit!$A$4:$AZ$2261,K$2,FALSE))</f>
        <v>Normal</v>
      </c>
      <c r="L80" s="16">
        <f>IF($C80="B",VLOOKUP($A80,Bat!$A$4:$BD$2323,L$1,FALSE),VLOOKUP($A80,Pit!$A$4:$AZ$2261,L$2,FALSE))</f>
        <v>5</v>
      </c>
      <c r="M80" s="16">
        <f>IF($C80="B",VLOOKUP($A80,Bat!$A$4:$BD$2323,M$1,FALSE),VLOOKUP($A80,Pit!$A$4:$AZ$2261,M$2,FALSE))</f>
        <v>5</v>
      </c>
      <c r="N80" s="16">
        <f>IF($C80="B",VLOOKUP($A80,Bat!$A$4:$BD$2323,N$1,FALSE),VLOOKUP($A80,Pit!$A$4:$AZ$2261,N$2,FALSE))</f>
        <v>6</v>
      </c>
      <c r="O80" s="16">
        <f>IF($C80="B",VLOOKUP($A80,Bat!$A$4:$BD$2323,O$1,FALSE),VLOOKUP($A80,Pit!$A$4:$AZ$2261,O$2,FALSE))</f>
        <v>5</v>
      </c>
      <c r="P80" s="17">
        <f>IF($C80="B",VLOOKUP($A80,Bat!$A$4:$BD$2323,P$1,FALSE),VLOOKUP($A80,Pit!$A$4:$AZ$2261,P$2,FALSE))</f>
        <v>5</v>
      </c>
      <c r="Q80" s="18">
        <f>IF($C80="B",VLOOKUP($A80,Bat!$A$4:$BD$2323,Q$1,FALSE),VLOOKUP($A80,Pit!$A$4:$AZ$2261,Q$2,FALSE))</f>
        <v>14.61953406117585</v>
      </c>
      <c r="R80" s="19">
        <f>IF($C80="B",VLOOKUP($A80,Bat!$A$4:$BD$2323,R$1,FALSE),VLOOKUP($A80,Pit!$A$4:$AZ$2261,R$2,FALSE))</f>
        <v>0.5491686331417418</v>
      </c>
      <c r="S80" s="20" t="str">
        <f>IF($C80="B",VLOOKUP($A80,Bat!$A$4:$BD$2323,S$1,FALSE),VLOOKUP($A80,Pit!$A$4:$AZ$2261,S$2,FALSE))</f>
        <v>Slot</v>
      </c>
      <c r="T80" s="17" t="str">
        <f>IF(S80="Slot","",VLOOKUP(IF($C80="B",VLOOKUP($A80,Bat!$A$4:$AT$2323,T$1,FALSE),VLOOKUP($A80,Pit!$A$4:$BD$2261,T$2,FALSE)),COND!$A$34:$B$40,2,FALSE))</f>
        <v/>
      </c>
      <c r="U80" s="21" t="str">
        <f>IF($C80="B",VLOOKUP($A80,Bat!$A$4:$AR$1287,44,FALSE),VLOOKUP($A80,Pit!$A$4:$BB$1239,54,FALSE))</f>
        <v/>
      </c>
      <c r="W80" s="21" t="str">
        <f t="shared" si="6"/>
        <v/>
      </c>
      <c r="X80" s="22" t="e">
        <f t="shared" si="7"/>
        <v>#N/A</v>
      </c>
      <c r="Y80" s="16" t="str">
        <f>IF(ISERROR(VLOOKUP($E80&amp;$F80,Results!$A$2:$G$413,Y$1,FALSE)),"",VLOOKUP($E80&amp;$F80,Results!$A$2:$G$413,Y$1,FALSE))</f>
        <v/>
      </c>
      <c r="Z80" s="16" t="str">
        <f>IF(ISERROR(VLOOKUP($E80&amp;$F80,Results!$A$2:$G$413,Z$1,FALSE)),"",VLOOKUP($E80&amp;$F80,Results!$A$2:$G$413,Z$1,FALSE))</f>
        <v/>
      </c>
      <c r="AA80" s="16" t="str">
        <f>IF(ISERROR(VLOOKUP($E80&amp;$F80,Results!$A$2:$G$413,AA$1,FALSE)),"",VLOOKUP($E80&amp;$F80,Results!$A$2:$G$413,AA$1,FALSE))</f>
        <v/>
      </c>
      <c r="AB80" s="16" t="str">
        <f>IF(ISERROR(VLOOKUP($E80&amp;$F80,Results!$A$2:$G$413,AB$1,FALSE)),"",VLOOKUP($E80&amp;$F80,Results!$A$2:$G$413,AB$1,FALSE))</f>
        <v/>
      </c>
      <c r="AC80" s="16"/>
      <c r="AD80" s="20" t="str">
        <f>IF(ISERROR(VLOOKUP($AB80&amp;"-"&amp;$F80,Bonuses!$B$1:$G$1000,4,FALSE)),"",INT(VLOOKUP($AB80&amp;"-"&amp;$F80,Bonuses!$B$1:$G$1000,4,FALSE)))</f>
        <v/>
      </c>
      <c r="AE80" s="16" t="str">
        <f>IF(ISERROR(VLOOKUP($AB80&amp;"-"&amp;$F80,Bonuses!$B$1:$G$1000,5,FALSE)),"",IF(VLOOKUP($AB80&amp;"-"&amp;$F80,Bonuses!$B$1:$G$1000,5,FALSE)="","",VLOOKUP($AB80&amp;"-"&amp;$F80,Bonuses!$B$1:$G$1000,6,FALSE)&amp;" yrs, "&amp;VLOOKUP($AB80&amp;"-"&amp;$F80,Bonuses!$B$1:$G$1000,5,FALSE)))</f>
        <v/>
      </c>
    </row>
    <row r="81" spans="1:31" s="21" customFormat="1">
      <c r="A81" s="21" t="s">
        <v>942</v>
      </c>
      <c r="B81" s="21">
        <f t="shared" si="4"/>
        <v>1</v>
      </c>
      <c r="C81" s="21" t="str">
        <f t="shared" si="5"/>
        <v>B</v>
      </c>
      <c r="D81" s="17" t="e">
        <f>IF($C81="B",VLOOKUP($A81,Bat!$A$4:$BD$2323,D$1,FALSE),VLOOKUP($A81,Pit!$A$4:$AZ$2261,D$2,FALSE))</f>
        <v>#N/A</v>
      </c>
      <c r="E81" s="16" t="str">
        <f>IF($C81="B",VLOOKUP($A81,Bat!$A$4:$BD$2323,E$1,FALSE),VLOOKUP($A81,Pit!$A$4:$AZ$2261,E$2,FALSE))</f>
        <v>1B</v>
      </c>
      <c r="F81" s="16" t="str">
        <f>IF($C81="B",VLOOKUP($A81,Bat!$A$4:$BD$2323,F$1,FALSE),VLOOKUP($A81,Pit!$A$4:$AZ$2261,F$2,FALSE))</f>
        <v>Pedro Ortíz</v>
      </c>
      <c r="G81" s="16">
        <f>IF($C81="B",VLOOKUP($A81,Bat!$A$4:$BD$2323,G$1,FALSE),VLOOKUP($A81,Pit!$A$4:$AZ$2261,G$2,FALSE))</f>
        <v>22</v>
      </c>
      <c r="H81" s="16" t="str">
        <f>IF($C81="B",VLOOKUP($A81,Bat!$A$4:$BD$2323,H$1,FALSE),VLOOKUP($A81,Pit!$A$4:$AZ$2261,H$2,FALSE))</f>
        <v>L</v>
      </c>
      <c r="I81" s="16" t="str">
        <f>IF($C81="B",VLOOKUP($A81,Bat!$A$4:$BD$2323,I$1,FALSE),VLOOKUP($A81,Pit!$A$4:$AZ$2261,I$2,FALSE))</f>
        <v>R</v>
      </c>
      <c r="J81" s="16" t="str">
        <f>IF($C81="B",VLOOKUP($A81,Bat!$A$4:$BD$2323,J$1,FALSE),VLOOKUP($A81,Pit!$A$4:$AZ$2261,J$2,FALSE))</f>
        <v>Very High</v>
      </c>
      <c r="K81" s="17" t="str">
        <f>IF($C81="B",VLOOKUP($A81,Bat!$A$4:$BD$2323,K$1,FALSE),VLOOKUP($A81,Pit!$A$4:$AZ$2261,K$2,FALSE))</f>
        <v>Normal</v>
      </c>
      <c r="L81" s="16">
        <f>IF($C81="B",VLOOKUP($A81,Bat!$A$4:$BD$2323,L$1,FALSE),VLOOKUP($A81,Pit!$A$4:$AZ$2261,L$2,FALSE))</f>
        <v>5</v>
      </c>
      <c r="M81" s="16">
        <f>IF($C81="B",VLOOKUP($A81,Bat!$A$4:$BD$2323,M$1,FALSE),VLOOKUP($A81,Pit!$A$4:$AZ$2261,M$2,FALSE))</f>
        <v>7</v>
      </c>
      <c r="N81" s="16">
        <f>IF($C81="B",VLOOKUP($A81,Bat!$A$4:$BD$2323,N$1,FALSE),VLOOKUP($A81,Pit!$A$4:$AZ$2261,N$2,FALSE))</f>
        <v>6</v>
      </c>
      <c r="O81" s="16">
        <f>IF($C81="B",VLOOKUP($A81,Bat!$A$4:$BD$2323,O$1,FALSE),VLOOKUP($A81,Pit!$A$4:$AZ$2261,O$2,FALSE))</f>
        <v>5</v>
      </c>
      <c r="P81" s="17">
        <f>IF($C81="B",VLOOKUP($A81,Bat!$A$4:$BD$2323,P$1,FALSE),VLOOKUP($A81,Pit!$A$4:$AZ$2261,P$2,FALSE))</f>
        <v>3</v>
      </c>
      <c r="Q81" s="18">
        <f>IF($C81="B",VLOOKUP($A81,Bat!$A$4:$BD$2323,Q$1,FALSE),VLOOKUP($A81,Pit!$A$4:$AZ$2261,Q$2,FALSE))</f>
        <v>14.599654925540934</v>
      </c>
      <c r="R81" s="19">
        <f>IF($C81="B",VLOOKUP($A81,Bat!$A$4:$BD$2323,R$1,FALSE),VLOOKUP($A81,Pit!$A$4:$AZ$2261,R$2,FALSE))</f>
        <v>0.54640695100307912</v>
      </c>
      <c r="S81" s="20">
        <f>IF($C81="B",VLOOKUP($A81,Bat!$A$4:$BD$2323,S$1,FALSE),VLOOKUP($A81,Pit!$A$4:$AZ$2261,S$2,FALSE))</f>
        <v>2000000</v>
      </c>
      <c r="T81" s="17" t="str">
        <f>IF(S81="Slot","",VLOOKUP(IF($C81="B",VLOOKUP($A81,Bat!$A$4:$AT$2323,T$1,FALSE),VLOOKUP($A81,Pit!$A$4:$BD$2261,T$2,FALSE)),COND!$A$34:$B$40,2,FALSE))</f>
        <v>EH</v>
      </c>
      <c r="U81" s="21" t="str">
        <f>IF($C81="B",VLOOKUP($A81,Bat!$A$4:$AR$1287,44,FALSE),VLOOKUP($A81,Pit!$A$4:$BB$1239,54,FALSE))</f>
        <v/>
      </c>
      <c r="W81" s="21" t="str">
        <f t="shared" si="6"/>
        <v/>
      </c>
      <c r="X81" s="22" t="e">
        <f t="shared" si="7"/>
        <v>#N/A</v>
      </c>
      <c r="Y81" s="16" t="str">
        <f>IF(ISERROR(VLOOKUP($E81&amp;$F81,Results!$A$2:$G$413,Y$1,FALSE)),"",VLOOKUP($E81&amp;$F81,Results!$A$2:$G$413,Y$1,FALSE))</f>
        <v/>
      </c>
      <c r="Z81" s="16" t="str">
        <f>IF(ISERROR(VLOOKUP($E81&amp;$F81,Results!$A$2:$G$413,Z$1,FALSE)),"",VLOOKUP($E81&amp;$F81,Results!$A$2:$G$413,Z$1,FALSE))</f>
        <v/>
      </c>
      <c r="AA81" s="16" t="str">
        <f>IF(ISERROR(VLOOKUP($E81&amp;$F81,Results!$A$2:$G$413,AA$1,FALSE)),"",VLOOKUP($E81&amp;$F81,Results!$A$2:$G$413,AA$1,FALSE))</f>
        <v/>
      </c>
      <c r="AB81" s="16" t="str">
        <f>IF(ISERROR(VLOOKUP($E81&amp;$F81,Results!$A$2:$G$413,AB$1,FALSE)),"",VLOOKUP($E81&amp;$F81,Results!$A$2:$G$413,AB$1,FALSE))</f>
        <v/>
      </c>
      <c r="AC81" s="16"/>
      <c r="AD81" s="20" t="str">
        <f>IF(ISERROR(VLOOKUP($AB81&amp;"-"&amp;$F81,Bonuses!$B$1:$G$1000,4,FALSE)),"",INT(VLOOKUP($AB81&amp;"-"&amp;$F81,Bonuses!$B$1:$G$1000,4,FALSE)))</f>
        <v/>
      </c>
      <c r="AE81" s="16" t="str">
        <f>IF(ISERROR(VLOOKUP($AB81&amp;"-"&amp;$F81,Bonuses!$B$1:$G$1000,5,FALSE)),"",IF(VLOOKUP($AB81&amp;"-"&amp;$F81,Bonuses!$B$1:$G$1000,5,FALSE)="","",VLOOKUP($AB81&amp;"-"&amp;$F81,Bonuses!$B$1:$G$1000,6,FALSE)&amp;" yrs, "&amp;VLOOKUP($AB81&amp;"-"&amp;$F81,Bonuses!$B$1:$G$1000,5,FALSE)))</f>
        <v/>
      </c>
    </row>
    <row r="82" spans="1:31" s="21" customFormat="1">
      <c r="A82" s="21" t="s">
        <v>938</v>
      </c>
      <c r="B82" s="21">
        <f t="shared" si="4"/>
        <v>1</v>
      </c>
      <c r="C82" s="21" t="str">
        <f t="shared" si="5"/>
        <v>B</v>
      </c>
      <c r="D82" s="17" t="e">
        <f>IF($C82="B",VLOOKUP($A82,Bat!$A$4:$BD$2323,D$1,FALSE),VLOOKUP($A82,Pit!$A$4:$AZ$2261,D$2,FALSE))</f>
        <v>#N/A</v>
      </c>
      <c r="E82" s="16" t="str">
        <f>IF($C82="B",VLOOKUP($A82,Bat!$A$4:$BD$2323,E$1,FALSE),VLOOKUP($A82,Pit!$A$4:$AZ$2261,E$2,FALSE))</f>
        <v>1B</v>
      </c>
      <c r="F82" s="16" t="str">
        <f>IF($C82="B",VLOOKUP($A82,Bat!$A$4:$BD$2323,F$1,FALSE),VLOOKUP($A82,Pit!$A$4:$AZ$2261,F$2,FALSE))</f>
        <v>Héctor Jiménez</v>
      </c>
      <c r="G82" s="16">
        <f>IF($C82="B",VLOOKUP($A82,Bat!$A$4:$BD$2323,G$1,FALSE),VLOOKUP($A82,Pit!$A$4:$AZ$2261,G$2,FALSE))</f>
        <v>21</v>
      </c>
      <c r="H82" s="16" t="str">
        <f>IF($C82="B",VLOOKUP($A82,Bat!$A$4:$BD$2323,H$1,FALSE),VLOOKUP($A82,Pit!$A$4:$AZ$2261,H$2,FALSE))</f>
        <v>R</v>
      </c>
      <c r="I82" s="16" t="str">
        <f>IF($C82="B",VLOOKUP($A82,Bat!$A$4:$BD$2323,I$1,FALSE),VLOOKUP($A82,Pit!$A$4:$AZ$2261,I$2,FALSE))</f>
        <v>R</v>
      </c>
      <c r="J82" s="16" t="str">
        <f>IF($C82="B",VLOOKUP($A82,Bat!$A$4:$BD$2323,J$1,FALSE),VLOOKUP($A82,Pit!$A$4:$AZ$2261,J$2,FALSE))</f>
        <v>Low</v>
      </c>
      <c r="K82" s="17" t="str">
        <f>IF($C82="B",VLOOKUP($A82,Bat!$A$4:$BD$2323,K$1,FALSE),VLOOKUP($A82,Pit!$A$4:$AZ$2261,K$2,FALSE))</f>
        <v>Very High</v>
      </c>
      <c r="L82" s="16">
        <f>IF($C82="B",VLOOKUP($A82,Bat!$A$4:$BD$2323,L$1,FALSE),VLOOKUP($A82,Pit!$A$4:$AZ$2261,L$2,FALSE))</f>
        <v>5</v>
      </c>
      <c r="M82" s="16">
        <f>IF($C82="B",VLOOKUP($A82,Bat!$A$4:$BD$2323,M$1,FALSE),VLOOKUP($A82,Pit!$A$4:$AZ$2261,M$2,FALSE))</f>
        <v>6</v>
      </c>
      <c r="N82" s="16">
        <f>IF($C82="B",VLOOKUP($A82,Bat!$A$4:$BD$2323,N$1,FALSE),VLOOKUP($A82,Pit!$A$4:$AZ$2261,N$2,FALSE))</f>
        <v>4</v>
      </c>
      <c r="O82" s="16">
        <f>IF($C82="B",VLOOKUP($A82,Bat!$A$4:$BD$2323,O$1,FALSE),VLOOKUP($A82,Pit!$A$4:$AZ$2261,O$2,FALSE))</f>
        <v>5</v>
      </c>
      <c r="P82" s="17">
        <f>IF($C82="B",VLOOKUP($A82,Bat!$A$4:$BD$2323,P$1,FALSE),VLOOKUP($A82,Pit!$A$4:$AZ$2261,P$2,FALSE))</f>
        <v>5</v>
      </c>
      <c r="Q82" s="18">
        <f>IF($C82="B",VLOOKUP($A82,Bat!$A$4:$BD$2323,Q$1,FALSE),VLOOKUP($A82,Pit!$A$4:$AZ$2261,Q$2,FALSE))</f>
        <v>14.038776760026657</v>
      </c>
      <c r="R82" s="19">
        <f>IF($C82="B",VLOOKUP($A82,Bat!$A$4:$BD$2323,R$1,FALSE),VLOOKUP($A82,Pit!$A$4:$AZ$2261,R$2,FALSE))</f>
        <v>0.46848770742459978</v>
      </c>
      <c r="S82" s="20" t="str">
        <f>IF($C82="B",VLOOKUP($A82,Bat!$A$4:$BD$2323,S$1,FALSE),VLOOKUP($A82,Pit!$A$4:$AZ$2261,S$2,FALSE))</f>
        <v>Slot</v>
      </c>
      <c r="T82" s="17" t="str">
        <f>IF(S82="Slot","",VLOOKUP(IF($C82="B",VLOOKUP($A82,Bat!$A$4:$AT$2323,T$1,FALSE),VLOOKUP($A82,Pit!$A$4:$BD$2261,T$2,FALSE)),COND!$A$34:$B$40,2,FALSE))</f>
        <v/>
      </c>
      <c r="U82" s="21" t="str">
        <f>IF($C82="B",VLOOKUP($A82,Bat!$A$4:$AR$1287,44,FALSE),VLOOKUP($A82,Pit!$A$4:$BB$1239,54,FALSE))</f>
        <v/>
      </c>
      <c r="W82" s="21" t="str">
        <f t="shared" si="6"/>
        <v/>
      </c>
      <c r="X82" s="22" t="e">
        <f t="shared" si="7"/>
        <v>#N/A</v>
      </c>
      <c r="Y82" s="16" t="str">
        <f>IF(ISERROR(VLOOKUP($E82&amp;$F82,Results!$A$2:$G$413,Y$1,FALSE)),"",VLOOKUP($E82&amp;$F82,Results!$A$2:$G$413,Y$1,FALSE))</f>
        <v/>
      </c>
      <c r="Z82" s="16" t="str">
        <f>IF(ISERROR(VLOOKUP($E82&amp;$F82,Results!$A$2:$G$413,Z$1,FALSE)),"",VLOOKUP($E82&amp;$F82,Results!$A$2:$G$413,Z$1,FALSE))</f>
        <v/>
      </c>
      <c r="AA82" s="16" t="str">
        <f>IF(ISERROR(VLOOKUP($E82&amp;$F82,Results!$A$2:$G$413,AA$1,FALSE)),"",VLOOKUP($E82&amp;$F82,Results!$A$2:$G$413,AA$1,FALSE))</f>
        <v/>
      </c>
      <c r="AB82" s="16" t="str">
        <f>IF(ISERROR(VLOOKUP($E82&amp;$F82,Results!$A$2:$G$413,AB$1,FALSE)),"",VLOOKUP($E82&amp;$F82,Results!$A$2:$G$413,AB$1,FALSE))</f>
        <v/>
      </c>
      <c r="AC82" s="16"/>
      <c r="AD82" s="20" t="str">
        <f>IF(ISERROR(VLOOKUP($AB82&amp;"-"&amp;$F82,Bonuses!$B$1:$G$1000,4,FALSE)),"",INT(VLOOKUP($AB82&amp;"-"&amp;$F82,Bonuses!$B$1:$G$1000,4,FALSE)))</f>
        <v/>
      </c>
      <c r="AE82" s="16" t="str">
        <f>IF(ISERROR(VLOOKUP($AB82&amp;"-"&amp;$F82,Bonuses!$B$1:$G$1000,5,FALSE)),"",IF(VLOOKUP($AB82&amp;"-"&amp;$F82,Bonuses!$B$1:$G$1000,5,FALSE)="","",VLOOKUP($AB82&amp;"-"&amp;$F82,Bonuses!$B$1:$G$1000,6,FALSE)&amp;" yrs, "&amp;VLOOKUP($AB82&amp;"-"&amp;$F82,Bonuses!$B$1:$G$1000,5,FALSE)))</f>
        <v/>
      </c>
    </row>
    <row r="83" spans="1:31" s="21" customFormat="1">
      <c r="A83" s="21" t="s">
        <v>946</v>
      </c>
      <c r="B83" s="21">
        <f t="shared" si="4"/>
        <v>1</v>
      </c>
      <c r="C83" s="21" t="str">
        <f t="shared" si="5"/>
        <v>B</v>
      </c>
      <c r="D83" s="17">
        <f>IF($C83="B",VLOOKUP($A83,Bat!$A$4:$BD$2323,D$1,FALSE),VLOOKUP($A83,Pit!$A$4:$AZ$2261,D$2,FALSE))</f>
        <v>3510</v>
      </c>
      <c r="E83" s="16" t="str">
        <f>IF($C83="B",VLOOKUP($A83,Bat!$A$4:$BD$2323,E$1,FALSE),VLOOKUP($A83,Pit!$A$4:$AZ$2261,E$2,FALSE))</f>
        <v>CF</v>
      </c>
      <c r="F83" s="16" t="str">
        <f>IF($C83="B",VLOOKUP($A83,Bat!$A$4:$BD$2323,F$1,FALSE),VLOOKUP($A83,Pit!$A$4:$AZ$2261,F$2,FALSE))</f>
        <v>Rafael Aranda</v>
      </c>
      <c r="G83" s="16">
        <f>IF($C83="B",VLOOKUP($A83,Bat!$A$4:$BD$2323,G$1,FALSE),VLOOKUP($A83,Pit!$A$4:$AZ$2261,G$2,FALSE))</f>
        <v>21</v>
      </c>
      <c r="H83" s="16" t="str">
        <f>IF($C83="B",VLOOKUP($A83,Bat!$A$4:$BD$2323,H$1,FALSE),VLOOKUP($A83,Pit!$A$4:$AZ$2261,H$2,FALSE))</f>
        <v>L</v>
      </c>
      <c r="I83" s="16" t="str">
        <f>IF($C83="B",VLOOKUP($A83,Bat!$A$4:$BD$2323,I$1,FALSE),VLOOKUP($A83,Pit!$A$4:$AZ$2261,I$2,FALSE))</f>
        <v>R</v>
      </c>
      <c r="J83" s="16" t="str">
        <f>IF($C83="B",VLOOKUP($A83,Bat!$A$4:$BD$2323,J$1,FALSE),VLOOKUP($A83,Pit!$A$4:$AZ$2261,J$2,FALSE))</f>
        <v>Low</v>
      </c>
      <c r="K83" s="17" t="str">
        <f>IF($C83="B",VLOOKUP($A83,Bat!$A$4:$BD$2323,K$1,FALSE),VLOOKUP($A83,Pit!$A$4:$AZ$2261,K$2,FALSE))</f>
        <v>Very Low</v>
      </c>
      <c r="L83" s="16">
        <f>IF($C83="B",VLOOKUP($A83,Bat!$A$4:$BD$2323,L$1,FALSE),VLOOKUP($A83,Pit!$A$4:$AZ$2261,L$2,FALSE))</f>
        <v>5</v>
      </c>
      <c r="M83" s="16">
        <f>IF($C83="B",VLOOKUP($A83,Bat!$A$4:$BD$2323,M$1,FALSE),VLOOKUP($A83,Pit!$A$4:$AZ$2261,M$2,FALSE))</f>
        <v>6</v>
      </c>
      <c r="N83" s="16">
        <f>IF($C83="B",VLOOKUP($A83,Bat!$A$4:$BD$2323,N$1,FALSE),VLOOKUP($A83,Pit!$A$4:$AZ$2261,N$2,FALSE))</f>
        <v>6</v>
      </c>
      <c r="O83" s="16">
        <f>IF($C83="B",VLOOKUP($A83,Bat!$A$4:$BD$2323,O$1,FALSE),VLOOKUP($A83,Pit!$A$4:$AZ$2261,O$2,FALSE))</f>
        <v>4</v>
      </c>
      <c r="P83" s="17">
        <f>IF($C83="B",VLOOKUP($A83,Bat!$A$4:$BD$2323,P$1,FALSE),VLOOKUP($A83,Pit!$A$4:$AZ$2261,P$2,FALSE))</f>
        <v>5</v>
      </c>
      <c r="Q83" s="18">
        <f>IF($C83="B",VLOOKUP($A83,Bat!$A$4:$BD$2323,Q$1,FALSE),VLOOKUP($A83,Pit!$A$4:$AZ$2261,Q$2,FALSE))</f>
        <v>13.899454215097482</v>
      </c>
      <c r="R83" s="19">
        <f>IF($C83="B",VLOOKUP($A83,Bat!$A$4:$BD$2323,R$1,FALSE),VLOOKUP($A83,Pit!$A$4:$AZ$2261,R$2,FALSE))</f>
        <v>0.44913251055335746</v>
      </c>
      <c r="S83" s="20" t="str">
        <f>IF($C83="B",VLOOKUP($A83,Bat!$A$4:$BD$2323,S$1,FALSE),VLOOKUP($A83,Pit!$A$4:$AZ$2261,S$2,FALSE))</f>
        <v>Slot</v>
      </c>
      <c r="T83" s="17" t="str">
        <f>IF(S83="Slot","",VLOOKUP(IF($C83="B",VLOOKUP($A83,Bat!$A$4:$AT$2323,T$1,FALSE),VLOOKUP($A83,Pit!$A$4:$BD$2261,T$2,FALSE)),COND!$A$34:$B$40,2,FALSE))</f>
        <v/>
      </c>
      <c r="U83" s="21" t="str">
        <f>IF($C83="B",VLOOKUP($A83,Bat!$A$4:$AR$1287,44,FALSE),VLOOKUP($A83,Pit!$A$4:$BB$1239,54,FALSE))</f>
        <v/>
      </c>
      <c r="W83" s="21" t="str">
        <f t="shared" si="6"/>
        <v/>
      </c>
      <c r="X83" s="22" t="e">
        <f t="shared" si="7"/>
        <v>#N/A</v>
      </c>
      <c r="Y83" s="16" t="str">
        <f>IF(ISERROR(VLOOKUP($E83&amp;$F83,Results!$A$2:$G$413,Y$1,FALSE)),"",VLOOKUP($E83&amp;$F83,Results!$A$2:$G$413,Y$1,FALSE))</f>
        <v/>
      </c>
      <c r="Z83" s="16" t="str">
        <f>IF(ISERROR(VLOOKUP($E83&amp;$F83,Results!$A$2:$G$413,Z$1,FALSE)),"",VLOOKUP($E83&amp;$F83,Results!$A$2:$G$413,Z$1,FALSE))</f>
        <v/>
      </c>
      <c r="AA83" s="16" t="str">
        <f>IF(ISERROR(VLOOKUP($E83&amp;$F83,Results!$A$2:$G$413,AA$1,FALSE)),"",VLOOKUP($E83&amp;$F83,Results!$A$2:$G$413,AA$1,FALSE))</f>
        <v/>
      </c>
      <c r="AB83" s="16" t="str">
        <f>IF(ISERROR(VLOOKUP($E83&amp;$F83,Results!$A$2:$G$413,AB$1,FALSE)),"",VLOOKUP($E83&amp;$F83,Results!$A$2:$G$413,AB$1,FALSE))</f>
        <v/>
      </c>
      <c r="AC83" s="16"/>
      <c r="AD83" s="20" t="str">
        <f>IF(ISERROR(VLOOKUP($AB83&amp;"-"&amp;$F83,Bonuses!$B$1:$G$1000,4,FALSE)),"",INT(VLOOKUP($AB83&amp;"-"&amp;$F83,Bonuses!$B$1:$G$1000,4,FALSE)))</f>
        <v/>
      </c>
      <c r="AE83" s="16" t="str">
        <f>IF(ISERROR(VLOOKUP($AB83&amp;"-"&amp;$F83,Bonuses!$B$1:$G$1000,5,FALSE)),"",IF(VLOOKUP($AB83&amp;"-"&amp;$F83,Bonuses!$B$1:$G$1000,5,FALSE)="","",VLOOKUP($AB83&amp;"-"&amp;$F83,Bonuses!$B$1:$G$1000,6,FALSE)&amp;" yrs, "&amp;VLOOKUP($AB83&amp;"-"&amp;$F83,Bonuses!$B$1:$G$1000,5,FALSE)))</f>
        <v/>
      </c>
    </row>
    <row r="84" spans="1:31" s="21" customFormat="1">
      <c r="A84" s="21" t="s">
        <v>952</v>
      </c>
      <c r="B84" s="21">
        <f t="shared" si="4"/>
        <v>1</v>
      </c>
      <c r="C84" s="21" t="str">
        <f t="shared" si="5"/>
        <v>B</v>
      </c>
      <c r="D84" s="17">
        <f>IF($C84="B",VLOOKUP($A84,Bat!$A$4:$BD$2323,D$1,FALSE),VLOOKUP($A84,Pit!$A$4:$AZ$2261,D$2,FALSE))</f>
        <v>13827</v>
      </c>
      <c r="E84" s="16" t="str">
        <f>IF($C84="B",VLOOKUP($A84,Bat!$A$4:$BD$2323,E$1,FALSE),VLOOKUP($A84,Pit!$A$4:$AZ$2261,E$2,FALSE))</f>
        <v>1B</v>
      </c>
      <c r="F84" s="16" t="str">
        <f>IF($C84="B",VLOOKUP($A84,Bat!$A$4:$BD$2323,F$1,FALSE),VLOOKUP($A84,Pit!$A$4:$AZ$2261,F$2,FALSE))</f>
        <v>Steve Boes</v>
      </c>
      <c r="G84" s="16">
        <f>IF($C84="B",VLOOKUP($A84,Bat!$A$4:$BD$2323,G$1,FALSE),VLOOKUP($A84,Pit!$A$4:$AZ$2261,G$2,FALSE))</f>
        <v>18</v>
      </c>
      <c r="H84" s="16" t="str">
        <f>IF($C84="B",VLOOKUP($A84,Bat!$A$4:$BD$2323,H$1,FALSE),VLOOKUP($A84,Pit!$A$4:$AZ$2261,H$2,FALSE))</f>
        <v>S</v>
      </c>
      <c r="I84" s="16" t="str">
        <f>IF($C84="B",VLOOKUP($A84,Bat!$A$4:$BD$2323,I$1,FALSE),VLOOKUP($A84,Pit!$A$4:$AZ$2261,I$2,FALSE))</f>
        <v>R</v>
      </c>
      <c r="J84" s="16" t="str">
        <f>IF($C84="B",VLOOKUP($A84,Bat!$A$4:$BD$2323,J$1,FALSE),VLOOKUP($A84,Pit!$A$4:$AZ$2261,J$2,FALSE))</f>
        <v>Normal</v>
      </c>
      <c r="K84" s="17" t="str">
        <f>IF($C84="B",VLOOKUP($A84,Bat!$A$4:$BD$2323,K$1,FALSE),VLOOKUP($A84,Pit!$A$4:$AZ$2261,K$2,FALSE))</f>
        <v>Very High</v>
      </c>
      <c r="L84" s="16">
        <f>IF($C84="B",VLOOKUP($A84,Bat!$A$4:$BD$2323,L$1,FALSE),VLOOKUP($A84,Pit!$A$4:$AZ$2261,L$2,FALSE))</f>
        <v>5</v>
      </c>
      <c r="M84" s="16">
        <f>IF($C84="B",VLOOKUP($A84,Bat!$A$4:$BD$2323,M$1,FALSE),VLOOKUP($A84,Pit!$A$4:$AZ$2261,M$2,FALSE))</f>
        <v>7</v>
      </c>
      <c r="N84" s="16">
        <f>IF($C84="B",VLOOKUP($A84,Bat!$A$4:$BD$2323,N$1,FALSE),VLOOKUP($A84,Pit!$A$4:$AZ$2261,N$2,FALSE))</f>
        <v>6</v>
      </c>
      <c r="O84" s="16">
        <f>IF($C84="B",VLOOKUP($A84,Bat!$A$4:$BD$2323,O$1,FALSE),VLOOKUP($A84,Pit!$A$4:$AZ$2261,O$2,FALSE))</f>
        <v>4</v>
      </c>
      <c r="P84" s="17">
        <f>IF($C84="B",VLOOKUP($A84,Bat!$A$4:$BD$2323,P$1,FALSE),VLOOKUP($A84,Pit!$A$4:$AZ$2261,P$2,FALSE))</f>
        <v>4</v>
      </c>
      <c r="Q84" s="18">
        <f>IF($C84="B",VLOOKUP($A84,Bat!$A$4:$BD$2323,Q$1,FALSE),VLOOKUP($A84,Pit!$A$4:$AZ$2261,Q$2,FALSE))</f>
        <v>13.84225861255543</v>
      </c>
      <c r="R84" s="19">
        <f>IF($C84="B",VLOOKUP($A84,Bat!$A$4:$BD$2323,R$1,FALSE),VLOOKUP($A84,Pit!$A$4:$AZ$2261,R$2,FALSE))</f>
        <v>0.44118668851907361</v>
      </c>
      <c r="S84" s="20" t="str">
        <f>IF($C84="B",VLOOKUP($A84,Bat!$A$4:$BD$2323,S$1,FALSE),VLOOKUP($A84,Pit!$A$4:$AZ$2261,S$2,FALSE))</f>
        <v>Slot</v>
      </c>
      <c r="T84" s="17" t="str">
        <f>IF(S84="Slot","",VLOOKUP(IF($C84="B",VLOOKUP($A84,Bat!$A$4:$AT$2323,T$1,FALSE),VLOOKUP($A84,Pit!$A$4:$BD$2261,T$2,FALSE)),COND!$A$34:$B$40,2,FALSE))</f>
        <v/>
      </c>
      <c r="U84" s="21" t="str">
        <f>IF($C84="B",VLOOKUP($A84,Bat!$A$4:$AR$1287,44,FALSE),VLOOKUP($A84,Pit!$A$4:$BB$1239,54,FALSE))</f>
        <v/>
      </c>
      <c r="W84" s="21" t="str">
        <f t="shared" si="6"/>
        <v/>
      </c>
      <c r="X84" s="22" t="e">
        <f t="shared" si="7"/>
        <v>#N/A</v>
      </c>
      <c r="Y84" s="16" t="str">
        <f>IF(ISERROR(VLOOKUP($E84&amp;$F84,Results!$A$2:$G$413,Y$1,FALSE)),"",VLOOKUP($E84&amp;$F84,Results!$A$2:$G$413,Y$1,FALSE))</f>
        <v/>
      </c>
      <c r="Z84" s="16" t="str">
        <f>IF(ISERROR(VLOOKUP($E84&amp;$F84,Results!$A$2:$G$413,Z$1,FALSE)),"",VLOOKUP($E84&amp;$F84,Results!$A$2:$G$413,Z$1,FALSE))</f>
        <v/>
      </c>
      <c r="AA84" s="16" t="str">
        <f>IF(ISERROR(VLOOKUP($E84&amp;$F84,Results!$A$2:$G$413,AA$1,FALSE)),"",VLOOKUP($E84&amp;$F84,Results!$A$2:$G$413,AA$1,FALSE))</f>
        <v/>
      </c>
      <c r="AB84" s="16" t="str">
        <f>IF(ISERROR(VLOOKUP($E84&amp;$F84,Results!$A$2:$G$413,AB$1,FALSE)),"",VLOOKUP($E84&amp;$F84,Results!$A$2:$G$413,AB$1,FALSE))</f>
        <v/>
      </c>
      <c r="AC84" s="16"/>
      <c r="AD84" s="20" t="str">
        <f>IF(ISERROR(VLOOKUP($AB84&amp;"-"&amp;$F84,Bonuses!$B$1:$G$1000,4,FALSE)),"",INT(VLOOKUP($AB84&amp;"-"&amp;$F84,Bonuses!$B$1:$G$1000,4,FALSE)))</f>
        <v/>
      </c>
      <c r="AE84" s="16" t="str">
        <f>IF(ISERROR(VLOOKUP($AB84&amp;"-"&amp;$F84,Bonuses!$B$1:$G$1000,5,FALSE)),"",IF(VLOOKUP($AB84&amp;"-"&amp;$F84,Bonuses!$B$1:$G$1000,5,FALSE)="","",VLOOKUP($AB84&amp;"-"&amp;$F84,Bonuses!$B$1:$G$1000,6,FALSE)&amp;" yrs, "&amp;VLOOKUP($AB84&amp;"-"&amp;$F84,Bonuses!$B$1:$G$1000,5,FALSE)))</f>
        <v/>
      </c>
    </row>
    <row r="85" spans="1:31" s="21" customFormat="1">
      <c r="A85" s="21" t="s">
        <v>944</v>
      </c>
      <c r="B85" s="21">
        <f t="shared" si="4"/>
        <v>1</v>
      </c>
      <c r="C85" s="21" t="str">
        <f t="shared" si="5"/>
        <v>B</v>
      </c>
      <c r="D85" s="17">
        <f>IF($C85="B",VLOOKUP($A85,Bat!$A$4:$BD$2323,D$1,FALSE),VLOOKUP($A85,Pit!$A$4:$AZ$2261,D$2,FALSE))</f>
        <v>8579</v>
      </c>
      <c r="E85" s="16" t="str">
        <f>IF($C85="B",VLOOKUP($A85,Bat!$A$4:$BD$2323,E$1,FALSE),VLOOKUP($A85,Pit!$A$4:$AZ$2261,E$2,FALSE))</f>
        <v>2B</v>
      </c>
      <c r="F85" s="16" t="str">
        <f>IF($C85="B",VLOOKUP($A85,Bat!$A$4:$BD$2323,F$1,FALSE),VLOOKUP($A85,Pit!$A$4:$AZ$2261,F$2,FALSE))</f>
        <v>Aaron Harris</v>
      </c>
      <c r="G85" s="16">
        <f>IF($C85="B",VLOOKUP($A85,Bat!$A$4:$BD$2323,G$1,FALSE),VLOOKUP($A85,Pit!$A$4:$AZ$2261,G$2,FALSE))</f>
        <v>21</v>
      </c>
      <c r="H85" s="16" t="str">
        <f>IF($C85="B",VLOOKUP($A85,Bat!$A$4:$BD$2323,H$1,FALSE),VLOOKUP($A85,Pit!$A$4:$AZ$2261,H$2,FALSE))</f>
        <v>R</v>
      </c>
      <c r="I85" s="16" t="str">
        <f>IF($C85="B",VLOOKUP($A85,Bat!$A$4:$BD$2323,I$1,FALSE),VLOOKUP($A85,Pit!$A$4:$AZ$2261,I$2,FALSE))</f>
        <v>R</v>
      </c>
      <c r="J85" s="16" t="str">
        <f>IF($C85="B",VLOOKUP($A85,Bat!$A$4:$BD$2323,J$1,FALSE),VLOOKUP($A85,Pit!$A$4:$AZ$2261,J$2,FALSE))</f>
        <v>High</v>
      </c>
      <c r="K85" s="17" t="str">
        <f>IF($C85="B",VLOOKUP($A85,Bat!$A$4:$BD$2323,K$1,FALSE),VLOOKUP($A85,Pit!$A$4:$AZ$2261,K$2,FALSE))</f>
        <v>Normal</v>
      </c>
      <c r="L85" s="16">
        <f>IF($C85="B",VLOOKUP($A85,Bat!$A$4:$BD$2323,L$1,FALSE),VLOOKUP($A85,Pit!$A$4:$AZ$2261,L$2,FALSE))</f>
        <v>5</v>
      </c>
      <c r="M85" s="16">
        <f>IF($C85="B",VLOOKUP($A85,Bat!$A$4:$BD$2323,M$1,FALSE),VLOOKUP($A85,Pit!$A$4:$AZ$2261,M$2,FALSE))</f>
        <v>7</v>
      </c>
      <c r="N85" s="16">
        <f>IF($C85="B",VLOOKUP($A85,Bat!$A$4:$BD$2323,N$1,FALSE),VLOOKUP($A85,Pit!$A$4:$AZ$2261,N$2,FALSE))</f>
        <v>4</v>
      </c>
      <c r="O85" s="16">
        <f>IF($C85="B",VLOOKUP($A85,Bat!$A$4:$BD$2323,O$1,FALSE),VLOOKUP($A85,Pit!$A$4:$AZ$2261,O$2,FALSE))</f>
        <v>5</v>
      </c>
      <c r="P85" s="17">
        <f>IF($C85="B",VLOOKUP($A85,Bat!$A$4:$BD$2323,P$1,FALSE),VLOOKUP($A85,Pit!$A$4:$AZ$2261,P$2,FALSE))</f>
        <v>4</v>
      </c>
      <c r="Q85" s="18">
        <f>IF($C85="B",VLOOKUP($A85,Bat!$A$4:$BD$2323,Q$1,FALSE),VLOOKUP($A85,Pit!$A$4:$AZ$2261,Q$2,FALSE))</f>
        <v>13.722403591626259</v>
      </c>
      <c r="R85" s="19">
        <f>IF($C85="B",VLOOKUP($A85,Bat!$A$4:$BD$2323,R$1,FALSE),VLOOKUP($A85,Pit!$A$4:$AZ$2261,R$2,FALSE))</f>
        <v>0.42453599119460078</v>
      </c>
      <c r="S85" s="20" t="str">
        <f>IF($C85="B",VLOOKUP($A85,Bat!$A$4:$BD$2323,S$1,FALSE),VLOOKUP($A85,Pit!$A$4:$AZ$2261,S$2,FALSE))</f>
        <v>Slot</v>
      </c>
      <c r="T85" s="17" t="str">
        <f>IF(S85="Slot","",VLOOKUP(IF($C85="B",VLOOKUP($A85,Bat!$A$4:$AT$2323,T$1,FALSE),VLOOKUP($A85,Pit!$A$4:$BD$2261,T$2,FALSE)),COND!$A$34:$B$40,2,FALSE))</f>
        <v/>
      </c>
      <c r="U85" s="21" t="str">
        <f>IF($C85="B",VLOOKUP($A85,Bat!$A$4:$AR$1287,44,FALSE),VLOOKUP($A85,Pit!$A$4:$BB$1239,54,FALSE))</f>
        <v/>
      </c>
      <c r="W85" s="21" t="str">
        <f t="shared" si="6"/>
        <v/>
      </c>
      <c r="X85" s="22" t="e">
        <f t="shared" si="7"/>
        <v>#N/A</v>
      </c>
      <c r="Y85" s="16" t="str">
        <f>IF(ISERROR(VLOOKUP($E85&amp;$F85,Results!$A$2:$G$413,Y$1,FALSE)),"",VLOOKUP($E85&amp;$F85,Results!$A$2:$G$413,Y$1,FALSE))</f>
        <v/>
      </c>
      <c r="Z85" s="16" t="str">
        <f>IF(ISERROR(VLOOKUP($E85&amp;$F85,Results!$A$2:$G$413,Z$1,FALSE)),"",VLOOKUP($E85&amp;$F85,Results!$A$2:$G$413,Z$1,FALSE))</f>
        <v/>
      </c>
      <c r="AA85" s="16" t="str">
        <f>IF(ISERROR(VLOOKUP($E85&amp;$F85,Results!$A$2:$G$413,AA$1,FALSE)),"",VLOOKUP($E85&amp;$F85,Results!$A$2:$G$413,AA$1,FALSE))</f>
        <v/>
      </c>
      <c r="AB85" s="16" t="str">
        <f>IF(ISERROR(VLOOKUP($E85&amp;$F85,Results!$A$2:$G$413,AB$1,FALSE)),"",VLOOKUP($E85&amp;$F85,Results!$A$2:$G$413,AB$1,FALSE))</f>
        <v/>
      </c>
      <c r="AC85" s="16"/>
      <c r="AD85" s="20" t="str">
        <f>IF(ISERROR(VLOOKUP($AB85&amp;"-"&amp;$F85,Bonuses!$B$1:$G$1000,4,FALSE)),"",INT(VLOOKUP($AB85&amp;"-"&amp;$F85,Bonuses!$B$1:$G$1000,4,FALSE)))</f>
        <v/>
      </c>
      <c r="AE85" s="16" t="str">
        <f>IF(ISERROR(VLOOKUP($AB85&amp;"-"&amp;$F85,Bonuses!$B$1:$G$1000,5,FALSE)),"",IF(VLOOKUP($AB85&amp;"-"&amp;$F85,Bonuses!$B$1:$G$1000,5,FALSE)="","",VLOOKUP($AB85&amp;"-"&amp;$F85,Bonuses!$B$1:$G$1000,6,FALSE)&amp;" yrs, "&amp;VLOOKUP($AB85&amp;"-"&amp;$F85,Bonuses!$B$1:$G$1000,5,FALSE)))</f>
        <v/>
      </c>
    </row>
    <row r="86" spans="1:31" s="21" customFormat="1">
      <c r="A86" s="21" t="s">
        <v>935</v>
      </c>
      <c r="B86" s="21">
        <f t="shared" si="4"/>
        <v>1</v>
      </c>
      <c r="C86" s="21" t="str">
        <f t="shared" si="5"/>
        <v>B</v>
      </c>
      <c r="D86" s="17">
        <f>IF($C86="B",VLOOKUP($A86,Bat!$A$4:$BD$2323,D$1,FALSE),VLOOKUP($A86,Pit!$A$4:$AZ$2261,D$2,FALSE))</f>
        <v>5674</v>
      </c>
      <c r="E86" s="16" t="str">
        <f>IF($C86="B",VLOOKUP($A86,Bat!$A$4:$BD$2323,E$1,FALSE),VLOOKUP($A86,Pit!$A$4:$AZ$2261,E$2,FALSE))</f>
        <v>2B</v>
      </c>
      <c r="F86" s="16" t="str">
        <f>IF($C86="B",VLOOKUP($A86,Bat!$A$4:$BD$2323,F$1,FALSE),VLOOKUP($A86,Pit!$A$4:$AZ$2261,F$2,FALSE))</f>
        <v>Rafael Vialla</v>
      </c>
      <c r="G86" s="16">
        <f>IF($C86="B",VLOOKUP($A86,Bat!$A$4:$BD$2323,G$1,FALSE),VLOOKUP($A86,Pit!$A$4:$AZ$2261,G$2,FALSE))</f>
        <v>21</v>
      </c>
      <c r="H86" s="16" t="str">
        <f>IF($C86="B",VLOOKUP($A86,Bat!$A$4:$BD$2323,H$1,FALSE),VLOOKUP($A86,Pit!$A$4:$AZ$2261,H$2,FALSE))</f>
        <v>R</v>
      </c>
      <c r="I86" s="16" t="str">
        <f>IF($C86="B",VLOOKUP($A86,Bat!$A$4:$BD$2323,I$1,FALSE),VLOOKUP($A86,Pit!$A$4:$AZ$2261,I$2,FALSE))</f>
        <v>R</v>
      </c>
      <c r="J86" s="16" t="str">
        <f>IF($C86="B",VLOOKUP($A86,Bat!$A$4:$BD$2323,J$1,FALSE),VLOOKUP($A86,Pit!$A$4:$AZ$2261,J$2,FALSE))</f>
        <v>Normal</v>
      </c>
      <c r="K86" s="17" t="str">
        <f>IF($C86="B",VLOOKUP($A86,Bat!$A$4:$BD$2323,K$1,FALSE),VLOOKUP($A86,Pit!$A$4:$AZ$2261,K$2,FALSE))</f>
        <v>Very High</v>
      </c>
      <c r="L86" s="16">
        <f>IF($C86="B",VLOOKUP($A86,Bat!$A$4:$BD$2323,L$1,FALSE),VLOOKUP($A86,Pit!$A$4:$AZ$2261,L$2,FALSE))</f>
        <v>5</v>
      </c>
      <c r="M86" s="16">
        <f>IF($C86="B",VLOOKUP($A86,Bat!$A$4:$BD$2323,M$1,FALSE),VLOOKUP($A86,Pit!$A$4:$AZ$2261,M$2,FALSE))</f>
        <v>6</v>
      </c>
      <c r="N86" s="16">
        <f>IF($C86="B",VLOOKUP($A86,Bat!$A$4:$BD$2323,N$1,FALSE),VLOOKUP($A86,Pit!$A$4:$AZ$2261,N$2,FALSE))</f>
        <v>3</v>
      </c>
      <c r="O86" s="16">
        <f>IF($C86="B",VLOOKUP($A86,Bat!$A$4:$BD$2323,O$1,FALSE),VLOOKUP($A86,Pit!$A$4:$AZ$2261,O$2,FALSE))</f>
        <v>5</v>
      </c>
      <c r="P86" s="17">
        <f>IF($C86="B",VLOOKUP($A86,Bat!$A$4:$BD$2323,P$1,FALSE),VLOOKUP($A86,Pit!$A$4:$AZ$2261,P$2,FALSE))</f>
        <v>4</v>
      </c>
      <c r="Q86" s="18">
        <f>IF($C86="B",VLOOKUP($A86,Bat!$A$4:$BD$2323,Q$1,FALSE),VLOOKUP($A86,Pit!$A$4:$AZ$2261,Q$2,FALSE))</f>
        <v>13.410026739177397</v>
      </c>
      <c r="R86" s="19">
        <f>IF($C86="B",VLOOKUP($A86,Bat!$A$4:$BD$2323,R$1,FALSE),VLOOKUP($A86,Pit!$A$4:$AZ$2261,R$2,FALSE))</f>
        <v>0.38113945777468461</v>
      </c>
      <c r="S86" s="20" t="str">
        <f>IF($C86="B",VLOOKUP($A86,Bat!$A$4:$BD$2323,S$1,FALSE),VLOOKUP($A86,Pit!$A$4:$AZ$2261,S$2,FALSE))</f>
        <v>Slot</v>
      </c>
      <c r="T86" s="17" t="str">
        <f>IF(S86="Slot","",VLOOKUP(IF($C86="B",VLOOKUP($A86,Bat!$A$4:$AT$2323,T$1,FALSE),VLOOKUP($A86,Pit!$A$4:$BD$2261,T$2,FALSE)),COND!$A$34:$B$40,2,FALSE))</f>
        <v/>
      </c>
      <c r="U86" s="21" t="str">
        <f>IF($C86="B",VLOOKUP($A86,Bat!$A$4:$AR$1287,44,FALSE),VLOOKUP($A86,Pit!$A$4:$BB$1239,54,FALSE))</f>
        <v/>
      </c>
      <c r="W86" s="21" t="str">
        <f t="shared" si="6"/>
        <v/>
      </c>
      <c r="X86" s="22" t="e">
        <f t="shared" si="7"/>
        <v>#N/A</v>
      </c>
      <c r="Y86" s="16" t="str">
        <f>IF(ISERROR(VLOOKUP($E86&amp;$F86,Results!$A$2:$G$413,Y$1,FALSE)),"",VLOOKUP($E86&amp;$F86,Results!$A$2:$G$413,Y$1,FALSE))</f>
        <v/>
      </c>
      <c r="Z86" s="16" t="str">
        <f>IF(ISERROR(VLOOKUP($E86&amp;$F86,Results!$A$2:$G$413,Z$1,FALSE)),"",VLOOKUP($E86&amp;$F86,Results!$A$2:$G$413,Z$1,FALSE))</f>
        <v/>
      </c>
      <c r="AA86" s="16" t="str">
        <f>IF(ISERROR(VLOOKUP($E86&amp;$F86,Results!$A$2:$G$413,AA$1,FALSE)),"",VLOOKUP($E86&amp;$F86,Results!$A$2:$G$413,AA$1,FALSE))</f>
        <v/>
      </c>
      <c r="AB86" s="16" t="str">
        <f>IF(ISERROR(VLOOKUP($E86&amp;$F86,Results!$A$2:$G$413,AB$1,FALSE)),"",VLOOKUP($E86&amp;$F86,Results!$A$2:$G$413,AB$1,FALSE))</f>
        <v/>
      </c>
      <c r="AC86" s="16"/>
      <c r="AD86" s="20" t="str">
        <f>IF(ISERROR(VLOOKUP($AB86&amp;"-"&amp;$F86,Bonuses!$B$1:$G$1000,4,FALSE)),"",INT(VLOOKUP($AB86&amp;"-"&amp;$F86,Bonuses!$B$1:$G$1000,4,FALSE)))</f>
        <v/>
      </c>
      <c r="AE86" s="16" t="str">
        <f>IF(ISERROR(VLOOKUP($AB86&amp;"-"&amp;$F86,Bonuses!$B$1:$G$1000,5,FALSE)),"",IF(VLOOKUP($AB86&amp;"-"&amp;$F86,Bonuses!$B$1:$G$1000,5,FALSE)="","",VLOOKUP($AB86&amp;"-"&amp;$F86,Bonuses!$B$1:$G$1000,6,FALSE)&amp;" yrs, "&amp;VLOOKUP($AB86&amp;"-"&amp;$F86,Bonuses!$B$1:$G$1000,5,FALSE)))</f>
        <v/>
      </c>
    </row>
    <row r="87" spans="1:31" s="21" customFormat="1">
      <c r="A87" s="21" t="s">
        <v>965</v>
      </c>
      <c r="B87" s="21">
        <f t="shared" si="4"/>
        <v>1</v>
      </c>
      <c r="C87" s="21" t="str">
        <f t="shared" si="5"/>
        <v>B</v>
      </c>
      <c r="D87" s="17">
        <f>IF($C87="B",VLOOKUP($A87,Bat!$A$4:$BD$2323,D$1,FALSE),VLOOKUP($A87,Pit!$A$4:$AZ$2261,D$2,FALSE))</f>
        <v>12636</v>
      </c>
      <c r="E87" s="16" t="str">
        <f>IF($C87="B",VLOOKUP($A87,Bat!$A$4:$BD$2323,E$1,FALSE),VLOOKUP($A87,Pit!$A$4:$AZ$2261,E$2,FALSE))</f>
        <v>CF</v>
      </c>
      <c r="F87" s="16" t="str">
        <f>IF($C87="B",VLOOKUP($A87,Bat!$A$4:$BD$2323,F$1,FALSE),VLOOKUP($A87,Pit!$A$4:$AZ$2261,F$2,FALSE))</f>
        <v>Philip Warren</v>
      </c>
      <c r="G87" s="16">
        <f>IF($C87="B",VLOOKUP($A87,Bat!$A$4:$BD$2323,G$1,FALSE),VLOOKUP($A87,Pit!$A$4:$AZ$2261,G$2,FALSE))</f>
        <v>21</v>
      </c>
      <c r="H87" s="16" t="str">
        <f>IF($C87="B",VLOOKUP($A87,Bat!$A$4:$BD$2323,H$1,FALSE),VLOOKUP($A87,Pit!$A$4:$AZ$2261,H$2,FALSE))</f>
        <v>R</v>
      </c>
      <c r="I87" s="16" t="str">
        <f>IF($C87="B",VLOOKUP($A87,Bat!$A$4:$BD$2323,I$1,FALSE),VLOOKUP($A87,Pit!$A$4:$AZ$2261,I$2,FALSE))</f>
        <v>R</v>
      </c>
      <c r="J87" s="16" t="str">
        <f>IF($C87="B",VLOOKUP($A87,Bat!$A$4:$BD$2323,J$1,FALSE),VLOOKUP($A87,Pit!$A$4:$AZ$2261,J$2,FALSE))</f>
        <v>Normal</v>
      </c>
      <c r="K87" s="17" t="str">
        <f>IF($C87="B",VLOOKUP($A87,Bat!$A$4:$BD$2323,K$1,FALSE),VLOOKUP($A87,Pit!$A$4:$AZ$2261,K$2,FALSE))</f>
        <v>Normal</v>
      </c>
      <c r="L87" s="16">
        <f>IF($C87="B",VLOOKUP($A87,Bat!$A$4:$BD$2323,L$1,FALSE),VLOOKUP($A87,Pit!$A$4:$AZ$2261,L$2,FALSE))</f>
        <v>5</v>
      </c>
      <c r="M87" s="16">
        <f>IF($C87="B",VLOOKUP($A87,Bat!$A$4:$BD$2323,M$1,FALSE),VLOOKUP($A87,Pit!$A$4:$AZ$2261,M$2,FALSE))</f>
        <v>6</v>
      </c>
      <c r="N87" s="16">
        <f>IF($C87="B",VLOOKUP($A87,Bat!$A$4:$BD$2323,N$1,FALSE),VLOOKUP($A87,Pit!$A$4:$AZ$2261,N$2,FALSE))</f>
        <v>5</v>
      </c>
      <c r="O87" s="16">
        <f>IF($C87="B",VLOOKUP($A87,Bat!$A$4:$BD$2323,O$1,FALSE),VLOOKUP($A87,Pit!$A$4:$AZ$2261,O$2,FALSE))</f>
        <v>5</v>
      </c>
      <c r="P87" s="17">
        <f>IF($C87="B",VLOOKUP($A87,Bat!$A$4:$BD$2323,P$1,FALSE),VLOOKUP($A87,Pit!$A$4:$AZ$2261,P$2,FALSE))</f>
        <v>4</v>
      </c>
      <c r="Q87" s="18">
        <f>IF($C87="B",VLOOKUP($A87,Bat!$A$4:$BD$2323,Q$1,FALSE),VLOOKUP($A87,Pit!$A$4:$AZ$2261,Q$2,FALSE))</f>
        <v>13.119061392906497</v>
      </c>
      <c r="R87" s="19">
        <f>IF($C87="B",VLOOKUP($A87,Bat!$A$4:$BD$2323,R$1,FALSE),VLOOKUP($A87,Pit!$A$4:$AZ$2261,R$2,FALSE))</f>
        <v>0.34071748900684934</v>
      </c>
      <c r="S87" s="20">
        <f>IF($C87="B",VLOOKUP($A87,Bat!$A$4:$BD$2323,S$1,FALSE),VLOOKUP($A87,Pit!$A$4:$AZ$2261,S$2,FALSE))</f>
        <v>1700000</v>
      </c>
      <c r="T87" s="17" t="str">
        <f>IF(S87="Slot","",VLOOKUP(IF($C87="B",VLOOKUP($A87,Bat!$A$4:$AT$2323,T$1,FALSE),VLOOKUP($A87,Pit!$A$4:$BD$2261,T$2,FALSE)),COND!$A$34:$B$40,2,FALSE))</f>
        <v>EH</v>
      </c>
      <c r="U87" s="21" t="str">
        <f>IF($C87="B",VLOOKUP($A87,Bat!$A$4:$AR$1287,44,FALSE),VLOOKUP($A87,Pit!$A$4:$BB$1239,54,FALSE))</f>
        <v/>
      </c>
      <c r="W87" s="21" t="str">
        <f t="shared" si="6"/>
        <v/>
      </c>
      <c r="X87" s="22" t="e">
        <f t="shared" si="7"/>
        <v>#N/A</v>
      </c>
      <c r="Y87" s="16" t="str">
        <f>IF(ISERROR(VLOOKUP($E87&amp;$F87,Results!$A$2:$G$413,Y$1,FALSE)),"",VLOOKUP($E87&amp;$F87,Results!$A$2:$G$413,Y$1,FALSE))</f>
        <v/>
      </c>
      <c r="Z87" s="16" t="str">
        <f>IF(ISERROR(VLOOKUP($E87&amp;$F87,Results!$A$2:$G$413,Z$1,FALSE)),"",VLOOKUP($E87&amp;$F87,Results!$A$2:$G$413,Z$1,FALSE))</f>
        <v/>
      </c>
      <c r="AA87" s="16" t="str">
        <f>IF(ISERROR(VLOOKUP($E87&amp;$F87,Results!$A$2:$G$413,AA$1,FALSE)),"",VLOOKUP($E87&amp;$F87,Results!$A$2:$G$413,AA$1,FALSE))</f>
        <v/>
      </c>
      <c r="AB87" s="16" t="str">
        <f>IF(ISERROR(VLOOKUP($E87&amp;$F87,Results!$A$2:$G$413,AB$1,FALSE)),"",VLOOKUP($E87&amp;$F87,Results!$A$2:$G$413,AB$1,FALSE))</f>
        <v/>
      </c>
      <c r="AC87" s="16"/>
      <c r="AD87" s="20" t="str">
        <f>IF(ISERROR(VLOOKUP($AB87&amp;"-"&amp;$F87,Bonuses!$B$1:$G$1000,4,FALSE)),"",INT(VLOOKUP($AB87&amp;"-"&amp;$F87,Bonuses!$B$1:$G$1000,4,FALSE)))</f>
        <v/>
      </c>
      <c r="AE87" s="16" t="str">
        <f>IF(ISERROR(VLOOKUP($AB87&amp;"-"&amp;$F87,Bonuses!$B$1:$G$1000,5,FALSE)),"",IF(VLOOKUP($AB87&amp;"-"&amp;$F87,Bonuses!$B$1:$G$1000,5,FALSE)="","",VLOOKUP($AB87&amp;"-"&amp;$F87,Bonuses!$B$1:$G$1000,6,FALSE)&amp;" yrs, "&amp;VLOOKUP($AB87&amp;"-"&amp;$F87,Bonuses!$B$1:$G$1000,5,FALSE)))</f>
        <v/>
      </c>
    </row>
    <row r="88" spans="1:31" s="21" customFormat="1">
      <c r="A88" s="21" t="s">
        <v>959</v>
      </c>
      <c r="B88" s="21">
        <f t="shared" si="4"/>
        <v>1</v>
      </c>
      <c r="C88" s="21" t="str">
        <f t="shared" si="5"/>
        <v>B</v>
      </c>
      <c r="D88" s="17">
        <f>IF($C88="B",VLOOKUP($A88,Bat!$A$4:$BD$2323,D$1,FALSE),VLOOKUP($A88,Pit!$A$4:$AZ$2261,D$2,FALSE))</f>
        <v>417</v>
      </c>
      <c r="E88" s="16" t="str">
        <f>IF($C88="B",VLOOKUP($A88,Bat!$A$4:$BD$2323,E$1,FALSE),VLOOKUP($A88,Pit!$A$4:$AZ$2261,E$2,FALSE))</f>
        <v>1B</v>
      </c>
      <c r="F88" s="16" t="str">
        <f>IF($C88="B",VLOOKUP($A88,Bat!$A$4:$BD$2323,F$1,FALSE),VLOOKUP($A88,Pit!$A$4:$AZ$2261,F$2,FALSE))</f>
        <v>Adam Wilson</v>
      </c>
      <c r="G88" s="16">
        <f>IF($C88="B",VLOOKUP($A88,Bat!$A$4:$BD$2323,G$1,FALSE),VLOOKUP($A88,Pit!$A$4:$AZ$2261,G$2,FALSE))</f>
        <v>18</v>
      </c>
      <c r="H88" s="16" t="str">
        <f>IF($C88="B",VLOOKUP($A88,Bat!$A$4:$BD$2323,H$1,FALSE),VLOOKUP($A88,Pit!$A$4:$AZ$2261,H$2,FALSE))</f>
        <v>L</v>
      </c>
      <c r="I88" s="16" t="str">
        <f>IF($C88="B",VLOOKUP($A88,Bat!$A$4:$BD$2323,I$1,FALSE),VLOOKUP($A88,Pit!$A$4:$AZ$2261,I$2,FALSE))</f>
        <v>L</v>
      </c>
      <c r="J88" s="16" t="str">
        <f>IF($C88="B",VLOOKUP($A88,Bat!$A$4:$BD$2323,J$1,FALSE),VLOOKUP($A88,Pit!$A$4:$AZ$2261,J$2,FALSE))</f>
        <v>Normal</v>
      </c>
      <c r="K88" s="17" t="str">
        <f>IF($C88="B",VLOOKUP($A88,Bat!$A$4:$BD$2323,K$1,FALSE),VLOOKUP($A88,Pit!$A$4:$AZ$2261,K$2,FALSE))</f>
        <v>High</v>
      </c>
      <c r="L88" s="16">
        <f>IF($C88="B",VLOOKUP($A88,Bat!$A$4:$BD$2323,L$1,FALSE),VLOOKUP($A88,Pit!$A$4:$AZ$2261,L$2,FALSE))</f>
        <v>5</v>
      </c>
      <c r="M88" s="16">
        <f>IF($C88="B",VLOOKUP($A88,Bat!$A$4:$BD$2323,M$1,FALSE),VLOOKUP($A88,Pit!$A$4:$AZ$2261,M$2,FALSE))</f>
        <v>9</v>
      </c>
      <c r="N88" s="16">
        <f>IF($C88="B",VLOOKUP($A88,Bat!$A$4:$BD$2323,N$1,FALSE),VLOOKUP($A88,Pit!$A$4:$AZ$2261,N$2,FALSE))</f>
        <v>6</v>
      </c>
      <c r="O88" s="16">
        <f>IF($C88="B",VLOOKUP($A88,Bat!$A$4:$BD$2323,O$1,FALSE),VLOOKUP($A88,Pit!$A$4:$AZ$2261,O$2,FALSE))</f>
        <v>2</v>
      </c>
      <c r="P88" s="17">
        <f>IF($C88="B",VLOOKUP($A88,Bat!$A$4:$BD$2323,P$1,FALSE),VLOOKUP($A88,Pit!$A$4:$AZ$2261,P$2,FALSE))</f>
        <v>4</v>
      </c>
      <c r="Q88" s="18">
        <f>IF($C88="B",VLOOKUP($A88,Bat!$A$4:$BD$2323,Q$1,FALSE),VLOOKUP($A88,Pit!$A$4:$AZ$2261,Q$2,FALSE))</f>
        <v>12.936439177802903</v>
      </c>
      <c r="R88" s="19">
        <f>IF($C88="B",VLOOKUP($A88,Bat!$A$4:$BD$2323,R$1,FALSE),VLOOKUP($A88,Pit!$A$4:$AZ$2261,R$2,FALSE))</f>
        <v>0.31534694378612227</v>
      </c>
      <c r="S88" s="20" t="str">
        <f>IF($C88="B",VLOOKUP($A88,Bat!$A$4:$BD$2323,S$1,FALSE),VLOOKUP($A88,Pit!$A$4:$AZ$2261,S$2,FALSE))</f>
        <v>Slot</v>
      </c>
      <c r="T88" s="17" t="str">
        <f>IF(S88="Slot","",VLOOKUP(IF($C88="B",VLOOKUP($A88,Bat!$A$4:$AT$2323,T$1,FALSE),VLOOKUP($A88,Pit!$A$4:$BD$2261,T$2,FALSE)),COND!$A$34:$B$40,2,FALSE))</f>
        <v/>
      </c>
      <c r="U88" s="21" t="str">
        <f>IF($C88="B",VLOOKUP($A88,Bat!$A$4:$AR$1287,44,FALSE),VLOOKUP($A88,Pit!$A$4:$BB$1239,54,FALSE))</f>
        <v/>
      </c>
      <c r="W88" s="21" t="str">
        <f t="shared" si="6"/>
        <v/>
      </c>
      <c r="X88" s="22" t="e">
        <f t="shared" si="7"/>
        <v>#N/A</v>
      </c>
      <c r="Y88" s="16" t="str">
        <f>IF(ISERROR(VLOOKUP($E88&amp;$F88,Results!$A$2:$G$413,Y$1,FALSE)),"",VLOOKUP($E88&amp;$F88,Results!$A$2:$G$413,Y$1,FALSE))</f>
        <v/>
      </c>
      <c r="Z88" s="16" t="str">
        <f>IF(ISERROR(VLOOKUP($E88&amp;$F88,Results!$A$2:$G$413,Z$1,FALSE)),"",VLOOKUP($E88&amp;$F88,Results!$A$2:$G$413,Z$1,FALSE))</f>
        <v/>
      </c>
      <c r="AA88" s="16" t="str">
        <f>IF(ISERROR(VLOOKUP($E88&amp;$F88,Results!$A$2:$G$413,AA$1,FALSE)),"",VLOOKUP($E88&amp;$F88,Results!$A$2:$G$413,AA$1,FALSE))</f>
        <v/>
      </c>
      <c r="AB88" s="16" t="str">
        <f>IF(ISERROR(VLOOKUP($E88&amp;$F88,Results!$A$2:$G$413,AB$1,FALSE)),"",VLOOKUP($E88&amp;$F88,Results!$A$2:$G$413,AB$1,FALSE))</f>
        <v/>
      </c>
      <c r="AC88" s="16"/>
      <c r="AD88" s="20" t="str">
        <f>IF(ISERROR(VLOOKUP($AB88&amp;"-"&amp;$F88,Bonuses!$B$1:$G$1000,4,FALSE)),"",INT(VLOOKUP($AB88&amp;"-"&amp;$F88,Bonuses!$B$1:$G$1000,4,FALSE)))</f>
        <v/>
      </c>
      <c r="AE88" s="16" t="str">
        <f>IF(ISERROR(VLOOKUP($AB88&amp;"-"&amp;$F88,Bonuses!$B$1:$G$1000,5,FALSE)),"",IF(VLOOKUP($AB88&amp;"-"&amp;$F88,Bonuses!$B$1:$G$1000,5,FALSE)="","",VLOOKUP($AB88&amp;"-"&amp;$F88,Bonuses!$B$1:$G$1000,6,FALSE)&amp;" yrs, "&amp;VLOOKUP($AB88&amp;"-"&amp;$F88,Bonuses!$B$1:$G$1000,5,FALSE)))</f>
        <v/>
      </c>
    </row>
    <row r="89" spans="1:31" s="21" customFormat="1">
      <c r="A89" s="21" t="s">
        <v>963</v>
      </c>
      <c r="B89" s="21">
        <f t="shared" si="4"/>
        <v>1</v>
      </c>
      <c r="C89" s="21" t="str">
        <f t="shared" si="5"/>
        <v>B</v>
      </c>
      <c r="D89" s="17">
        <f>IF($C89="B",VLOOKUP($A89,Bat!$A$4:$BD$2323,D$1,FALSE),VLOOKUP($A89,Pit!$A$4:$AZ$2261,D$2,FALSE))</f>
        <v>3389</v>
      </c>
      <c r="E89" s="16" t="str">
        <f>IF($C89="B",VLOOKUP($A89,Bat!$A$4:$BD$2323,E$1,FALSE),VLOOKUP($A89,Pit!$A$4:$AZ$2261,E$2,FALSE))</f>
        <v>2B</v>
      </c>
      <c r="F89" s="16" t="str">
        <f>IF($C89="B",VLOOKUP($A89,Bat!$A$4:$BD$2323,F$1,FALSE),VLOOKUP($A89,Pit!$A$4:$AZ$2261,F$2,FALSE))</f>
        <v>Lorenzo Peret</v>
      </c>
      <c r="G89" s="16">
        <f>IF($C89="B",VLOOKUP($A89,Bat!$A$4:$BD$2323,G$1,FALSE),VLOOKUP($A89,Pit!$A$4:$AZ$2261,G$2,FALSE))</f>
        <v>21</v>
      </c>
      <c r="H89" s="16" t="str">
        <f>IF($C89="B",VLOOKUP($A89,Bat!$A$4:$BD$2323,H$1,FALSE),VLOOKUP($A89,Pit!$A$4:$AZ$2261,H$2,FALSE))</f>
        <v>R</v>
      </c>
      <c r="I89" s="16" t="str">
        <f>IF($C89="B",VLOOKUP($A89,Bat!$A$4:$BD$2323,I$1,FALSE),VLOOKUP($A89,Pit!$A$4:$AZ$2261,I$2,FALSE))</f>
        <v>R</v>
      </c>
      <c r="J89" s="16" t="str">
        <f>IF($C89="B",VLOOKUP($A89,Bat!$A$4:$BD$2323,J$1,FALSE),VLOOKUP($A89,Pit!$A$4:$AZ$2261,J$2,FALSE))</f>
        <v>High</v>
      </c>
      <c r="K89" s="17" t="str">
        <f>IF($C89="B",VLOOKUP($A89,Bat!$A$4:$BD$2323,K$1,FALSE),VLOOKUP($A89,Pit!$A$4:$AZ$2261,K$2,FALSE))</f>
        <v>Normal</v>
      </c>
      <c r="L89" s="16">
        <f>IF($C89="B",VLOOKUP($A89,Bat!$A$4:$BD$2323,L$1,FALSE),VLOOKUP($A89,Pit!$A$4:$AZ$2261,L$2,FALSE))</f>
        <v>5</v>
      </c>
      <c r="M89" s="16">
        <f>IF($C89="B",VLOOKUP($A89,Bat!$A$4:$BD$2323,M$1,FALSE),VLOOKUP($A89,Pit!$A$4:$AZ$2261,M$2,FALSE))</f>
        <v>5</v>
      </c>
      <c r="N89" s="16">
        <f>IF($C89="B",VLOOKUP($A89,Bat!$A$4:$BD$2323,N$1,FALSE),VLOOKUP($A89,Pit!$A$4:$AZ$2261,N$2,FALSE))</f>
        <v>5</v>
      </c>
      <c r="O89" s="16">
        <f>IF($C89="B",VLOOKUP($A89,Bat!$A$4:$BD$2323,O$1,FALSE),VLOOKUP($A89,Pit!$A$4:$AZ$2261,O$2,FALSE))</f>
        <v>5</v>
      </c>
      <c r="P89" s="17">
        <f>IF($C89="B",VLOOKUP($A89,Bat!$A$4:$BD$2323,P$1,FALSE),VLOOKUP($A89,Pit!$A$4:$AZ$2261,P$2,FALSE))</f>
        <v>4</v>
      </c>
      <c r="Q89" s="18">
        <f>IF($C89="B",VLOOKUP($A89,Bat!$A$4:$BD$2323,Q$1,FALSE),VLOOKUP($A89,Pit!$A$4:$AZ$2261,Q$2,FALSE))</f>
        <v>12.860705236295663</v>
      </c>
      <c r="R89" s="19">
        <f>IF($C89="B",VLOOKUP($A89,Bat!$A$4:$BD$2323,R$1,FALSE),VLOOKUP($A89,Pit!$A$4:$AZ$2261,R$2,FALSE))</f>
        <v>0.30482570798431474</v>
      </c>
      <c r="S89" s="20" t="str">
        <f>IF($C89="B",VLOOKUP($A89,Bat!$A$4:$BD$2323,S$1,FALSE),VLOOKUP($A89,Pit!$A$4:$AZ$2261,S$2,FALSE))</f>
        <v>Slot</v>
      </c>
      <c r="T89" s="17" t="str">
        <f>IF(S89="Slot","",VLOOKUP(IF($C89="B",VLOOKUP($A89,Bat!$A$4:$AT$2323,T$1,FALSE),VLOOKUP($A89,Pit!$A$4:$BD$2261,T$2,FALSE)),COND!$A$34:$B$40,2,FALSE))</f>
        <v/>
      </c>
      <c r="U89" s="21" t="str">
        <f>IF($C89="B",VLOOKUP($A89,Bat!$A$4:$AR$1287,44,FALSE),VLOOKUP($A89,Pit!$A$4:$BB$1239,54,FALSE))</f>
        <v/>
      </c>
      <c r="W89" s="21" t="str">
        <f t="shared" si="6"/>
        <v/>
      </c>
      <c r="X89" s="22" t="e">
        <f t="shared" si="7"/>
        <v>#N/A</v>
      </c>
      <c r="Y89" s="16" t="str">
        <f>IF(ISERROR(VLOOKUP($E89&amp;$F89,Results!$A$2:$G$413,Y$1,FALSE)),"",VLOOKUP($E89&amp;$F89,Results!$A$2:$G$413,Y$1,FALSE))</f>
        <v/>
      </c>
      <c r="Z89" s="16" t="str">
        <f>IF(ISERROR(VLOOKUP($E89&amp;$F89,Results!$A$2:$G$413,Z$1,FALSE)),"",VLOOKUP($E89&amp;$F89,Results!$A$2:$G$413,Z$1,FALSE))</f>
        <v/>
      </c>
      <c r="AA89" s="16" t="str">
        <f>IF(ISERROR(VLOOKUP($E89&amp;$F89,Results!$A$2:$G$413,AA$1,FALSE)),"",VLOOKUP($E89&amp;$F89,Results!$A$2:$G$413,AA$1,FALSE))</f>
        <v/>
      </c>
      <c r="AB89" s="16" t="str">
        <f>IF(ISERROR(VLOOKUP($E89&amp;$F89,Results!$A$2:$G$413,AB$1,FALSE)),"",VLOOKUP($E89&amp;$F89,Results!$A$2:$G$413,AB$1,FALSE))</f>
        <v/>
      </c>
      <c r="AC89" s="16"/>
      <c r="AD89" s="20" t="str">
        <f>IF(ISERROR(VLOOKUP($AB89&amp;"-"&amp;$F89,Bonuses!$B$1:$G$1000,4,FALSE)),"",INT(VLOOKUP($AB89&amp;"-"&amp;$F89,Bonuses!$B$1:$G$1000,4,FALSE)))</f>
        <v/>
      </c>
      <c r="AE89" s="16" t="str">
        <f>IF(ISERROR(VLOOKUP($AB89&amp;"-"&amp;$F89,Bonuses!$B$1:$G$1000,5,FALSE)),"",IF(VLOOKUP($AB89&amp;"-"&amp;$F89,Bonuses!$B$1:$G$1000,5,FALSE)="","",VLOOKUP($AB89&amp;"-"&amp;$F89,Bonuses!$B$1:$G$1000,6,FALSE)&amp;" yrs, "&amp;VLOOKUP($AB89&amp;"-"&amp;$F89,Bonuses!$B$1:$G$1000,5,FALSE)))</f>
        <v/>
      </c>
    </row>
    <row r="90" spans="1:31" s="21" customFormat="1">
      <c r="A90" s="21" t="s">
        <v>968</v>
      </c>
      <c r="B90" s="21">
        <f t="shared" si="4"/>
        <v>1</v>
      </c>
      <c r="C90" s="21" t="str">
        <f t="shared" si="5"/>
        <v>B</v>
      </c>
      <c r="D90" s="17">
        <f>IF($C90="B",VLOOKUP($A90,Bat!$A$4:$BD$2323,D$1,FALSE),VLOOKUP($A90,Pit!$A$4:$AZ$2261,D$2,FALSE))</f>
        <v>5239</v>
      </c>
      <c r="E90" s="16" t="str">
        <f>IF($C90="B",VLOOKUP($A90,Bat!$A$4:$BD$2323,E$1,FALSE),VLOOKUP($A90,Pit!$A$4:$AZ$2261,E$2,FALSE))</f>
        <v>1B</v>
      </c>
      <c r="F90" s="16" t="str">
        <f>IF($C90="B",VLOOKUP($A90,Bat!$A$4:$BD$2323,F$1,FALSE),VLOOKUP($A90,Pit!$A$4:$AZ$2261,F$2,FALSE))</f>
        <v>Ed Nielsen</v>
      </c>
      <c r="G90" s="16">
        <f>IF($C90="B",VLOOKUP($A90,Bat!$A$4:$BD$2323,G$1,FALSE),VLOOKUP($A90,Pit!$A$4:$AZ$2261,G$2,FALSE))</f>
        <v>21</v>
      </c>
      <c r="H90" s="16" t="str">
        <f>IF($C90="B",VLOOKUP($A90,Bat!$A$4:$BD$2323,H$1,FALSE),VLOOKUP($A90,Pit!$A$4:$AZ$2261,H$2,FALSE))</f>
        <v>L</v>
      </c>
      <c r="I90" s="16" t="str">
        <f>IF($C90="B",VLOOKUP($A90,Bat!$A$4:$BD$2323,I$1,FALSE),VLOOKUP($A90,Pit!$A$4:$AZ$2261,I$2,FALSE))</f>
        <v>L</v>
      </c>
      <c r="J90" s="16" t="str">
        <f>IF($C90="B",VLOOKUP($A90,Bat!$A$4:$BD$2323,J$1,FALSE),VLOOKUP($A90,Pit!$A$4:$AZ$2261,J$2,FALSE))</f>
        <v>Normal</v>
      </c>
      <c r="K90" s="17" t="str">
        <f>IF($C90="B",VLOOKUP($A90,Bat!$A$4:$BD$2323,K$1,FALSE),VLOOKUP($A90,Pit!$A$4:$AZ$2261,K$2,FALSE))</f>
        <v>Normal</v>
      </c>
      <c r="L90" s="16">
        <f>IF($C90="B",VLOOKUP($A90,Bat!$A$4:$BD$2323,L$1,FALSE),VLOOKUP($A90,Pit!$A$4:$AZ$2261,L$2,FALSE))</f>
        <v>5</v>
      </c>
      <c r="M90" s="16">
        <f>IF($C90="B",VLOOKUP($A90,Bat!$A$4:$BD$2323,M$1,FALSE),VLOOKUP($A90,Pit!$A$4:$AZ$2261,M$2,FALSE))</f>
        <v>6</v>
      </c>
      <c r="N90" s="16">
        <f>IF($C90="B",VLOOKUP($A90,Bat!$A$4:$BD$2323,N$1,FALSE),VLOOKUP($A90,Pit!$A$4:$AZ$2261,N$2,FALSE))</f>
        <v>4</v>
      </c>
      <c r="O90" s="16">
        <f>IF($C90="B",VLOOKUP($A90,Bat!$A$4:$BD$2323,O$1,FALSE),VLOOKUP($A90,Pit!$A$4:$AZ$2261,O$2,FALSE))</f>
        <v>5</v>
      </c>
      <c r="P90" s="17">
        <f>IF($C90="B",VLOOKUP($A90,Bat!$A$4:$BD$2323,P$1,FALSE),VLOOKUP($A90,Pit!$A$4:$AZ$2261,P$2,FALSE))</f>
        <v>5</v>
      </c>
      <c r="Q90" s="18">
        <f>IF($C90="B",VLOOKUP($A90,Bat!$A$4:$BD$2323,Q$1,FALSE),VLOOKUP($A90,Pit!$A$4:$AZ$2261,Q$2,FALSE))</f>
        <v>12.735882995556151</v>
      </c>
      <c r="R90" s="19">
        <f>IF($C90="B",VLOOKUP($A90,Bat!$A$4:$BD$2323,R$1,FALSE),VLOOKUP($A90,Pit!$A$4:$AZ$2261,R$2,FALSE))</f>
        <v>0.28748494633909066</v>
      </c>
      <c r="S90" s="20" t="str">
        <f>IF($C90="B",VLOOKUP($A90,Bat!$A$4:$BD$2323,S$1,FALSE),VLOOKUP($A90,Pit!$A$4:$AZ$2261,S$2,FALSE))</f>
        <v>Slot</v>
      </c>
      <c r="T90" s="17" t="str">
        <f>IF(S90="Slot","",VLOOKUP(IF($C90="B",VLOOKUP($A90,Bat!$A$4:$AT$2323,T$1,FALSE),VLOOKUP($A90,Pit!$A$4:$BD$2261,T$2,FALSE)),COND!$A$34:$B$40,2,FALSE))</f>
        <v/>
      </c>
      <c r="U90" s="21" t="str">
        <f>IF($C90="B",VLOOKUP($A90,Bat!$A$4:$AR$1287,44,FALSE),VLOOKUP($A90,Pit!$A$4:$BB$1239,54,FALSE))</f>
        <v/>
      </c>
      <c r="W90" s="21" t="str">
        <f t="shared" si="6"/>
        <v/>
      </c>
      <c r="X90" s="22" t="e">
        <f t="shared" si="7"/>
        <v>#N/A</v>
      </c>
      <c r="Y90" s="16" t="str">
        <f>IF(ISERROR(VLOOKUP($E90&amp;$F90,Results!$A$2:$G$413,Y$1,FALSE)),"",VLOOKUP($E90&amp;$F90,Results!$A$2:$G$413,Y$1,FALSE))</f>
        <v/>
      </c>
      <c r="Z90" s="16" t="str">
        <f>IF(ISERROR(VLOOKUP($E90&amp;$F90,Results!$A$2:$G$413,Z$1,FALSE)),"",VLOOKUP($E90&amp;$F90,Results!$A$2:$G$413,Z$1,FALSE))</f>
        <v/>
      </c>
      <c r="AA90" s="16" t="str">
        <f>IF(ISERROR(VLOOKUP($E90&amp;$F90,Results!$A$2:$G$413,AA$1,FALSE)),"",VLOOKUP($E90&amp;$F90,Results!$A$2:$G$413,AA$1,FALSE))</f>
        <v/>
      </c>
      <c r="AB90" s="16" t="str">
        <f>IF(ISERROR(VLOOKUP($E90&amp;$F90,Results!$A$2:$G$413,AB$1,FALSE)),"",VLOOKUP($E90&amp;$F90,Results!$A$2:$G$413,AB$1,FALSE))</f>
        <v/>
      </c>
      <c r="AC90" s="16"/>
      <c r="AD90" s="20" t="str">
        <f>IF(ISERROR(VLOOKUP($AB90&amp;"-"&amp;$F90,Bonuses!$B$1:$G$1000,4,FALSE)),"",INT(VLOOKUP($AB90&amp;"-"&amp;$F90,Bonuses!$B$1:$G$1000,4,FALSE)))</f>
        <v/>
      </c>
      <c r="AE90" s="16" t="str">
        <f>IF(ISERROR(VLOOKUP($AB90&amp;"-"&amp;$F90,Bonuses!$B$1:$G$1000,5,FALSE)),"",IF(VLOOKUP($AB90&amp;"-"&amp;$F90,Bonuses!$B$1:$G$1000,5,FALSE)="","",VLOOKUP($AB90&amp;"-"&amp;$F90,Bonuses!$B$1:$G$1000,6,FALSE)&amp;" yrs, "&amp;VLOOKUP($AB90&amp;"-"&amp;$F90,Bonuses!$B$1:$G$1000,5,FALSE)))</f>
        <v/>
      </c>
    </row>
    <row r="91" spans="1:31" s="21" customFormat="1">
      <c r="A91" s="21" t="s">
        <v>964</v>
      </c>
      <c r="B91" s="21">
        <f t="shared" si="4"/>
        <v>1</v>
      </c>
      <c r="C91" s="21" t="str">
        <f t="shared" si="5"/>
        <v>B</v>
      </c>
      <c r="D91" s="17">
        <f>IF($C91="B",VLOOKUP($A91,Bat!$A$4:$BD$2323,D$1,FALSE),VLOOKUP($A91,Pit!$A$4:$AZ$2261,D$2,FALSE))</f>
        <v>8186</v>
      </c>
      <c r="E91" s="16" t="str">
        <f>IF($C91="B",VLOOKUP($A91,Bat!$A$4:$BD$2323,E$1,FALSE),VLOOKUP($A91,Pit!$A$4:$AZ$2261,E$2,FALSE))</f>
        <v>SS</v>
      </c>
      <c r="F91" s="16" t="str">
        <f>IF($C91="B",VLOOKUP($A91,Bat!$A$4:$BD$2323,F$1,FALSE),VLOOKUP($A91,Pit!$A$4:$AZ$2261,F$2,FALSE))</f>
        <v>Ted Webster</v>
      </c>
      <c r="G91" s="16">
        <f>IF($C91="B",VLOOKUP($A91,Bat!$A$4:$BD$2323,G$1,FALSE),VLOOKUP($A91,Pit!$A$4:$AZ$2261,G$2,FALSE))</f>
        <v>21</v>
      </c>
      <c r="H91" s="16" t="str">
        <f>IF($C91="B",VLOOKUP($A91,Bat!$A$4:$BD$2323,H$1,FALSE),VLOOKUP($A91,Pit!$A$4:$AZ$2261,H$2,FALSE))</f>
        <v>R</v>
      </c>
      <c r="I91" s="16" t="str">
        <f>IF($C91="B",VLOOKUP($A91,Bat!$A$4:$BD$2323,I$1,FALSE),VLOOKUP($A91,Pit!$A$4:$AZ$2261,I$2,FALSE))</f>
        <v>R</v>
      </c>
      <c r="J91" s="16" t="str">
        <f>IF($C91="B",VLOOKUP($A91,Bat!$A$4:$BD$2323,J$1,FALSE),VLOOKUP($A91,Pit!$A$4:$AZ$2261,J$2,FALSE))</f>
        <v>Normal</v>
      </c>
      <c r="K91" s="17" t="str">
        <f>IF($C91="B",VLOOKUP($A91,Bat!$A$4:$BD$2323,K$1,FALSE),VLOOKUP($A91,Pit!$A$4:$AZ$2261,K$2,FALSE))</f>
        <v>Low</v>
      </c>
      <c r="L91" s="16">
        <f>IF($C91="B",VLOOKUP($A91,Bat!$A$4:$BD$2323,L$1,FALSE),VLOOKUP($A91,Pit!$A$4:$AZ$2261,L$2,FALSE))</f>
        <v>5</v>
      </c>
      <c r="M91" s="16">
        <f>IF($C91="B",VLOOKUP($A91,Bat!$A$4:$BD$2323,M$1,FALSE),VLOOKUP($A91,Pit!$A$4:$AZ$2261,M$2,FALSE))</f>
        <v>7</v>
      </c>
      <c r="N91" s="16">
        <f>IF($C91="B",VLOOKUP($A91,Bat!$A$4:$BD$2323,N$1,FALSE),VLOOKUP($A91,Pit!$A$4:$AZ$2261,N$2,FALSE))</f>
        <v>2</v>
      </c>
      <c r="O91" s="16">
        <f>IF($C91="B",VLOOKUP($A91,Bat!$A$4:$BD$2323,O$1,FALSE),VLOOKUP($A91,Pit!$A$4:$AZ$2261,O$2,FALSE))</f>
        <v>6</v>
      </c>
      <c r="P91" s="17">
        <f>IF($C91="B",VLOOKUP($A91,Bat!$A$4:$BD$2323,P$1,FALSE),VLOOKUP($A91,Pit!$A$4:$AZ$2261,P$2,FALSE))</f>
        <v>4</v>
      </c>
      <c r="Q91" s="18">
        <f>IF($C91="B",VLOOKUP($A91,Bat!$A$4:$BD$2323,Q$1,FALSE),VLOOKUP($A91,Pit!$A$4:$AZ$2261,Q$2,FALSE))</f>
        <v>12.720591703739604</v>
      </c>
      <c r="R91" s="19">
        <f>IF($C91="B",VLOOKUP($A91,Bat!$A$4:$BD$2323,R$1,FALSE),VLOOKUP($A91,Pit!$A$4:$AZ$2261,R$2,FALSE))</f>
        <v>0.28536062422255637</v>
      </c>
      <c r="S91" s="20" t="str">
        <f>IF($C91="B",VLOOKUP($A91,Bat!$A$4:$BD$2323,S$1,FALSE),VLOOKUP($A91,Pit!$A$4:$AZ$2261,S$2,FALSE))</f>
        <v>Slot</v>
      </c>
      <c r="T91" s="17" t="str">
        <f>IF(S91="Slot","",VLOOKUP(IF($C91="B",VLOOKUP($A91,Bat!$A$4:$AT$2323,T$1,FALSE),VLOOKUP($A91,Pit!$A$4:$BD$2261,T$2,FALSE)),COND!$A$34:$B$40,2,FALSE))</f>
        <v/>
      </c>
      <c r="U91" s="21" t="str">
        <f>IF($C91="B",VLOOKUP($A91,Bat!$A$4:$AR$1287,44,FALSE),VLOOKUP($A91,Pit!$A$4:$BB$1239,54,FALSE))</f>
        <v/>
      </c>
      <c r="W91" s="21" t="str">
        <f t="shared" si="6"/>
        <v/>
      </c>
      <c r="X91" s="22" t="e">
        <f t="shared" si="7"/>
        <v>#N/A</v>
      </c>
      <c r="Y91" s="16" t="str">
        <f>IF(ISERROR(VLOOKUP($E91&amp;$F91,Results!$A$2:$G$413,Y$1,FALSE)),"",VLOOKUP($E91&amp;$F91,Results!$A$2:$G$413,Y$1,FALSE))</f>
        <v/>
      </c>
      <c r="Z91" s="16" t="str">
        <f>IF(ISERROR(VLOOKUP($E91&amp;$F91,Results!$A$2:$G$413,Z$1,FALSE)),"",VLOOKUP($E91&amp;$F91,Results!$A$2:$G$413,Z$1,FALSE))</f>
        <v/>
      </c>
      <c r="AA91" s="16" t="str">
        <f>IF(ISERROR(VLOOKUP($E91&amp;$F91,Results!$A$2:$G$413,AA$1,FALSE)),"",VLOOKUP($E91&amp;$F91,Results!$A$2:$G$413,AA$1,FALSE))</f>
        <v/>
      </c>
      <c r="AB91" s="16" t="str">
        <f>IF(ISERROR(VLOOKUP($E91&amp;$F91,Results!$A$2:$G$413,AB$1,FALSE)),"",VLOOKUP($E91&amp;$F91,Results!$A$2:$G$413,AB$1,FALSE))</f>
        <v/>
      </c>
      <c r="AC91" s="16"/>
      <c r="AD91" s="20" t="str">
        <f>IF(ISERROR(VLOOKUP($AB91&amp;"-"&amp;$F91,Bonuses!$B$1:$G$1000,4,FALSE)),"",INT(VLOOKUP($AB91&amp;"-"&amp;$F91,Bonuses!$B$1:$G$1000,4,FALSE)))</f>
        <v/>
      </c>
      <c r="AE91" s="16" t="str">
        <f>IF(ISERROR(VLOOKUP($AB91&amp;"-"&amp;$F91,Bonuses!$B$1:$G$1000,5,FALSE)),"",IF(VLOOKUP($AB91&amp;"-"&amp;$F91,Bonuses!$B$1:$G$1000,5,FALSE)="","",VLOOKUP($AB91&amp;"-"&amp;$F91,Bonuses!$B$1:$G$1000,6,FALSE)&amp;" yrs, "&amp;VLOOKUP($AB91&amp;"-"&amp;$F91,Bonuses!$B$1:$G$1000,5,FALSE)))</f>
        <v/>
      </c>
    </row>
    <row r="92" spans="1:31" s="21" customFormat="1">
      <c r="A92" s="21" t="s">
        <v>934</v>
      </c>
      <c r="B92" s="21">
        <f t="shared" si="4"/>
        <v>1</v>
      </c>
      <c r="C92" s="21" t="str">
        <f t="shared" si="5"/>
        <v>B</v>
      </c>
      <c r="D92" s="17">
        <f>IF($C92="B",VLOOKUP($A92,Bat!$A$4:$BD$2323,D$1,FALSE),VLOOKUP($A92,Pit!$A$4:$AZ$2261,D$2,FALSE))</f>
        <v>10386</v>
      </c>
      <c r="E92" s="16" t="str">
        <f>IF($C92="B",VLOOKUP($A92,Bat!$A$4:$BD$2323,E$1,FALSE),VLOOKUP($A92,Pit!$A$4:$AZ$2261,E$2,FALSE))</f>
        <v>RF</v>
      </c>
      <c r="F92" s="16" t="str">
        <f>IF($C92="B",VLOOKUP($A92,Bat!$A$4:$BD$2323,F$1,FALSE),VLOOKUP($A92,Pit!$A$4:$AZ$2261,F$2,FALSE))</f>
        <v>Rick Wilson</v>
      </c>
      <c r="G92" s="16">
        <f>IF($C92="B",VLOOKUP($A92,Bat!$A$4:$BD$2323,G$1,FALSE),VLOOKUP($A92,Pit!$A$4:$AZ$2261,G$2,FALSE))</f>
        <v>20</v>
      </c>
      <c r="H92" s="16" t="str">
        <f>IF($C92="B",VLOOKUP($A92,Bat!$A$4:$BD$2323,H$1,FALSE),VLOOKUP($A92,Pit!$A$4:$AZ$2261,H$2,FALSE))</f>
        <v>S</v>
      </c>
      <c r="I92" s="16" t="str">
        <f>IF($C92="B",VLOOKUP($A92,Bat!$A$4:$BD$2323,I$1,FALSE),VLOOKUP($A92,Pit!$A$4:$AZ$2261,I$2,FALSE))</f>
        <v>L</v>
      </c>
      <c r="J92" s="16" t="str">
        <f>IF($C92="B",VLOOKUP($A92,Bat!$A$4:$BD$2323,J$1,FALSE),VLOOKUP($A92,Pit!$A$4:$AZ$2261,J$2,FALSE))</f>
        <v>Normal</v>
      </c>
      <c r="K92" s="17" t="str">
        <f>IF($C92="B",VLOOKUP($A92,Bat!$A$4:$BD$2323,K$1,FALSE),VLOOKUP($A92,Pit!$A$4:$AZ$2261,K$2,FALSE))</f>
        <v>Very High</v>
      </c>
      <c r="L92" s="16">
        <f>IF($C92="B",VLOOKUP($A92,Bat!$A$4:$BD$2323,L$1,FALSE),VLOOKUP($A92,Pit!$A$4:$AZ$2261,L$2,FALSE))</f>
        <v>4</v>
      </c>
      <c r="M92" s="16">
        <f>IF($C92="B",VLOOKUP($A92,Bat!$A$4:$BD$2323,M$1,FALSE),VLOOKUP($A92,Pit!$A$4:$AZ$2261,M$2,FALSE))</f>
        <v>5</v>
      </c>
      <c r="N92" s="16">
        <f>IF($C92="B",VLOOKUP($A92,Bat!$A$4:$BD$2323,N$1,FALSE),VLOOKUP($A92,Pit!$A$4:$AZ$2261,N$2,FALSE))</f>
        <v>7</v>
      </c>
      <c r="O92" s="16">
        <f>IF($C92="B",VLOOKUP($A92,Bat!$A$4:$BD$2323,O$1,FALSE),VLOOKUP($A92,Pit!$A$4:$AZ$2261,O$2,FALSE))</f>
        <v>5</v>
      </c>
      <c r="P92" s="17">
        <f>IF($C92="B",VLOOKUP($A92,Bat!$A$4:$BD$2323,P$1,FALSE),VLOOKUP($A92,Pit!$A$4:$AZ$2261,P$2,FALSE))</f>
        <v>4</v>
      </c>
      <c r="Q92" s="18">
        <f>IF($C92="B",VLOOKUP($A92,Bat!$A$4:$BD$2323,Q$1,FALSE),VLOOKUP($A92,Pit!$A$4:$AZ$2261,Q$2,FALSE))</f>
        <v>12.667424709709081</v>
      </c>
      <c r="R92" s="19">
        <f>IF($C92="B",VLOOKUP($A92,Bat!$A$4:$BD$2323,R$1,FALSE),VLOOKUP($A92,Pit!$A$4:$AZ$2261,R$2,FALSE))</f>
        <v>0.27797447119875068</v>
      </c>
      <c r="S92" s="20">
        <f>IF($C92="B",VLOOKUP($A92,Bat!$A$4:$BD$2323,S$1,FALSE),VLOOKUP($A92,Pit!$A$4:$AZ$2261,S$2,FALSE))</f>
        <v>280000</v>
      </c>
      <c r="T92" s="17" t="str">
        <f>IF(S92="Slot","",VLOOKUP(IF($C92="B",VLOOKUP($A92,Bat!$A$4:$AT$2323,T$1,FALSE),VLOOKUP($A92,Pit!$A$4:$BD$2261,T$2,FALSE)),COND!$A$34:$B$40,2,FALSE))</f>
        <v>N</v>
      </c>
      <c r="U92" s="21" t="str">
        <f>IF($C92="B",VLOOKUP($A92,Bat!$A$4:$AR$1287,44,FALSE),VLOOKUP($A92,Pit!$A$4:$BB$1239,54,FALSE))</f>
        <v/>
      </c>
      <c r="W92" s="21" t="str">
        <f t="shared" si="6"/>
        <v/>
      </c>
      <c r="X92" s="22" t="e">
        <f t="shared" si="7"/>
        <v>#N/A</v>
      </c>
      <c r="Y92" s="16" t="str">
        <f>IF(ISERROR(VLOOKUP($E92&amp;$F92,Results!$A$2:$G$413,Y$1,FALSE)),"",VLOOKUP($E92&amp;$F92,Results!$A$2:$G$413,Y$1,FALSE))</f>
        <v/>
      </c>
      <c r="Z92" s="16" t="str">
        <f>IF(ISERROR(VLOOKUP($E92&amp;$F92,Results!$A$2:$G$413,Z$1,FALSE)),"",VLOOKUP($E92&amp;$F92,Results!$A$2:$G$413,Z$1,FALSE))</f>
        <v/>
      </c>
      <c r="AA92" s="16" t="str">
        <f>IF(ISERROR(VLOOKUP($E92&amp;$F92,Results!$A$2:$G$413,AA$1,FALSE)),"",VLOOKUP($E92&amp;$F92,Results!$A$2:$G$413,AA$1,FALSE))</f>
        <v/>
      </c>
      <c r="AB92" s="16" t="str">
        <f>IF(ISERROR(VLOOKUP($E92&amp;$F92,Results!$A$2:$G$413,AB$1,FALSE)),"",VLOOKUP($E92&amp;$F92,Results!$A$2:$G$413,AB$1,FALSE))</f>
        <v/>
      </c>
      <c r="AC92" s="16"/>
      <c r="AD92" s="20" t="str">
        <f>IF(ISERROR(VLOOKUP($AB92&amp;"-"&amp;$F92,Bonuses!$B$1:$G$1000,4,FALSE)),"",INT(VLOOKUP($AB92&amp;"-"&amp;$F92,Bonuses!$B$1:$G$1000,4,FALSE)))</f>
        <v/>
      </c>
      <c r="AE92" s="16" t="str">
        <f>IF(ISERROR(VLOOKUP($AB92&amp;"-"&amp;$F92,Bonuses!$B$1:$G$1000,5,FALSE)),"",IF(VLOOKUP($AB92&amp;"-"&amp;$F92,Bonuses!$B$1:$G$1000,5,FALSE)="","",VLOOKUP($AB92&amp;"-"&amp;$F92,Bonuses!$B$1:$G$1000,6,FALSE)&amp;" yrs, "&amp;VLOOKUP($AB92&amp;"-"&amp;$F92,Bonuses!$B$1:$G$1000,5,FALSE)))</f>
        <v/>
      </c>
    </row>
    <row r="93" spans="1:31" s="21" customFormat="1">
      <c r="A93" s="21" t="s">
        <v>966</v>
      </c>
      <c r="B93" s="21">
        <f t="shared" si="4"/>
        <v>1</v>
      </c>
      <c r="C93" s="21" t="str">
        <f t="shared" si="5"/>
        <v>B</v>
      </c>
      <c r="D93" s="17">
        <f>IF($C93="B",VLOOKUP($A93,Bat!$A$4:$BD$2323,D$1,FALSE),VLOOKUP($A93,Pit!$A$4:$AZ$2261,D$2,FALSE))</f>
        <v>2639</v>
      </c>
      <c r="E93" s="16" t="str">
        <f>IF($C93="B",VLOOKUP($A93,Bat!$A$4:$BD$2323,E$1,FALSE),VLOOKUP($A93,Pit!$A$4:$AZ$2261,E$2,FALSE))</f>
        <v>RF</v>
      </c>
      <c r="F93" s="16" t="str">
        <f>IF($C93="B",VLOOKUP($A93,Bat!$A$4:$BD$2323,F$1,FALSE),VLOOKUP($A93,Pit!$A$4:$AZ$2261,F$2,FALSE))</f>
        <v>Carlos Robinson</v>
      </c>
      <c r="G93" s="16">
        <f>IF($C93="B",VLOOKUP($A93,Bat!$A$4:$BD$2323,G$1,FALSE),VLOOKUP($A93,Pit!$A$4:$AZ$2261,G$2,FALSE))</f>
        <v>21</v>
      </c>
      <c r="H93" s="16" t="str">
        <f>IF($C93="B",VLOOKUP($A93,Bat!$A$4:$BD$2323,H$1,FALSE),VLOOKUP($A93,Pit!$A$4:$AZ$2261,H$2,FALSE))</f>
        <v>L</v>
      </c>
      <c r="I93" s="16" t="str">
        <f>IF($C93="B",VLOOKUP($A93,Bat!$A$4:$BD$2323,I$1,FALSE),VLOOKUP($A93,Pit!$A$4:$AZ$2261,I$2,FALSE))</f>
        <v>L</v>
      </c>
      <c r="J93" s="16" t="str">
        <f>IF($C93="B",VLOOKUP($A93,Bat!$A$4:$BD$2323,J$1,FALSE),VLOOKUP($A93,Pit!$A$4:$AZ$2261,J$2,FALSE))</f>
        <v>Low</v>
      </c>
      <c r="K93" s="17" t="str">
        <f>IF($C93="B",VLOOKUP($A93,Bat!$A$4:$BD$2323,K$1,FALSE),VLOOKUP($A93,Pit!$A$4:$AZ$2261,K$2,FALSE))</f>
        <v>Normal</v>
      </c>
      <c r="L93" s="16">
        <f>IF($C93="B",VLOOKUP($A93,Bat!$A$4:$BD$2323,L$1,FALSE),VLOOKUP($A93,Pit!$A$4:$AZ$2261,L$2,FALSE))</f>
        <v>5</v>
      </c>
      <c r="M93" s="16">
        <f>IF($C93="B",VLOOKUP($A93,Bat!$A$4:$BD$2323,M$1,FALSE),VLOOKUP($A93,Pit!$A$4:$AZ$2261,M$2,FALSE))</f>
        <v>6</v>
      </c>
      <c r="N93" s="16">
        <f>IF($C93="B",VLOOKUP($A93,Bat!$A$4:$BD$2323,N$1,FALSE),VLOOKUP($A93,Pit!$A$4:$AZ$2261,N$2,FALSE))</f>
        <v>4</v>
      </c>
      <c r="O93" s="16">
        <f>IF($C93="B",VLOOKUP($A93,Bat!$A$4:$BD$2323,O$1,FALSE),VLOOKUP($A93,Pit!$A$4:$AZ$2261,O$2,FALSE))</f>
        <v>5</v>
      </c>
      <c r="P93" s="17">
        <f>IF($C93="B",VLOOKUP($A93,Bat!$A$4:$BD$2323,P$1,FALSE),VLOOKUP($A93,Pit!$A$4:$AZ$2261,P$2,FALSE))</f>
        <v>4</v>
      </c>
      <c r="Q93" s="18">
        <f>IF($C93="B",VLOOKUP($A93,Bat!$A$4:$BD$2323,Q$1,FALSE),VLOOKUP($A93,Pit!$A$4:$AZ$2261,Q$2,FALSE))</f>
        <v>12.595942253803793</v>
      </c>
      <c r="R93" s="19">
        <f>IF($C93="B",VLOOKUP($A93,Bat!$A$4:$BD$2323,R$1,FALSE),VLOOKUP($A93,Pit!$A$4:$AZ$2261,R$2,FALSE))</f>
        <v>0.26804386730696794</v>
      </c>
      <c r="S93" s="20" t="str">
        <f>IF($C93="B",VLOOKUP($A93,Bat!$A$4:$BD$2323,S$1,FALSE),VLOOKUP($A93,Pit!$A$4:$AZ$2261,S$2,FALSE))</f>
        <v>Slot</v>
      </c>
      <c r="T93" s="17" t="str">
        <f>IF(S93="Slot","",VLOOKUP(IF($C93="B",VLOOKUP($A93,Bat!$A$4:$AT$2323,T$1,FALSE),VLOOKUP($A93,Pit!$A$4:$BD$2261,T$2,FALSE)),COND!$A$34:$B$40,2,FALSE))</f>
        <v/>
      </c>
      <c r="U93" s="21" t="str">
        <f>IF($C93="B",VLOOKUP($A93,Bat!$A$4:$AR$1287,44,FALSE),VLOOKUP($A93,Pit!$A$4:$BB$1239,54,FALSE))</f>
        <v/>
      </c>
      <c r="W93" s="21" t="str">
        <f t="shared" si="6"/>
        <v/>
      </c>
      <c r="X93" s="22" t="e">
        <f t="shared" si="7"/>
        <v>#N/A</v>
      </c>
      <c r="Y93" s="16" t="str">
        <f>IF(ISERROR(VLOOKUP($E93&amp;$F93,Results!$A$2:$G$413,Y$1,FALSE)),"",VLOOKUP($E93&amp;$F93,Results!$A$2:$G$413,Y$1,FALSE))</f>
        <v/>
      </c>
      <c r="Z93" s="16" t="str">
        <f>IF(ISERROR(VLOOKUP($E93&amp;$F93,Results!$A$2:$G$413,Z$1,FALSE)),"",VLOOKUP($E93&amp;$F93,Results!$A$2:$G$413,Z$1,FALSE))</f>
        <v/>
      </c>
      <c r="AA93" s="16" t="str">
        <f>IF(ISERROR(VLOOKUP($E93&amp;$F93,Results!$A$2:$G$413,AA$1,FALSE)),"",VLOOKUP($E93&amp;$F93,Results!$A$2:$G$413,AA$1,FALSE))</f>
        <v/>
      </c>
      <c r="AB93" s="16" t="str">
        <f>IF(ISERROR(VLOOKUP($E93&amp;$F93,Results!$A$2:$G$413,AB$1,FALSE)),"",VLOOKUP($E93&amp;$F93,Results!$A$2:$G$413,AB$1,FALSE))</f>
        <v/>
      </c>
      <c r="AC93" s="16"/>
      <c r="AD93" s="20" t="str">
        <f>IF(ISERROR(VLOOKUP($AB93&amp;"-"&amp;$F93,Bonuses!$B$1:$G$1000,4,FALSE)),"",INT(VLOOKUP($AB93&amp;"-"&amp;$F93,Bonuses!$B$1:$G$1000,4,FALSE)))</f>
        <v/>
      </c>
      <c r="AE93" s="16" t="str">
        <f>IF(ISERROR(VLOOKUP($AB93&amp;"-"&amp;$F93,Bonuses!$B$1:$G$1000,5,FALSE)),"",IF(VLOOKUP($AB93&amp;"-"&amp;$F93,Bonuses!$B$1:$G$1000,5,FALSE)="","",VLOOKUP($AB93&amp;"-"&amp;$F93,Bonuses!$B$1:$G$1000,6,FALSE)&amp;" yrs, "&amp;VLOOKUP($AB93&amp;"-"&amp;$F93,Bonuses!$B$1:$G$1000,5,FALSE)))</f>
        <v/>
      </c>
    </row>
    <row r="94" spans="1:31" s="21" customFormat="1">
      <c r="A94" s="21" t="s">
        <v>252</v>
      </c>
      <c r="B94" s="21">
        <f t="shared" si="4"/>
        <v>1</v>
      </c>
      <c r="C94" s="21" t="str">
        <f t="shared" si="5"/>
        <v>B</v>
      </c>
      <c r="D94" s="17" t="e">
        <f>IF($C94="B",VLOOKUP($A94,Bat!$A$4:$BD$2323,D$1,FALSE),VLOOKUP($A94,Pit!$A$4:$AZ$2261,D$2,FALSE))</f>
        <v>#N/A</v>
      </c>
      <c r="E94" s="16" t="str">
        <f>IF($C94="B",VLOOKUP($A94,Bat!$A$4:$BD$2323,E$1,FALSE),VLOOKUP($A94,Pit!$A$4:$AZ$2261,E$2,FALSE))</f>
        <v>RF</v>
      </c>
      <c r="F94" s="16" t="str">
        <f>IF($C94="B",VLOOKUP($A94,Bat!$A$4:$BD$2323,F$1,FALSE),VLOOKUP($A94,Pit!$A$4:$AZ$2261,F$2,FALSE))</f>
        <v>Luis Antonio Sánchez</v>
      </c>
      <c r="G94" s="16">
        <f>IF($C94="B",VLOOKUP($A94,Bat!$A$4:$BD$2323,G$1,FALSE),VLOOKUP($A94,Pit!$A$4:$AZ$2261,G$2,FALSE))</f>
        <v>21</v>
      </c>
      <c r="H94" s="16" t="str">
        <f>IF($C94="B",VLOOKUP($A94,Bat!$A$4:$BD$2323,H$1,FALSE),VLOOKUP($A94,Pit!$A$4:$AZ$2261,H$2,FALSE))</f>
        <v>R</v>
      </c>
      <c r="I94" s="16" t="str">
        <f>IF($C94="B",VLOOKUP($A94,Bat!$A$4:$BD$2323,I$1,FALSE),VLOOKUP($A94,Pit!$A$4:$AZ$2261,I$2,FALSE))</f>
        <v>R</v>
      </c>
      <c r="J94" s="16" t="str">
        <f>IF($C94="B",VLOOKUP($A94,Bat!$A$4:$BD$2323,J$1,FALSE),VLOOKUP($A94,Pit!$A$4:$AZ$2261,J$2,FALSE))</f>
        <v>Very Low</v>
      </c>
      <c r="K94" s="17" t="str">
        <f>IF($C94="B",VLOOKUP($A94,Bat!$A$4:$BD$2323,K$1,FALSE),VLOOKUP($A94,Pit!$A$4:$AZ$2261,K$2,FALSE))</f>
        <v>Normal</v>
      </c>
      <c r="L94" s="16">
        <f>IF($C94="B",VLOOKUP($A94,Bat!$A$4:$BD$2323,L$1,FALSE),VLOOKUP($A94,Pit!$A$4:$AZ$2261,L$2,FALSE))</f>
        <v>5</v>
      </c>
      <c r="M94" s="16">
        <f>IF($C94="B",VLOOKUP($A94,Bat!$A$4:$BD$2323,M$1,FALSE),VLOOKUP($A94,Pit!$A$4:$AZ$2261,M$2,FALSE))</f>
        <v>5</v>
      </c>
      <c r="N94" s="16">
        <f>IF($C94="B",VLOOKUP($A94,Bat!$A$4:$BD$2323,N$1,FALSE),VLOOKUP($A94,Pit!$A$4:$AZ$2261,N$2,FALSE))</f>
        <v>4</v>
      </c>
      <c r="O94" s="16">
        <f>IF($C94="B",VLOOKUP($A94,Bat!$A$4:$BD$2323,O$1,FALSE),VLOOKUP($A94,Pit!$A$4:$AZ$2261,O$2,FALSE))</f>
        <v>5</v>
      </c>
      <c r="P94" s="17">
        <f>IF($C94="B",VLOOKUP($A94,Bat!$A$4:$BD$2323,P$1,FALSE),VLOOKUP($A94,Pit!$A$4:$AZ$2261,P$2,FALSE))</f>
        <v>4</v>
      </c>
      <c r="Q94" s="18">
        <f>IF($C94="B",VLOOKUP($A94,Bat!$A$4:$BD$2323,Q$1,FALSE),VLOOKUP($A94,Pit!$A$4:$AZ$2261,Q$2,FALSE))</f>
        <v>12.199116656099619</v>
      </c>
      <c r="R94" s="19">
        <f>IF($C94="B",VLOOKUP($A94,Bat!$A$4:$BD$2323,R$1,FALSE),VLOOKUP($A94,Pit!$A$4:$AZ$2261,R$2,FALSE))</f>
        <v>0.21291540571435821</v>
      </c>
      <c r="S94" s="20" t="str">
        <f>IF($C94="B",VLOOKUP($A94,Bat!$A$4:$BD$2323,S$1,FALSE),VLOOKUP($A94,Pit!$A$4:$AZ$2261,S$2,FALSE))</f>
        <v>Slot</v>
      </c>
      <c r="T94" s="17" t="str">
        <f>IF(S94="Slot","",VLOOKUP(IF($C94="B",VLOOKUP($A94,Bat!$A$4:$AT$2323,T$1,FALSE),VLOOKUP($A94,Pit!$A$4:$BD$2261,T$2,FALSE)),COND!$A$34:$B$40,2,FALSE))</f>
        <v/>
      </c>
      <c r="U94" s="21" t="str">
        <f>IF($C94="B",VLOOKUP($A94,Bat!$A$4:$AR$1287,44,FALSE),VLOOKUP($A94,Pit!$A$4:$BB$1239,54,FALSE))</f>
        <v/>
      </c>
      <c r="W94" s="21" t="str">
        <f t="shared" si="6"/>
        <v/>
      </c>
      <c r="X94" s="22" t="e">
        <f t="shared" si="7"/>
        <v>#N/A</v>
      </c>
      <c r="Y94" s="16" t="str">
        <f>IF(ISERROR(VLOOKUP($E94&amp;$F94,Results!$A$2:$G$413,Y$1,FALSE)),"",VLOOKUP($E94&amp;$F94,Results!$A$2:$G$413,Y$1,FALSE))</f>
        <v/>
      </c>
      <c r="Z94" s="16" t="str">
        <f>IF(ISERROR(VLOOKUP($E94&amp;$F94,Results!$A$2:$G$413,Z$1,FALSE)),"",VLOOKUP($E94&amp;$F94,Results!$A$2:$G$413,Z$1,FALSE))</f>
        <v/>
      </c>
      <c r="AA94" s="16" t="str">
        <f>IF(ISERROR(VLOOKUP($E94&amp;$F94,Results!$A$2:$G$413,AA$1,FALSE)),"",VLOOKUP($E94&amp;$F94,Results!$A$2:$G$413,AA$1,FALSE))</f>
        <v/>
      </c>
      <c r="AB94" s="16" t="str">
        <f>IF(ISERROR(VLOOKUP($E94&amp;$F94,Results!$A$2:$G$413,AB$1,FALSE)),"",VLOOKUP($E94&amp;$F94,Results!$A$2:$G$413,AB$1,FALSE))</f>
        <v/>
      </c>
      <c r="AC94" s="16"/>
      <c r="AD94" s="20" t="str">
        <f>IF(ISERROR(VLOOKUP($AB94&amp;"-"&amp;$F94,Bonuses!$B$1:$G$1000,4,FALSE)),"",INT(VLOOKUP($AB94&amp;"-"&amp;$F94,Bonuses!$B$1:$G$1000,4,FALSE)))</f>
        <v/>
      </c>
      <c r="AE94" s="16" t="str">
        <f>IF(ISERROR(VLOOKUP($AB94&amp;"-"&amp;$F94,Bonuses!$B$1:$G$1000,5,FALSE)),"",IF(VLOOKUP($AB94&amp;"-"&amp;$F94,Bonuses!$B$1:$G$1000,5,FALSE)="","",VLOOKUP($AB94&amp;"-"&amp;$F94,Bonuses!$B$1:$G$1000,6,FALSE)&amp;" yrs, "&amp;VLOOKUP($AB94&amp;"-"&amp;$F94,Bonuses!$B$1:$G$1000,5,FALSE)))</f>
        <v/>
      </c>
    </row>
    <row r="95" spans="1:31" s="21" customFormat="1">
      <c r="A95" s="21" t="s">
        <v>73</v>
      </c>
      <c r="B95" s="21">
        <f t="shared" si="4"/>
        <v>1</v>
      </c>
      <c r="C95" s="21" t="str">
        <f t="shared" si="5"/>
        <v>B</v>
      </c>
      <c r="D95" s="17">
        <f>IF($C95="B",VLOOKUP($A95,Bat!$A$4:$BD$2323,D$1,FALSE),VLOOKUP($A95,Pit!$A$4:$AZ$2261,D$2,FALSE))</f>
        <v>13784</v>
      </c>
      <c r="E95" s="16" t="str">
        <f>IF($C95="B",VLOOKUP($A95,Bat!$A$4:$BD$2323,E$1,FALSE),VLOOKUP($A95,Pit!$A$4:$AZ$2261,E$2,FALSE))</f>
        <v>RF</v>
      </c>
      <c r="F95" s="16" t="str">
        <f>IF($C95="B",VLOOKUP($A95,Bat!$A$4:$BD$2323,F$1,FALSE),VLOOKUP($A95,Pit!$A$4:$AZ$2261,F$2,FALSE))</f>
        <v>River Mitchell</v>
      </c>
      <c r="G95" s="16">
        <f>IF($C95="B",VLOOKUP($A95,Bat!$A$4:$BD$2323,G$1,FALSE),VLOOKUP($A95,Pit!$A$4:$AZ$2261,G$2,FALSE))</f>
        <v>18</v>
      </c>
      <c r="H95" s="16" t="str">
        <f>IF($C95="B",VLOOKUP($A95,Bat!$A$4:$BD$2323,H$1,FALSE),VLOOKUP($A95,Pit!$A$4:$AZ$2261,H$2,FALSE))</f>
        <v>L</v>
      </c>
      <c r="I95" s="16" t="str">
        <f>IF($C95="B",VLOOKUP($A95,Bat!$A$4:$BD$2323,I$1,FALSE),VLOOKUP($A95,Pit!$A$4:$AZ$2261,I$2,FALSE))</f>
        <v>L</v>
      </c>
      <c r="J95" s="16" t="str">
        <f>IF($C95="B",VLOOKUP($A95,Bat!$A$4:$BD$2323,J$1,FALSE),VLOOKUP($A95,Pit!$A$4:$AZ$2261,J$2,FALSE))</f>
        <v>Very Low</v>
      </c>
      <c r="K95" s="17" t="str">
        <f>IF($C95="B",VLOOKUP($A95,Bat!$A$4:$BD$2323,K$1,FALSE),VLOOKUP($A95,Pit!$A$4:$AZ$2261,K$2,FALSE))</f>
        <v>Very High</v>
      </c>
      <c r="L95" s="16">
        <f>IF($C95="B",VLOOKUP($A95,Bat!$A$4:$BD$2323,L$1,FALSE),VLOOKUP($A95,Pit!$A$4:$AZ$2261,L$2,FALSE))</f>
        <v>5</v>
      </c>
      <c r="M95" s="16">
        <f>IF($C95="B",VLOOKUP($A95,Bat!$A$4:$BD$2323,M$1,FALSE),VLOOKUP($A95,Pit!$A$4:$AZ$2261,M$2,FALSE))</f>
        <v>6</v>
      </c>
      <c r="N95" s="16">
        <f>IF($C95="B",VLOOKUP($A95,Bat!$A$4:$BD$2323,N$1,FALSE),VLOOKUP($A95,Pit!$A$4:$AZ$2261,N$2,FALSE))</f>
        <v>5</v>
      </c>
      <c r="O95" s="16">
        <f>IF($C95="B",VLOOKUP($A95,Bat!$A$4:$BD$2323,O$1,FALSE),VLOOKUP($A95,Pit!$A$4:$AZ$2261,O$2,FALSE))</f>
        <v>3</v>
      </c>
      <c r="P95" s="17">
        <f>IF($C95="B",VLOOKUP($A95,Bat!$A$4:$BD$2323,P$1,FALSE),VLOOKUP($A95,Pit!$A$4:$AZ$2261,P$2,FALSE))</f>
        <v>5</v>
      </c>
      <c r="Q95" s="18">
        <f>IF($C95="B",VLOOKUP($A95,Bat!$A$4:$BD$2323,Q$1,FALSE),VLOOKUP($A95,Pit!$A$4:$AZ$2261,Q$2,FALSE))</f>
        <v>12.150560549497026</v>
      </c>
      <c r="R95" s="19">
        <f>IF($C95="B",VLOOKUP($A95,Bat!$A$4:$BD$2323,R$1,FALSE),VLOOKUP($A95,Pit!$A$4:$AZ$2261,R$2,FALSE))</f>
        <v>0.20616981401509685</v>
      </c>
      <c r="S95" s="20" t="str">
        <f>IF($C95="B",VLOOKUP($A95,Bat!$A$4:$BD$2323,S$1,FALSE),VLOOKUP($A95,Pit!$A$4:$AZ$2261,S$2,FALSE))</f>
        <v>Slot</v>
      </c>
      <c r="T95" s="17" t="str">
        <f>IF(S95="Slot","",VLOOKUP(IF($C95="B",VLOOKUP($A95,Bat!$A$4:$AT$2323,T$1,FALSE),VLOOKUP($A95,Pit!$A$4:$BD$2261,T$2,FALSE)),COND!$A$34:$B$40,2,FALSE))</f>
        <v/>
      </c>
      <c r="U95" s="21" t="str">
        <f>IF($C95="B",VLOOKUP($A95,Bat!$A$4:$AR$1287,44,FALSE),VLOOKUP($A95,Pit!$A$4:$BB$1239,54,FALSE))</f>
        <v/>
      </c>
      <c r="W95" s="21" t="str">
        <f t="shared" si="6"/>
        <v/>
      </c>
      <c r="X95" s="22" t="e">
        <f t="shared" si="7"/>
        <v>#N/A</v>
      </c>
      <c r="Y95" s="16" t="str">
        <f>IF(ISERROR(VLOOKUP($E95&amp;$F95,Results!$A$2:$G$413,Y$1,FALSE)),"",VLOOKUP($E95&amp;$F95,Results!$A$2:$G$413,Y$1,FALSE))</f>
        <v/>
      </c>
      <c r="Z95" s="16" t="str">
        <f>IF(ISERROR(VLOOKUP($E95&amp;$F95,Results!$A$2:$G$413,Z$1,FALSE)),"",VLOOKUP($E95&amp;$F95,Results!$A$2:$G$413,Z$1,FALSE))</f>
        <v/>
      </c>
      <c r="AA95" s="16" t="str">
        <f>IF(ISERROR(VLOOKUP($E95&amp;$F95,Results!$A$2:$G$413,AA$1,FALSE)),"",VLOOKUP($E95&amp;$F95,Results!$A$2:$G$413,AA$1,FALSE))</f>
        <v/>
      </c>
      <c r="AB95" s="16" t="str">
        <f>IF(ISERROR(VLOOKUP($E95&amp;$F95,Results!$A$2:$G$413,AB$1,FALSE)),"",VLOOKUP($E95&amp;$F95,Results!$A$2:$G$413,AB$1,FALSE))</f>
        <v/>
      </c>
      <c r="AC95" s="16"/>
      <c r="AD95" s="20" t="str">
        <f>IF(ISERROR(VLOOKUP($AB95&amp;"-"&amp;$F95,Bonuses!$B$1:$G$1000,4,FALSE)),"",INT(VLOOKUP($AB95&amp;"-"&amp;$F95,Bonuses!$B$1:$G$1000,4,FALSE)))</f>
        <v/>
      </c>
      <c r="AE95" s="16" t="str">
        <f>IF(ISERROR(VLOOKUP($AB95&amp;"-"&amp;$F95,Bonuses!$B$1:$G$1000,5,FALSE)),"",IF(VLOOKUP($AB95&amp;"-"&amp;$F95,Bonuses!$B$1:$G$1000,5,FALSE)="","",VLOOKUP($AB95&amp;"-"&amp;$F95,Bonuses!$B$1:$G$1000,6,FALSE)&amp;" yrs, "&amp;VLOOKUP($AB95&amp;"-"&amp;$F95,Bonuses!$B$1:$G$1000,5,FALSE)))</f>
        <v/>
      </c>
    </row>
    <row r="96" spans="1:31" s="21" customFormat="1">
      <c r="A96" s="21" t="s">
        <v>633</v>
      </c>
      <c r="B96" s="21">
        <f t="shared" si="4"/>
        <v>1</v>
      </c>
      <c r="C96" s="21" t="str">
        <f t="shared" si="5"/>
        <v>B</v>
      </c>
      <c r="D96" s="17">
        <f>IF($C96="B",VLOOKUP($A96,Bat!$A$4:$BD$2323,D$1,FALSE),VLOOKUP($A96,Pit!$A$4:$AZ$2261,D$2,FALSE))</f>
        <v>2988</v>
      </c>
      <c r="E96" s="16" t="str">
        <f>IF($C96="B",VLOOKUP($A96,Bat!$A$4:$BD$2323,E$1,FALSE),VLOOKUP($A96,Pit!$A$4:$AZ$2261,E$2,FALSE))</f>
        <v>C</v>
      </c>
      <c r="F96" s="16" t="str">
        <f>IF($C96="B",VLOOKUP($A96,Bat!$A$4:$BD$2323,F$1,FALSE),VLOOKUP($A96,Pit!$A$4:$AZ$2261,F$2,FALSE))</f>
        <v>Raymond Powys</v>
      </c>
      <c r="G96" s="16">
        <f>IF($C96="B",VLOOKUP($A96,Bat!$A$4:$BD$2323,G$1,FALSE),VLOOKUP($A96,Pit!$A$4:$AZ$2261,G$2,FALSE))</f>
        <v>21</v>
      </c>
      <c r="H96" s="16" t="str">
        <f>IF($C96="B",VLOOKUP($A96,Bat!$A$4:$BD$2323,H$1,FALSE),VLOOKUP($A96,Pit!$A$4:$AZ$2261,H$2,FALSE))</f>
        <v>R</v>
      </c>
      <c r="I96" s="16" t="str">
        <f>IF($C96="B",VLOOKUP($A96,Bat!$A$4:$BD$2323,I$1,FALSE),VLOOKUP($A96,Pit!$A$4:$AZ$2261,I$2,FALSE))</f>
        <v>R</v>
      </c>
      <c r="J96" s="16" t="str">
        <f>IF($C96="B",VLOOKUP($A96,Bat!$A$4:$BD$2323,J$1,FALSE),VLOOKUP($A96,Pit!$A$4:$AZ$2261,J$2,FALSE))</f>
        <v>Normal</v>
      </c>
      <c r="K96" s="17" t="str">
        <f>IF($C96="B",VLOOKUP($A96,Bat!$A$4:$BD$2323,K$1,FALSE),VLOOKUP($A96,Pit!$A$4:$AZ$2261,K$2,FALSE))</f>
        <v>Normal</v>
      </c>
      <c r="L96" s="16">
        <f>IF($C96="B",VLOOKUP($A96,Bat!$A$4:$BD$2323,L$1,FALSE),VLOOKUP($A96,Pit!$A$4:$AZ$2261,L$2,FALSE))</f>
        <v>5</v>
      </c>
      <c r="M96" s="16">
        <f>IF($C96="B",VLOOKUP($A96,Bat!$A$4:$BD$2323,M$1,FALSE),VLOOKUP($A96,Pit!$A$4:$AZ$2261,M$2,FALSE))</f>
        <v>7</v>
      </c>
      <c r="N96" s="16">
        <f>IF($C96="B",VLOOKUP($A96,Bat!$A$4:$BD$2323,N$1,FALSE),VLOOKUP($A96,Pit!$A$4:$AZ$2261,N$2,FALSE))</f>
        <v>4</v>
      </c>
      <c r="O96" s="16">
        <f>IF($C96="B",VLOOKUP($A96,Bat!$A$4:$BD$2323,O$1,FALSE),VLOOKUP($A96,Pit!$A$4:$AZ$2261,O$2,FALSE))</f>
        <v>3</v>
      </c>
      <c r="P96" s="17">
        <f>IF($C96="B",VLOOKUP($A96,Bat!$A$4:$BD$2323,P$1,FALSE),VLOOKUP($A96,Pit!$A$4:$AZ$2261,P$2,FALSE))</f>
        <v>4</v>
      </c>
      <c r="Q96" s="18">
        <f>IF($C96="B",VLOOKUP($A96,Bat!$A$4:$BD$2323,Q$1,FALSE),VLOOKUP($A96,Pit!$A$4:$AZ$2261,Q$2,FALSE))</f>
        <v>12.110100554956382</v>
      </c>
      <c r="R96" s="19">
        <f>IF($C96="B",VLOOKUP($A96,Bat!$A$4:$BD$2323,R$1,FALSE),VLOOKUP($A96,Pit!$A$4:$AZ$2261,R$2,FALSE))</f>
        <v>0.2005489637776737</v>
      </c>
      <c r="S96" s="20" t="str">
        <f>IF($C96="B",VLOOKUP($A96,Bat!$A$4:$BD$2323,S$1,FALSE),VLOOKUP($A96,Pit!$A$4:$AZ$2261,S$2,FALSE))</f>
        <v>Slot</v>
      </c>
      <c r="T96" s="17" t="str">
        <f>IF(S96="Slot","",VLOOKUP(IF($C96="B",VLOOKUP($A96,Bat!$A$4:$AT$2323,T$1,FALSE),VLOOKUP($A96,Pit!$A$4:$BD$2261,T$2,FALSE)),COND!$A$34:$B$40,2,FALSE))</f>
        <v/>
      </c>
      <c r="U96" s="21" t="str">
        <f>IF($C96="B",VLOOKUP($A96,Bat!$A$4:$AR$1287,44,FALSE),VLOOKUP($A96,Pit!$A$4:$BB$1239,54,FALSE))</f>
        <v/>
      </c>
      <c r="W96" s="21" t="str">
        <f t="shared" si="6"/>
        <v/>
      </c>
      <c r="X96" s="22" t="e">
        <f t="shared" si="7"/>
        <v>#N/A</v>
      </c>
      <c r="Y96" s="16" t="str">
        <f>IF(ISERROR(VLOOKUP($E96&amp;$F96,Results!$A$2:$G$413,Y$1,FALSE)),"",VLOOKUP($E96&amp;$F96,Results!$A$2:$G$413,Y$1,FALSE))</f>
        <v/>
      </c>
      <c r="Z96" s="16" t="str">
        <f>IF(ISERROR(VLOOKUP($E96&amp;$F96,Results!$A$2:$G$413,Z$1,FALSE)),"",VLOOKUP($E96&amp;$F96,Results!$A$2:$G$413,Z$1,FALSE))</f>
        <v/>
      </c>
      <c r="AA96" s="16" t="str">
        <f>IF(ISERROR(VLOOKUP($E96&amp;$F96,Results!$A$2:$G$413,AA$1,FALSE)),"",VLOOKUP($E96&amp;$F96,Results!$A$2:$G$413,AA$1,FALSE))</f>
        <v/>
      </c>
      <c r="AB96" s="16" t="str">
        <f>IF(ISERROR(VLOOKUP($E96&amp;$F96,Results!$A$2:$G$413,AB$1,FALSE)),"",VLOOKUP($E96&amp;$F96,Results!$A$2:$G$413,AB$1,FALSE))</f>
        <v/>
      </c>
      <c r="AC96" s="16"/>
      <c r="AD96" s="20" t="str">
        <f>IF(ISERROR(VLOOKUP($AB96&amp;"-"&amp;$F96,Bonuses!$B$1:$G$1000,4,FALSE)),"",INT(VLOOKUP($AB96&amp;"-"&amp;$F96,Bonuses!$B$1:$G$1000,4,FALSE)))</f>
        <v/>
      </c>
      <c r="AE96" s="16" t="str">
        <f>IF(ISERROR(VLOOKUP($AB96&amp;"-"&amp;$F96,Bonuses!$B$1:$G$1000,5,FALSE)),"",IF(VLOOKUP($AB96&amp;"-"&amp;$F96,Bonuses!$B$1:$G$1000,5,FALSE)="","",VLOOKUP($AB96&amp;"-"&amp;$F96,Bonuses!$B$1:$G$1000,6,FALSE)&amp;" yrs, "&amp;VLOOKUP($AB96&amp;"-"&amp;$F96,Bonuses!$B$1:$G$1000,5,FALSE)))</f>
        <v/>
      </c>
    </row>
    <row r="97" spans="1:31" s="21" customFormat="1">
      <c r="A97" s="21" t="s">
        <v>961</v>
      </c>
      <c r="B97" s="21">
        <f t="shared" si="4"/>
        <v>1</v>
      </c>
      <c r="C97" s="21" t="str">
        <f t="shared" si="5"/>
        <v>B</v>
      </c>
      <c r="D97" s="17" t="e">
        <f>IF($C97="B",VLOOKUP($A97,Bat!$A$4:$BD$2323,D$1,FALSE),VLOOKUP($A97,Pit!$A$4:$AZ$2261,D$2,FALSE))</f>
        <v>#N/A</v>
      </c>
      <c r="E97" s="16" t="e">
        <f>IF($C97="B",VLOOKUP($A97,Bat!$A$4:$BD$2323,E$1,FALSE),VLOOKUP($A97,Pit!$A$4:$AZ$2261,E$2,FALSE))</f>
        <v>#N/A</v>
      </c>
      <c r="F97" s="16" t="e">
        <f>IF($C97="B",VLOOKUP($A97,Bat!$A$4:$BD$2323,F$1,FALSE),VLOOKUP($A97,Pit!$A$4:$AZ$2261,F$2,FALSE))</f>
        <v>#N/A</v>
      </c>
      <c r="G97" s="16" t="e">
        <f>IF($C97="B",VLOOKUP($A97,Bat!$A$4:$BD$2323,G$1,FALSE),VLOOKUP($A97,Pit!$A$4:$AZ$2261,G$2,FALSE))</f>
        <v>#N/A</v>
      </c>
      <c r="H97" s="16" t="e">
        <f>IF($C97="B",VLOOKUP($A97,Bat!$A$4:$BD$2323,H$1,FALSE),VLOOKUP($A97,Pit!$A$4:$AZ$2261,H$2,FALSE))</f>
        <v>#N/A</v>
      </c>
      <c r="I97" s="16" t="e">
        <f>IF($C97="B",VLOOKUP($A97,Bat!$A$4:$BD$2323,I$1,FALSE),VLOOKUP($A97,Pit!$A$4:$AZ$2261,I$2,FALSE))</f>
        <v>#N/A</v>
      </c>
      <c r="J97" s="16" t="e">
        <f>IF($C97="B",VLOOKUP($A97,Bat!$A$4:$BD$2323,J$1,FALSE),VLOOKUP($A97,Pit!$A$4:$AZ$2261,J$2,FALSE))</f>
        <v>#N/A</v>
      </c>
      <c r="K97" s="17" t="e">
        <f>IF($C97="B",VLOOKUP($A97,Bat!$A$4:$BD$2323,K$1,FALSE),VLOOKUP($A97,Pit!$A$4:$AZ$2261,K$2,FALSE))</f>
        <v>#N/A</v>
      </c>
      <c r="L97" s="16" t="e">
        <f>IF($C97="B",VLOOKUP($A97,Bat!$A$4:$BD$2323,L$1,FALSE),VLOOKUP($A97,Pit!$A$4:$AZ$2261,L$2,FALSE))</f>
        <v>#N/A</v>
      </c>
      <c r="M97" s="16" t="e">
        <f>IF($C97="B",VLOOKUP($A97,Bat!$A$4:$BD$2323,M$1,FALSE),VLOOKUP($A97,Pit!$A$4:$AZ$2261,M$2,FALSE))</f>
        <v>#N/A</v>
      </c>
      <c r="N97" s="16" t="e">
        <f>IF($C97="B",VLOOKUP($A97,Bat!$A$4:$BD$2323,N$1,FALSE),VLOOKUP($A97,Pit!$A$4:$AZ$2261,N$2,FALSE))</f>
        <v>#N/A</v>
      </c>
      <c r="O97" s="16" t="e">
        <f>IF($C97="B",VLOOKUP($A97,Bat!$A$4:$BD$2323,O$1,FALSE),VLOOKUP($A97,Pit!$A$4:$AZ$2261,O$2,FALSE))</f>
        <v>#N/A</v>
      </c>
      <c r="P97" s="17" t="e">
        <f>IF($C97="B",VLOOKUP($A97,Bat!$A$4:$BD$2323,P$1,FALSE),VLOOKUP($A97,Pit!$A$4:$AZ$2261,P$2,FALSE))</f>
        <v>#N/A</v>
      </c>
      <c r="Q97" s="18" t="e">
        <f>IF($C97="B",VLOOKUP($A97,Bat!$A$4:$BD$2323,Q$1,FALSE),VLOOKUP($A97,Pit!$A$4:$AZ$2261,Q$2,FALSE))</f>
        <v>#N/A</v>
      </c>
      <c r="R97" s="19" t="e">
        <f>IF($C97="B",VLOOKUP($A97,Bat!$A$4:$BD$2323,R$1,FALSE),VLOOKUP($A97,Pit!$A$4:$AZ$2261,R$2,FALSE))</f>
        <v>#N/A</v>
      </c>
      <c r="S97" s="20" t="e">
        <f>IF($C97="B",VLOOKUP($A97,Bat!$A$4:$BD$2323,S$1,FALSE),VLOOKUP($A97,Pit!$A$4:$AZ$2261,S$2,FALSE))</f>
        <v>#N/A</v>
      </c>
      <c r="T97" s="17" t="e">
        <f>IF(S97="Slot","",VLOOKUP(IF($C97="B",VLOOKUP($A97,Bat!$A$4:$AT$2323,T$1,FALSE),VLOOKUP($A97,Pit!$A$4:$BD$2261,T$2,FALSE)),COND!$A$34:$B$40,2,FALSE))</f>
        <v>#N/A</v>
      </c>
      <c r="U97" s="21" t="e">
        <f>IF($C97="B",VLOOKUP($A97,Bat!$A$4:$AR$1287,44,FALSE),VLOOKUP($A97,Pit!$A$4:$BB$1239,54,FALSE))</f>
        <v>#N/A</v>
      </c>
      <c r="W97" s="21" t="e">
        <f t="shared" si="6"/>
        <v>#N/A</v>
      </c>
      <c r="X97" s="22" t="e">
        <f t="shared" si="7"/>
        <v>#N/A</v>
      </c>
      <c r="Y97" s="16" t="str">
        <f>IF(ISERROR(VLOOKUP($E97&amp;$F97,Results!$A$2:$G$413,Y$1,FALSE)),"",VLOOKUP($E97&amp;$F97,Results!$A$2:$G$413,Y$1,FALSE))</f>
        <v/>
      </c>
      <c r="Z97" s="16" t="str">
        <f>IF(ISERROR(VLOOKUP($E97&amp;$F97,Results!$A$2:$G$413,Z$1,FALSE)),"",VLOOKUP($E97&amp;$F97,Results!$A$2:$G$413,Z$1,FALSE))</f>
        <v/>
      </c>
      <c r="AA97" s="16" t="str">
        <f>IF(ISERROR(VLOOKUP($E97&amp;$F97,Results!$A$2:$G$413,AA$1,FALSE)),"",VLOOKUP($E97&amp;$F97,Results!$A$2:$G$413,AA$1,FALSE))</f>
        <v/>
      </c>
      <c r="AB97" s="16" t="str">
        <f>IF(ISERROR(VLOOKUP($E97&amp;$F97,Results!$A$2:$G$413,AB$1,FALSE)),"",VLOOKUP($E97&amp;$F97,Results!$A$2:$G$413,AB$1,FALSE))</f>
        <v/>
      </c>
      <c r="AC97" s="16"/>
      <c r="AD97" s="20" t="str">
        <f>IF(ISERROR(VLOOKUP($AB97&amp;"-"&amp;$F97,Bonuses!$B$1:$G$1000,4,FALSE)),"",INT(VLOOKUP($AB97&amp;"-"&amp;$F97,Bonuses!$B$1:$G$1000,4,FALSE)))</f>
        <v/>
      </c>
      <c r="AE97" s="16" t="str">
        <f>IF(ISERROR(VLOOKUP($AB97&amp;"-"&amp;$F97,Bonuses!$B$1:$G$1000,5,FALSE)),"",IF(VLOOKUP($AB97&amp;"-"&amp;$F97,Bonuses!$B$1:$G$1000,5,FALSE)="","",VLOOKUP($AB97&amp;"-"&amp;$F97,Bonuses!$B$1:$G$1000,6,FALSE)&amp;" yrs, "&amp;VLOOKUP($AB97&amp;"-"&amp;$F97,Bonuses!$B$1:$G$1000,5,FALSE)))</f>
        <v/>
      </c>
    </row>
    <row r="98" spans="1:31" s="21" customFormat="1">
      <c r="A98" s="21" t="s">
        <v>977</v>
      </c>
      <c r="B98" s="21">
        <f t="shared" si="4"/>
        <v>1</v>
      </c>
      <c r="C98" s="21" t="str">
        <f t="shared" si="5"/>
        <v>B</v>
      </c>
      <c r="D98" s="17">
        <f>IF($C98="B",VLOOKUP($A98,Bat!$A$4:$BD$2323,D$1,FALSE),VLOOKUP($A98,Pit!$A$4:$AZ$2261,D$2,FALSE))</f>
        <v>6094</v>
      </c>
      <c r="E98" s="16" t="str">
        <f>IF($C98="B",VLOOKUP($A98,Bat!$A$4:$BD$2323,E$1,FALSE),VLOOKUP($A98,Pit!$A$4:$AZ$2261,E$2,FALSE))</f>
        <v>1B</v>
      </c>
      <c r="F98" s="16" t="str">
        <f>IF($C98="B",VLOOKUP($A98,Bat!$A$4:$BD$2323,F$1,FALSE),VLOOKUP($A98,Pit!$A$4:$AZ$2261,F$2,FALSE))</f>
        <v>Billy Mills</v>
      </c>
      <c r="G98" s="16">
        <f>IF($C98="B",VLOOKUP($A98,Bat!$A$4:$BD$2323,G$1,FALSE),VLOOKUP($A98,Pit!$A$4:$AZ$2261,G$2,FALSE))</f>
        <v>21</v>
      </c>
      <c r="H98" s="16" t="str">
        <f>IF($C98="B",VLOOKUP($A98,Bat!$A$4:$BD$2323,H$1,FALSE),VLOOKUP($A98,Pit!$A$4:$AZ$2261,H$2,FALSE))</f>
        <v>L</v>
      </c>
      <c r="I98" s="16" t="str">
        <f>IF($C98="B",VLOOKUP($A98,Bat!$A$4:$BD$2323,I$1,FALSE),VLOOKUP($A98,Pit!$A$4:$AZ$2261,I$2,FALSE))</f>
        <v>L</v>
      </c>
      <c r="J98" s="16" t="str">
        <f>IF($C98="B",VLOOKUP($A98,Bat!$A$4:$BD$2323,J$1,FALSE),VLOOKUP($A98,Pit!$A$4:$AZ$2261,J$2,FALSE))</f>
        <v>Low</v>
      </c>
      <c r="K98" s="17" t="str">
        <f>IF($C98="B",VLOOKUP($A98,Bat!$A$4:$BD$2323,K$1,FALSE),VLOOKUP($A98,Pit!$A$4:$AZ$2261,K$2,FALSE))</f>
        <v>Normal</v>
      </c>
      <c r="L98" s="16">
        <f>IF($C98="B",VLOOKUP($A98,Bat!$A$4:$BD$2323,L$1,FALSE),VLOOKUP($A98,Pit!$A$4:$AZ$2261,L$2,FALSE))</f>
        <v>5</v>
      </c>
      <c r="M98" s="16">
        <f>IF($C98="B",VLOOKUP($A98,Bat!$A$4:$BD$2323,M$1,FALSE),VLOOKUP($A98,Pit!$A$4:$AZ$2261,M$2,FALSE))</f>
        <v>5</v>
      </c>
      <c r="N98" s="16">
        <f>IF($C98="B",VLOOKUP($A98,Bat!$A$4:$BD$2323,N$1,FALSE),VLOOKUP($A98,Pit!$A$4:$AZ$2261,N$2,FALSE))</f>
        <v>5</v>
      </c>
      <c r="O98" s="16">
        <f>IF($C98="B",VLOOKUP($A98,Bat!$A$4:$BD$2323,O$1,FALSE),VLOOKUP($A98,Pit!$A$4:$AZ$2261,O$2,FALSE))</f>
        <v>5</v>
      </c>
      <c r="P98" s="17">
        <f>IF($C98="B",VLOOKUP($A98,Bat!$A$4:$BD$2323,P$1,FALSE),VLOOKUP($A98,Pit!$A$4:$AZ$2261,P$2,FALSE))</f>
        <v>3</v>
      </c>
      <c r="Q98" s="18">
        <f>IF($C98="B",VLOOKUP($A98,Bat!$A$4:$BD$2323,Q$1,FALSE),VLOOKUP($A98,Pit!$A$4:$AZ$2261,Q$2,FALSE))</f>
        <v>12.003833333626327</v>
      </c>
      <c r="R98" s="19">
        <f>IF($C98="B",VLOOKUP($A98,Bat!$A$4:$BD$2323,R$1,FALSE),VLOOKUP($A98,Pit!$A$4:$AZ$2261,R$2,FALSE))</f>
        <v>0.18578593320822287</v>
      </c>
      <c r="S98" s="20" t="str">
        <f>IF($C98="B",VLOOKUP($A98,Bat!$A$4:$BD$2323,S$1,FALSE),VLOOKUP($A98,Pit!$A$4:$AZ$2261,S$2,FALSE))</f>
        <v>Slot</v>
      </c>
      <c r="T98" s="17" t="str">
        <f>IF(S98="Slot","",VLOOKUP(IF($C98="B",VLOOKUP($A98,Bat!$A$4:$AT$2323,T$1,FALSE),VLOOKUP($A98,Pit!$A$4:$BD$2261,T$2,FALSE)),COND!$A$34:$B$40,2,FALSE))</f>
        <v/>
      </c>
      <c r="U98" s="21" t="str">
        <f>IF($C98="B",VLOOKUP($A98,Bat!$A$4:$AR$1287,44,FALSE),VLOOKUP($A98,Pit!$A$4:$BB$1239,54,FALSE))</f>
        <v/>
      </c>
      <c r="W98" s="21" t="str">
        <f t="shared" si="6"/>
        <v/>
      </c>
      <c r="X98" s="22" t="e">
        <f t="shared" si="7"/>
        <v>#N/A</v>
      </c>
      <c r="Y98" s="16" t="str">
        <f>IF(ISERROR(VLOOKUP($E98&amp;$F98,Results!$A$2:$G$413,Y$1,FALSE)),"",VLOOKUP($E98&amp;$F98,Results!$A$2:$G$413,Y$1,FALSE))</f>
        <v/>
      </c>
      <c r="Z98" s="16" t="str">
        <f>IF(ISERROR(VLOOKUP($E98&amp;$F98,Results!$A$2:$G$413,Z$1,FALSE)),"",VLOOKUP($E98&amp;$F98,Results!$A$2:$G$413,Z$1,FALSE))</f>
        <v/>
      </c>
      <c r="AA98" s="16" t="str">
        <f>IF(ISERROR(VLOOKUP($E98&amp;$F98,Results!$A$2:$G$413,AA$1,FALSE)),"",VLOOKUP($E98&amp;$F98,Results!$A$2:$G$413,AA$1,FALSE))</f>
        <v/>
      </c>
      <c r="AB98" s="16" t="str">
        <f>IF(ISERROR(VLOOKUP($E98&amp;$F98,Results!$A$2:$G$413,AB$1,FALSE)),"",VLOOKUP($E98&amp;$F98,Results!$A$2:$G$413,AB$1,FALSE))</f>
        <v/>
      </c>
      <c r="AC98" s="16"/>
      <c r="AD98" s="20" t="str">
        <f>IF(ISERROR(VLOOKUP($AB98&amp;"-"&amp;$F98,Bonuses!$B$1:$G$1000,4,FALSE)),"",INT(VLOOKUP($AB98&amp;"-"&amp;$F98,Bonuses!$B$1:$G$1000,4,FALSE)))</f>
        <v/>
      </c>
      <c r="AE98" s="16" t="str">
        <f>IF(ISERROR(VLOOKUP($AB98&amp;"-"&amp;$F98,Bonuses!$B$1:$G$1000,5,FALSE)),"",IF(VLOOKUP($AB98&amp;"-"&amp;$F98,Bonuses!$B$1:$G$1000,5,FALSE)="","",VLOOKUP($AB98&amp;"-"&amp;$F98,Bonuses!$B$1:$G$1000,6,FALSE)&amp;" yrs, "&amp;VLOOKUP($AB98&amp;"-"&amp;$F98,Bonuses!$B$1:$G$1000,5,FALSE)))</f>
        <v/>
      </c>
    </row>
    <row r="99" spans="1:31" s="21" customFormat="1">
      <c r="A99" s="21" t="s">
        <v>973</v>
      </c>
      <c r="B99" s="21">
        <f t="shared" si="4"/>
        <v>1</v>
      </c>
      <c r="C99" s="21" t="str">
        <f t="shared" si="5"/>
        <v>B</v>
      </c>
      <c r="D99" s="17" t="e">
        <f>IF($C99="B",VLOOKUP($A99,Bat!$A$4:$BD$2323,D$1,FALSE),VLOOKUP($A99,Pit!$A$4:$AZ$2261,D$2,FALSE))</f>
        <v>#N/A</v>
      </c>
      <c r="E99" s="16" t="e">
        <f>IF($C99="B",VLOOKUP($A99,Bat!$A$4:$BD$2323,E$1,FALSE),VLOOKUP($A99,Pit!$A$4:$AZ$2261,E$2,FALSE))</f>
        <v>#N/A</v>
      </c>
      <c r="F99" s="16" t="e">
        <f>IF($C99="B",VLOOKUP($A99,Bat!$A$4:$BD$2323,F$1,FALSE),VLOOKUP($A99,Pit!$A$4:$AZ$2261,F$2,FALSE))</f>
        <v>#N/A</v>
      </c>
      <c r="G99" s="16" t="e">
        <f>IF($C99="B",VLOOKUP($A99,Bat!$A$4:$BD$2323,G$1,FALSE),VLOOKUP($A99,Pit!$A$4:$AZ$2261,G$2,FALSE))</f>
        <v>#N/A</v>
      </c>
      <c r="H99" s="16" t="e">
        <f>IF($C99="B",VLOOKUP($A99,Bat!$A$4:$BD$2323,H$1,FALSE),VLOOKUP($A99,Pit!$A$4:$AZ$2261,H$2,FALSE))</f>
        <v>#N/A</v>
      </c>
      <c r="I99" s="16" t="e">
        <f>IF($C99="B",VLOOKUP($A99,Bat!$A$4:$BD$2323,I$1,FALSE),VLOOKUP($A99,Pit!$A$4:$AZ$2261,I$2,FALSE))</f>
        <v>#N/A</v>
      </c>
      <c r="J99" s="16" t="e">
        <f>IF($C99="B",VLOOKUP($A99,Bat!$A$4:$BD$2323,J$1,FALSE),VLOOKUP($A99,Pit!$A$4:$AZ$2261,J$2,FALSE))</f>
        <v>#N/A</v>
      </c>
      <c r="K99" s="17" t="e">
        <f>IF($C99="B",VLOOKUP($A99,Bat!$A$4:$BD$2323,K$1,FALSE),VLOOKUP($A99,Pit!$A$4:$AZ$2261,K$2,FALSE))</f>
        <v>#N/A</v>
      </c>
      <c r="L99" s="16" t="e">
        <f>IF($C99="B",VLOOKUP($A99,Bat!$A$4:$BD$2323,L$1,FALSE),VLOOKUP($A99,Pit!$A$4:$AZ$2261,L$2,FALSE))</f>
        <v>#N/A</v>
      </c>
      <c r="M99" s="16" t="e">
        <f>IF($C99="B",VLOOKUP($A99,Bat!$A$4:$BD$2323,M$1,FALSE),VLOOKUP($A99,Pit!$A$4:$AZ$2261,M$2,FALSE))</f>
        <v>#N/A</v>
      </c>
      <c r="N99" s="16" t="e">
        <f>IF($C99="B",VLOOKUP($A99,Bat!$A$4:$BD$2323,N$1,FALSE),VLOOKUP($A99,Pit!$A$4:$AZ$2261,N$2,FALSE))</f>
        <v>#N/A</v>
      </c>
      <c r="O99" s="16" t="e">
        <f>IF($C99="B",VLOOKUP($A99,Bat!$A$4:$BD$2323,O$1,FALSE),VLOOKUP($A99,Pit!$A$4:$AZ$2261,O$2,FALSE))</f>
        <v>#N/A</v>
      </c>
      <c r="P99" s="17" t="e">
        <f>IF($C99="B",VLOOKUP($A99,Bat!$A$4:$BD$2323,P$1,FALSE),VLOOKUP($A99,Pit!$A$4:$AZ$2261,P$2,FALSE))</f>
        <v>#N/A</v>
      </c>
      <c r="Q99" s="18" t="e">
        <f>IF($C99="B",VLOOKUP($A99,Bat!$A$4:$BD$2323,Q$1,FALSE),VLOOKUP($A99,Pit!$A$4:$AZ$2261,Q$2,FALSE))</f>
        <v>#N/A</v>
      </c>
      <c r="R99" s="19" t="e">
        <f>IF($C99="B",VLOOKUP($A99,Bat!$A$4:$BD$2323,R$1,FALSE),VLOOKUP($A99,Pit!$A$4:$AZ$2261,R$2,FALSE))</f>
        <v>#N/A</v>
      </c>
      <c r="S99" s="20" t="e">
        <f>IF($C99="B",VLOOKUP($A99,Bat!$A$4:$BD$2323,S$1,FALSE),VLOOKUP($A99,Pit!$A$4:$AZ$2261,S$2,FALSE))</f>
        <v>#N/A</v>
      </c>
      <c r="T99" s="17" t="e">
        <f>IF(S99="Slot","",VLOOKUP(IF($C99="B",VLOOKUP($A99,Bat!$A$4:$AT$2323,T$1,FALSE),VLOOKUP($A99,Pit!$A$4:$BD$2261,T$2,FALSE)),COND!$A$34:$B$40,2,FALSE))</f>
        <v>#N/A</v>
      </c>
      <c r="U99" s="21" t="e">
        <f>IF($C99="B",VLOOKUP($A99,Bat!$A$4:$AR$1287,44,FALSE),VLOOKUP($A99,Pit!$A$4:$BB$1239,54,FALSE))</f>
        <v>#N/A</v>
      </c>
      <c r="W99" s="21" t="e">
        <f t="shared" si="6"/>
        <v>#N/A</v>
      </c>
      <c r="X99" s="22" t="e">
        <f t="shared" si="7"/>
        <v>#N/A</v>
      </c>
      <c r="Y99" s="16" t="str">
        <f>IF(ISERROR(VLOOKUP($E99&amp;$F99,Results!$A$2:$G$413,Y$1,FALSE)),"",VLOOKUP($E99&amp;$F99,Results!$A$2:$G$413,Y$1,FALSE))</f>
        <v/>
      </c>
      <c r="Z99" s="16" t="str">
        <f>IF(ISERROR(VLOOKUP($E99&amp;$F99,Results!$A$2:$G$413,Z$1,FALSE)),"",VLOOKUP($E99&amp;$F99,Results!$A$2:$G$413,Z$1,FALSE))</f>
        <v/>
      </c>
      <c r="AA99" s="16" t="str">
        <f>IF(ISERROR(VLOOKUP($E99&amp;$F99,Results!$A$2:$G$413,AA$1,FALSE)),"",VLOOKUP($E99&amp;$F99,Results!$A$2:$G$413,AA$1,FALSE))</f>
        <v/>
      </c>
      <c r="AB99" s="16" t="str">
        <f>IF(ISERROR(VLOOKUP($E99&amp;$F99,Results!$A$2:$G$413,AB$1,FALSE)),"",VLOOKUP($E99&amp;$F99,Results!$A$2:$G$413,AB$1,FALSE))</f>
        <v/>
      </c>
      <c r="AC99" s="16"/>
      <c r="AD99" s="20" t="str">
        <f>IF(ISERROR(VLOOKUP($AB99&amp;"-"&amp;$F99,Bonuses!$B$1:$G$1000,4,FALSE)),"",INT(VLOOKUP($AB99&amp;"-"&amp;$F99,Bonuses!$B$1:$G$1000,4,FALSE)))</f>
        <v/>
      </c>
      <c r="AE99" s="16" t="str">
        <f>IF(ISERROR(VLOOKUP($AB99&amp;"-"&amp;$F99,Bonuses!$B$1:$G$1000,5,FALSE)),"",IF(VLOOKUP($AB99&amp;"-"&amp;$F99,Bonuses!$B$1:$G$1000,5,FALSE)="","",VLOOKUP($AB99&amp;"-"&amp;$F99,Bonuses!$B$1:$G$1000,6,FALSE)&amp;" yrs, "&amp;VLOOKUP($AB99&amp;"-"&amp;$F99,Bonuses!$B$1:$G$1000,5,FALSE)))</f>
        <v/>
      </c>
    </row>
    <row r="100" spans="1:31" s="21" customFormat="1">
      <c r="A100" s="21" t="s">
        <v>971</v>
      </c>
      <c r="B100" s="21">
        <f t="shared" si="4"/>
        <v>1</v>
      </c>
      <c r="C100" s="21" t="str">
        <f t="shared" si="5"/>
        <v>B</v>
      </c>
      <c r="D100" s="17" t="e">
        <f>IF($C100="B",VLOOKUP($A100,Bat!$A$4:$BD$2323,D$1,FALSE),VLOOKUP($A100,Pit!$A$4:$AZ$2261,D$2,FALSE))</f>
        <v>#N/A</v>
      </c>
      <c r="E100" s="16" t="str">
        <f>IF($C100="B",VLOOKUP($A100,Bat!$A$4:$BD$2323,E$1,FALSE),VLOOKUP($A100,Pit!$A$4:$AZ$2261,E$2,FALSE))</f>
        <v>RF</v>
      </c>
      <c r="F100" s="16" t="str">
        <f>IF($C100="B",VLOOKUP($A100,Bat!$A$4:$BD$2323,F$1,FALSE),VLOOKUP($A100,Pit!$A$4:$AZ$2261,F$2,FALSE))</f>
        <v>Juan Muñóz</v>
      </c>
      <c r="G100" s="16">
        <f>IF($C100="B",VLOOKUP($A100,Bat!$A$4:$BD$2323,G$1,FALSE),VLOOKUP($A100,Pit!$A$4:$AZ$2261,G$2,FALSE))</f>
        <v>18</v>
      </c>
      <c r="H100" s="16" t="str">
        <f>IF($C100="B",VLOOKUP($A100,Bat!$A$4:$BD$2323,H$1,FALSE),VLOOKUP($A100,Pit!$A$4:$AZ$2261,H$2,FALSE))</f>
        <v>L</v>
      </c>
      <c r="I100" s="16" t="str">
        <f>IF($C100="B",VLOOKUP($A100,Bat!$A$4:$BD$2323,I$1,FALSE),VLOOKUP($A100,Pit!$A$4:$AZ$2261,I$2,FALSE))</f>
        <v>L</v>
      </c>
      <c r="J100" s="16" t="str">
        <f>IF($C100="B",VLOOKUP($A100,Bat!$A$4:$BD$2323,J$1,FALSE),VLOOKUP($A100,Pit!$A$4:$AZ$2261,J$2,FALSE))</f>
        <v>Low</v>
      </c>
      <c r="K100" s="17" t="str">
        <f>IF($C100="B",VLOOKUP($A100,Bat!$A$4:$BD$2323,K$1,FALSE),VLOOKUP($A100,Pit!$A$4:$AZ$2261,K$2,FALSE))</f>
        <v>Low</v>
      </c>
      <c r="L100" s="16">
        <f>IF($C100="B",VLOOKUP($A100,Bat!$A$4:$BD$2323,L$1,FALSE),VLOOKUP($A100,Pit!$A$4:$AZ$2261,L$2,FALSE))</f>
        <v>5</v>
      </c>
      <c r="M100" s="16">
        <f>IF($C100="B",VLOOKUP($A100,Bat!$A$4:$BD$2323,M$1,FALSE),VLOOKUP($A100,Pit!$A$4:$AZ$2261,M$2,FALSE))</f>
        <v>5</v>
      </c>
      <c r="N100" s="16">
        <f>IF($C100="B",VLOOKUP($A100,Bat!$A$4:$BD$2323,N$1,FALSE),VLOOKUP($A100,Pit!$A$4:$AZ$2261,N$2,FALSE))</f>
        <v>6</v>
      </c>
      <c r="O100" s="16">
        <f>IF($C100="B",VLOOKUP($A100,Bat!$A$4:$BD$2323,O$1,FALSE),VLOOKUP($A100,Pit!$A$4:$AZ$2261,O$2,FALSE))</f>
        <v>3</v>
      </c>
      <c r="P100" s="17">
        <f>IF($C100="B",VLOOKUP($A100,Bat!$A$4:$BD$2323,P$1,FALSE),VLOOKUP($A100,Pit!$A$4:$AZ$2261,P$2,FALSE))</f>
        <v>4</v>
      </c>
      <c r="Q100" s="18">
        <f>IF($C100="B",VLOOKUP($A100,Bat!$A$4:$BD$2323,Q$1,FALSE),VLOOKUP($A100,Pit!$A$4:$AZ$2261,Q$2,FALSE))</f>
        <v>11.923640234924905</v>
      </c>
      <c r="R100" s="19">
        <f>IF($C100="B",VLOOKUP($A100,Bat!$A$4:$BD$2323,R$1,FALSE),VLOOKUP($A100,Pit!$A$4:$AZ$2261,R$2,FALSE))</f>
        <v>0.17464521500019689</v>
      </c>
      <c r="S100" s="20" t="str">
        <f>IF($C100="B",VLOOKUP($A100,Bat!$A$4:$BD$2323,S$1,FALSE),VLOOKUP($A100,Pit!$A$4:$AZ$2261,S$2,FALSE))</f>
        <v>Slot</v>
      </c>
      <c r="T100" s="17" t="str">
        <f>IF(S100="Slot","",VLOOKUP(IF($C100="B",VLOOKUP($A100,Bat!$A$4:$AT$2323,T$1,FALSE),VLOOKUP($A100,Pit!$A$4:$BD$2261,T$2,FALSE)),COND!$A$34:$B$40,2,FALSE))</f>
        <v/>
      </c>
      <c r="U100" s="21" t="str">
        <f>IF($C100="B",VLOOKUP($A100,Bat!$A$4:$AR$1287,44,FALSE),VLOOKUP($A100,Pit!$A$4:$BB$1239,54,FALSE))</f>
        <v/>
      </c>
      <c r="W100" s="21" t="str">
        <f t="shared" si="6"/>
        <v/>
      </c>
      <c r="X100" s="22" t="e">
        <f t="shared" si="7"/>
        <v>#N/A</v>
      </c>
      <c r="Y100" s="16" t="str">
        <f>IF(ISERROR(VLOOKUP($E100&amp;$F100,Results!$A$2:$G$413,Y$1,FALSE)),"",VLOOKUP($E100&amp;$F100,Results!$A$2:$G$413,Y$1,FALSE))</f>
        <v/>
      </c>
      <c r="Z100" s="16" t="str">
        <f>IF(ISERROR(VLOOKUP($E100&amp;$F100,Results!$A$2:$G$413,Z$1,FALSE)),"",VLOOKUP($E100&amp;$F100,Results!$A$2:$G$413,Z$1,FALSE))</f>
        <v/>
      </c>
      <c r="AA100" s="16" t="str">
        <f>IF(ISERROR(VLOOKUP($E100&amp;$F100,Results!$A$2:$G$413,AA$1,FALSE)),"",VLOOKUP($E100&amp;$F100,Results!$A$2:$G$413,AA$1,FALSE))</f>
        <v/>
      </c>
      <c r="AB100" s="16" t="str">
        <f>IF(ISERROR(VLOOKUP($E100&amp;$F100,Results!$A$2:$G$413,AB$1,FALSE)),"",VLOOKUP($E100&amp;$F100,Results!$A$2:$G$413,AB$1,FALSE))</f>
        <v/>
      </c>
      <c r="AC100" s="16"/>
      <c r="AD100" s="20" t="str">
        <f>IF(ISERROR(VLOOKUP($AB100&amp;"-"&amp;$F100,Bonuses!$B$1:$G$1000,4,FALSE)),"",INT(VLOOKUP($AB100&amp;"-"&amp;$F100,Bonuses!$B$1:$G$1000,4,FALSE)))</f>
        <v/>
      </c>
      <c r="AE100" s="16" t="str">
        <f>IF(ISERROR(VLOOKUP($AB100&amp;"-"&amp;$F100,Bonuses!$B$1:$G$1000,5,FALSE)),"",IF(VLOOKUP($AB100&amp;"-"&amp;$F100,Bonuses!$B$1:$G$1000,5,FALSE)="","",VLOOKUP($AB100&amp;"-"&amp;$F100,Bonuses!$B$1:$G$1000,6,FALSE)&amp;" yrs, "&amp;VLOOKUP($AB100&amp;"-"&amp;$F100,Bonuses!$B$1:$G$1000,5,FALSE)))</f>
        <v/>
      </c>
    </row>
    <row r="101" spans="1:31" s="21" customFormat="1">
      <c r="A101" s="21" t="s">
        <v>958</v>
      </c>
      <c r="B101" s="21">
        <f t="shared" si="4"/>
        <v>1</v>
      </c>
      <c r="C101" s="21" t="str">
        <f t="shared" si="5"/>
        <v>B</v>
      </c>
      <c r="D101" s="17">
        <f>IF($C101="B",VLOOKUP($A101,Bat!$A$4:$BD$2323,D$1,FALSE),VLOOKUP($A101,Pit!$A$4:$AZ$2261,D$2,FALSE))</f>
        <v>3080</v>
      </c>
      <c r="E101" s="16" t="str">
        <f>IF($C101="B",VLOOKUP($A101,Bat!$A$4:$BD$2323,E$1,FALSE),VLOOKUP($A101,Pit!$A$4:$AZ$2261,E$2,FALSE))</f>
        <v>SS</v>
      </c>
      <c r="F101" s="16" t="str">
        <f>IF($C101="B",VLOOKUP($A101,Bat!$A$4:$BD$2323,F$1,FALSE),VLOOKUP($A101,Pit!$A$4:$AZ$2261,F$2,FALSE))</f>
        <v>Joe Lane</v>
      </c>
      <c r="G101" s="16">
        <f>IF($C101="B",VLOOKUP($A101,Bat!$A$4:$BD$2323,G$1,FALSE),VLOOKUP($A101,Pit!$A$4:$AZ$2261,G$2,FALSE))</f>
        <v>21</v>
      </c>
      <c r="H101" s="16" t="str">
        <f>IF($C101="B",VLOOKUP($A101,Bat!$A$4:$BD$2323,H$1,FALSE),VLOOKUP($A101,Pit!$A$4:$AZ$2261,H$2,FALSE))</f>
        <v>R</v>
      </c>
      <c r="I101" s="16" t="str">
        <f>IF($C101="B",VLOOKUP($A101,Bat!$A$4:$BD$2323,I$1,FALSE),VLOOKUP($A101,Pit!$A$4:$AZ$2261,I$2,FALSE))</f>
        <v>R</v>
      </c>
      <c r="J101" s="16" t="str">
        <f>IF($C101="B",VLOOKUP($A101,Bat!$A$4:$BD$2323,J$1,FALSE),VLOOKUP($A101,Pit!$A$4:$AZ$2261,J$2,FALSE))</f>
        <v>High</v>
      </c>
      <c r="K101" s="17" t="str">
        <f>IF($C101="B",VLOOKUP($A101,Bat!$A$4:$BD$2323,K$1,FALSE),VLOOKUP($A101,Pit!$A$4:$AZ$2261,K$2,FALSE))</f>
        <v>Normal</v>
      </c>
      <c r="L101" s="16">
        <f>IF($C101="B",VLOOKUP($A101,Bat!$A$4:$BD$2323,L$1,FALSE),VLOOKUP($A101,Pit!$A$4:$AZ$2261,L$2,FALSE))</f>
        <v>5</v>
      </c>
      <c r="M101" s="16">
        <f>IF($C101="B",VLOOKUP($A101,Bat!$A$4:$BD$2323,M$1,FALSE),VLOOKUP($A101,Pit!$A$4:$AZ$2261,M$2,FALSE))</f>
        <v>5</v>
      </c>
      <c r="N101" s="16">
        <f>IF($C101="B",VLOOKUP($A101,Bat!$A$4:$BD$2323,N$1,FALSE),VLOOKUP($A101,Pit!$A$4:$AZ$2261,N$2,FALSE))</f>
        <v>2</v>
      </c>
      <c r="O101" s="16">
        <f>IF($C101="B",VLOOKUP($A101,Bat!$A$4:$BD$2323,O$1,FALSE),VLOOKUP($A101,Pit!$A$4:$AZ$2261,O$2,FALSE))</f>
        <v>5</v>
      </c>
      <c r="P101" s="17">
        <f>IF($C101="B",VLOOKUP($A101,Bat!$A$4:$BD$2323,P$1,FALSE),VLOOKUP($A101,Pit!$A$4:$AZ$2261,P$2,FALSE))</f>
        <v>5</v>
      </c>
      <c r="Q101" s="18">
        <f>IF($C101="B",VLOOKUP($A101,Bat!$A$4:$BD$2323,Q$1,FALSE),VLOOKUP($A101,Pit!$A$4:$AZ$2261,Q$2,FALSE))</f>
        <v>11.778914874611674</v>
      </c>
      <c r="R101" s="19">
        <f>IF($C101="B",VLOOKUP($A101,Bat!$A$4:$BD$2323,R$1,FALSE),VLOOKUP($A101,Pit!$A$4:$AZ$2261,R$2,FALSE))</f>
        <v>0.154539439279921</v>
      </c>
      <c r="S101" s="20" t="str">
        <f>IF($C101="B",VLOOKUP($A101,Bat!$A$4:$BD$2323,S$1,FALSE),VLOOKUP($A101,Pit!$A$4:$AZ$2261,S$2,FALSE))</f>
        <v>Slot</v>
      </c>
      <c r="T101" s="17" t="str">
        <f>IF(S101="Slot","",VLOOKUP(IF($C101="B",VLOOKUP($A101,Bat!$A$4:$AT$2323,T$1,FALSE),VLOOKUP($A101,Pit!$A$4:$BD$2261,T$2,FALSE)),COND!$A$34:$B$40,2,FALSE))</f>
        <v/>
      </c>
      <c r="U101" s="21" t="str">
        <f>IF($C101="B",VLOOKUP($A101,Bat!$A$4:$AR$1287,44,FALSE),VLOOKUP($A101,Pit!$A$4:$BB$1239,54,FALSE))</f>
        <v/>
      </c>
      <c r="W101" s="21" t="str">
        <f t="shared" si="6"/>
        <v/>
      </c>
      <c r="X101" s="22" t="e">
        <f t="shared" si="7"/>
        <v>#N/A</v>
      </c>
      <c r="Y101" s="16" t="str">
        <f>IF(ISERROR(VLOOKUP($E101&amp;$F101,Results!$A$2:$G$413,Y$1,FALSE)),"",VLOOKUP($E101&amp;$F101,Results!$A$2:$G$413,Y$1,FALSE))</f>
        <v/>
      </c>
      <c r="Z101" s="16" t="str">
        <f>IF(ISERROR(VLOOKUP($E101&amp;$F101,Results!$A$2:$G$413,Z$1,FALSE)),"",VLOOKUP($E101&amp;$F101,Results!$A$2:$G$413,Z$1,FALSE))</f>
        <v/>
      </c>
      <c r="AA101" s="16" t="str">
        <f>IF(ISERROR(VLOOKUP($E101&amp;$F101,Results!$A$2:$G$413,AA$1,FALSE)),"",VLOOKUP($E101&amp;$F101,Results!$A$2:$G$413,AA$1,FALSE))</f>
        <v/>
      </c>
      <c r="AB101" s="16" t="str">
        <f>IF(ISERROR(VLOOKUP($E101&amp;$F101,Results!$A$2:$G$413,AB$1,FALSE)),"",VLOOKUP($E101&amp;$F101,Results!$A$2:$G$413,AB$1,FALSE))</f>
        <v/>
      </c>
      <c r="AC101" s="16"/>
      <c r="AD101" s="20" t="str">
        <f>IF(ISERROR(VLOOKUP($AB101&amp;"-"&amp;$F101,Bonuses!$B$1:$G$1000,4,FALSE)),"",INT(VLOOKUP($AB101&amp;"-"&amp;$F101,Bonuses!$B$1:$G$1000,4,FALSE)))</f>
        <v/>
      </c>
      <c r="AE101" s="16" t="str">
        <f>IF(ISERROR(VLOOKUP($AB101&amp;"-"&amp;$F101,Bonuses!$B$1:$G$1000,5,FALSE)),"",IF(VLOOKUP($AB101&amp;"-"&amp;$F101,Bonuses!$B$1:$G$1000,5,FALSE)="","",VLOOKUP($AB101&amp;"-"&amp;$F101,Bonuses!$B$1:$G$1000,6,FALSE)&amp;" yrs, "&amp;VLOOKUP($AB101&amp;"-"&amp;$F101,Bonuses!$B$1:$G$1000,5,FALSE)))</f>
        <v/>
      </c>
    </row>
    <row r="102" spans="1:31" s="21" customFormat="1">
      <c r="A102" s="21" t="s">
        <v>974</v>
      </c>
      <c r="B102" s="21">
        <f t="shared" si="4"/>
        <v>1</v>
      </c>
      <c r="C102" s="21" t="str">
        <f t="shared" si="5"/>
        <v>B</v>
      </c>
      <c r="D102" s="17">
        <f>IF($C102="B",VLOOKUP($A102,Bat!$A$4:$BD$2323,D$1,FALSE),VLOOKUP($A102,Pit!$A$4:$AZ$2261,D$2,FALSE))</f>
        <v>1808</v>
      </c>
      <c r="E102" s="16" t="str">
        <f>IF($C102="B",VLOOKUP($A102,Bat!$A$4:$BD$2323,E$1,FALSE),VLOOKUP($A102,Pit!$A$4:$AZ$2261,E$2,FALSE))</f>
        <v>RF</v>
      </c>
      <c r="F102" s="16" t="str">
        <f>IF($C102="B",VLOOKUP($A102,Bat!$A$4:$BD$2323,F$1,FALSE),VLOOKUP($A102,Pit!$A$4:$AZ$2261,F$2,FALSE))</f>
        <v>Joe Williams</v>
      </c>
      <c r="G102" s="16">
        <f>IF($C102="B",VLOOKUP($A102,Bat!$A$4:$BD$2323,G$1,FALSE),VLOOKUP($A102,Pit!$A$4:$AZ$2261,G$2,FALSE))</f>
        <v>18</v>
      </c>
      <c r="H102" s="16" t="str">
        <f>IF($C102="B",VLOOKUP($A102,Bat!$A$4:$BD$2323,H$1,FALSE),VLOOKUP($A102,Pit!$A$4:$AZ$2261,H$2,FALSE))</f>
        <v>L</v>
      </c>
      <c r="I102" s="16" t="str">
        <f>IF($C102="B",VLOOKUP($A102,Bat!$A$4:$BD$2323,I$1,FALSE),VLOOKUP($A102,Pit!$A$4:$AZ$2261,I$2,FALSE))</f>
        <v>L</v>
      </c>
      <c r="J102" s="16" t="str">
        <f>IF($C102="B",VLOOKUP($A102,Bat!$A$4:$BD$2323,J$1,FALSE),VLOOKUP($A102,Pit!$A$4:$AZ$2261,J$2,FALSE))</f>
        <v>Low</v>
      </c>
      <c r="K102" s="17" t="str">
        <f>IF($C102="B",VLOOKUP($A102,Bat!$A$4:$BD$2323,K$1,FALSE),VLOOKUP($A102,Pit!$A$4:$AZ$2261,K$2,FALSE))</f>
        <v>Low</v>
      </c>
      <c r="L102" s="16">
        <f>IF($C102="B",VLOOKUP($A102,Bat!$A$4:$BD$2323,L$1,FALSE),VLOOKUP($A102,Pit!$A$4:$AZ$2261,L$2,FALSE))</f>
        <v>5</v>
      </c>
      <c r="M102" s="16">
        <f>IF($C102="B",VLOOKUP($A102,Bat!$A$4:$BD$2323,M$1,FALSE),VLOOKUP($A102,Pit!$A$4:$AZ$2261,M$2,FALSE))</f>
        <v>5</v>
      </c>
      <c r="N102" s="16">
        <f>IF($C102="B",VLOOKUP($A102,Bat!$A$4:$BD$2323,N$1,FALSE),VLOOKUP($A102,Pit!$A$4:$AZ$2261,N$2,FALSE))</f>
        <v>3</v>
      </c>
      <c r="O102" s="16">
        <f>IF($C102="B",VLOOKUP($A102,Bat!$A$4:$BD$2323,O$1,FALSE),VLOOKUP($A102,Pit!$A$4:$AZ$2261,O$2,FALSE))</f>
        <v>5</v>
      </c>
      <c r="P102" s="17">
        <f>IF($C102="B",VLOOKUP($A102,Bat!$A$4:$BD$2323,P$1,FALSE),VLOOKUP($A102,Pit!$A$4:$AZ$2261,P$2,FALSE))</f>
        <v>5</v>
      </c>
      <c r="Q102" s="18">
        <f>IF($C102="B",VLOOKUP($A102,Bat!$A$4:$BD$2323,Q$1,FALSE),VLOOKUP($A102,Pit!$A$4:$AZ$2261,Q$2,FALSE))</f>
        <v>11.733318394766066</v>
      </c>
      <c r="R102" s="19">
        <f>IF($C102="B",VLOOKUP($A102,Bat!$A$4:$BD$2323,R$1,FALSE),VLOOKUP($A102,Pit!$A$4:$AZ$2261,R$2,FALSE))</f>
        <v>0.1482050097409256</v>
      </c>
      <c r="S102" s="20" t="str">
        <f>IF($C102="B",VLOOKUP($A102,Bat!$A$4:$BD$2323,S$1,FALSE),VLOOKUP($A102,Pit!$A$4:$AZ$2261,S$2,FALSE))</f>
        <v>Slot</v>
      </c>
      <c r="T102" s="17" t="str">
        <f>IF(S102="Slot","",VLOOKUP(IF($C102="B",VLOOKUP($A102,Bat!$A$4:$AT$2323,T$1,FALSE),VLOOKUP($A102,Pit!$A$4:$BD$2261,T$2,FALSE)),COND!$A$34:$B$40,2,FALSE))</f>
        <v/>
      </c>
      <c r="U102" s="21" t="str">
        <f>IF($C102="B",VLOOKUP($A102,Bat!$A$4:$AR$1287,44,FALSE),VLOOKUP($A102,Pit!$A$4:$BB$1239,54,FALSE))</f>
        <v/>
      </c>
      <c r="W102" s="21" t="str">
        <f t="shared" si="6"/>
        <v/>
      </c>
      <c r="X102" s="22" t="e">
        <f t="shared" si="7"/>
        <v>#N/A</v>
      </c>
      <c r="Y102" s="16" t="str">
        <f>IF(ISERROR(VLOOKUP($E102&amp;$F102,Results!$A$2:$G$413,Y$1,FALSE)),"",VLOOKUP($E102&amp;$F102,Results!$A$2:$G$413,Y$1,FALSE))</f>
        <v/>
      </c>
      <c r="Z102" s="16" t="str">
        <f>IF(ISERROR(VLOOKUP($E102&amp;$F102,Results!$A$2:$G$413,Z$1,FALSE)),"",VLOOKUP($E102&amp;$F102,Results!$A$2:$G$413,Z$1,FALSE))</f>
        <v/>
      </c>
      <c r="AA102" s="16" t="str">
        <f>IF(ISERROR(VLOOKUP($E102&amp;$F102,Results!$A$2:$G$413,AA$1,FALSE)),"",VLOOKUP($E102&amp;$F102,Results!$A$2:$G$413,AA$1,FALSE))</f>
        <v/>
      </c>
      <c r="AB102" s="16" t="str">
        <f>IF(ISERROR(VLOOKUP($E102&amp;$F102,Results!$A$2:$G$413,AB$1,FALSE)),"",VLOOKUP($E102&amp;$F102,Results!$A$2:$G$413,AB$1,FALSE))</f>
        <v/>
      </c>
      <c r="AC102" s="16"/>
      <c r="AD102" s="20" t="str">
        <f>IF(ISERROR(VLOOKUP($AB102&amp;"-"&amp;$F102,Bonuses!$B$1:$G$1000,4,FALSE)),"",INT(VLOOKUP($AB102&amp;"-"&amp;$F102,Bonuses!$B$1:$G$1000,4,FALSE)))</f>
        <v/>
      </c>
      <c r="AE102" s="16" t="str">
        <f>IF(ISERROR(VLOOKUP($AB102&amp;"-"&amp;$F102,Bonuses!$B$1:$G$1000,5,FALSE)),"",IF(VLOOKUP($AB102&amp;"-"&amp;$F102,Bonuses!$B$1:$G$1000,5,FALSE)="","",VLOOKUP($AB102&amp;"-"&amp;$F102,Bonuses!$B$1:$G$1000,6,FALSE)&amp;" yrs, "&amp;VLOOKUP($AB102&amp;"-"&amp;$F102,Bonuses!$B$1:$G$1000,5,FALSE)))</f>
        <v/>
      </c>
    </row>
    <row r="103" spans="1:31" s="21" customFormat="1">
      <c r="A103" s="21" t="s">
        <v>975</v>
      </c>
      <c r="B103" s="21">
        <f t="shared" si="4"/>
        <v>1</v>
      </c>
      <c r="C103" s="21" t="str">
        <f t="shared" si="5"/>
        <v>B</v>
      </c>
      <c r="D103" s="17">
        <f>IF($C103="B",VLOOKUP($A103,Bat!$A$4:$BD$2323,D$1,FALSE),VLOOKUP($A103,Pit!$A$4:$AZ$2261,D$2,FALSE))</f>
        <v>4000</v>
      </c>
      <c r="E103" s="16" t="str">
        <f>IF($C103="B",VLOOKUP($A103,Bat!$A$4:$BD$2323,E$1,FALSE),VLOOKUP($A103,Pit!$A$4:$AZ$2261,E$2,FALSE))</f>
        <v>RF</v>
      </c>
      <c r="F103" s="16" t="str">
        <f>IF($C103="B",VLOOKUP($A103,Bat!$A$4:$BD$2323,F$1,FALSE),VLOOKUP($A103,Pit!$A$4:$AZ$2261,F$2,FALSE))</f>
        <v>Joe Schulz</v>
      </c>
      <c r="G103" s="16">
        <f>IF($C103="B",VLOOKUP($A103,Bat!$A$4:$BD$2323,G$1,FALSE),VLOOKUP($A103,Pit!$A$4:$AZ$2261,G$2,FALSE))</f>
        <v>21</v>
      </c>
      <c r="H103" s="16" t="str">
        <f>IF($C103="B",VLOOKUP($A103,Bat!$A$4:$BD$2323,H$1,FALSE),VLOOKUP($A103,Pit!$A$4:$AZ$2261,H$2,FALSE))</f>
        <v>L</v>
      </c>
      <c r="I103" s="16" t="str">
        <f>IF($C103="B",VLOOKUP($A103,Bat!$A$4:$BD$2323,I$1,FALSE),VLOOKUP($A103,Pit!$A$4:$AZ$2261,I$2,FALSE))</f>
        <v>L</v>
      </c>
      <c r="J103" s="16" t="str">
        <f>IF($C103="B",VLOOKUP($A103,Bat!$A$4:$BD$2323,J$1,FALSE),VLOOKUP($A103,Pit!$A$4:$AZ$2261,J$2,FALSE))</f>
        <v>Low</v>
      </c>
      <c r="K103" s="17" t="str">
        <f>IF($C103="B",VLOOKUP($A103,Bat!$A$4:$BD$2323,K$1,FALSE),VLOOKUP($A103,Pit!$A$4:$AZ$2261,K$2,FALSE))</f>
        <v>High</v>
      </c>
      <c r="L103" s="16">
        <f>IF($C103="B",VLOOKUP($A103,Bat!$A$4:$BD$2323,L$1,FALSE),VLOOKUP($A103,Pit!$A$4:$AZ$2261,L$2,FALSE))</f>
        <v>5</v>
      </c>
      <c r="M103" s="16">
        <f>IF($C103="B",VLOOKUP($A103,Bat!$A$4:$BD$2323,M$1,FALSE),VLOOKUP($A103,Pit!$A$4:$AZ$2261,M$2,FALSE))</f>
        <v>6</v>
      </c>
      <c r="N103" s="16">
        <f>IF($C103="B",VLOOKUP($A103,Bat!$A$4:$BD$2323,N$1,FALSE),VLOOKUP($A103,Pit!$A$4:$AZ$2261,N$2,FALSE))</f>
        <v>2</v>
      </c>
      <c r="O103" s="16">
        <f>IF($C103="B",VLOOKUP($A103,Bat!$A$4:$BD$2323,O$1,FALSE),VLOOKUP($A103,Pit!$A$4:$AZ$2261,O$2,FALSE))</f>
        <v>5</v>
      </c>
      <c r="P103" s="17">
        <f>IF($C103="B",VLOOKUP($A103,Bat!$A$4:$BD$2323,P$1,FALSE),VLOOKUP($A103,Pit!$A$4:$AZ$2261,P$2,FALSE))</f>
        <v>6</v>
      </c>
      <c r="Q103" s="18">
        <f>IF($C103="B",VLOOKUP($A103,Bat!$A$4:$BD$2323,Q$1,FALSE),VLOOKUP($A103,Pit!$A$4:$AZ$2261,Q$2,FALSE))</f>
        <v>11.695014072747526</v>
      </c>
      <c r="R103" s="19">
        <f>IF($C103="B",VLOOKUP($A103,Bat!$A$4:$BD$2323,R$1,FALSE),VLOOKUP($A103,Pit!$A$4:$AZ$2261,R$2,FALSE))</f>
        <v>0.14288363340470389</v>
      </c>
      <c r="S103" s="20" t="str">
        <f>IF($C103="B",VLOOKUP($A103,Bat!$A$4:$BD$2323,S$1,FALSE),VLOOKUP($A103,Pit!$A$4:$AZ$2261,S$2,FALSE))</f>
        <v>Slot</v>
      </c>
      <c r="T103" s="17" t="str">
        <f>IF(S103="Slot","",VLOOKUP(IF($C103="B",VLOOKUP($A103,Bat!$A$4:$AT$2323,T$1,FALSE),VLOOKUP($A103,Pit!$A$4:$BD$2261,T$2,FALSE)),COND!$A$34:$B$40,2,FALSE))</f>
        <v/>
      </c>
      <c r="U103" s="21" t="str">
        <f>IF($C103="B",VLOOKUP($A103,Bat!$A$4:$AR$1287,44,FALSE),VLOOKUP($A103,Pit!$A$4:$BB$1239,54,FALSE))</f>
        <v/>
      </c>
      <c r="W103" s="21" t="str">
        <f t="shared" si="6"/>
        <v/>
      </c>
      <c r="X103" s="22" t="e">
        <f t="shared" si="7"/>
        <v>#N/A</v>
      </c>
      <c r="Y103" s="16" t="str">
        <f>IF(ISERROR(VLOOKUP($E103&amp;$F103,Results!$A$2:$G$413,Y$1,FALSE)),"",VLOOKUP($E103&amp;$F103,Results!$A$2:$G$413,Y$1,FALSE))</f>
        <v/>
      </c>
      <c r="Z103" s="16" t="str">
        <f>IF(ISERROR(VLOOKUP($E103&amp;$F103,Results!$A$2:$G$413,Z$1,FALSE)),"",VLOOKUP($E103&amp;$F103,Results!$A$2:$G$413,Z$1,FALSE))</f>
        <v/>
      </c>
      <c r="AA103" s="16" t="str">
        <f>IF(ISERROR(VLOOKUP($E103&amp;$F103,Results!$A$2:$G$413,AA$1,FALSE)),"",VLOOKUP($E103&amp;$F103,Results!$A$2:$G$413,AA$1,FALSE))</f>
        <v/>
      </c>
      <c r="AB103" s="16" t="str">
        <f>IF(ISERROR(VLOOKUP($E103&amp;$F103,Results!$A$2:$G$413,AB$1,FALSE)),"",VLOOKUP($E103&amp;$F103,Results!$A$2:$G$413,AB$1,FALSE))</f>
        <v/>
      </c>
      <c r="AC103" s="16"/>
      <c r="AD103" s="20" t="str">
        <f>IF(ISERROR(VLOOKUP($AB103&amp;"-"&amp;$F103,Bonuses!$B$1:$G$1000,4,FALSE)),"",INT(VLOOKUP($AB103&amp;"-"&amp;$F103,Bonuses!$B$1:$G$1000,4,FALSE)))</f>
        <v/>
      </c>
      <c r="AE103" s="16" t="str">
        <f>IF(ISERROR(VLOOKUP($AB103&amp;"-"&amp;$F103,Bonuses!$B$1:$G$1000,5,FALSE)),"",IF(VLOOKUP($AB103&amp;"-"&amp;$F103,Bonuses!$B$1:$G$1000,5,FALSE)="","",VLOOKUP($AB103&amp;"-"&amp;$F103,Bonuses!$B$1:$G$1000,6,FALSE)&amp;" yrs, "&amp;VLOOKUP($AB103&amp;"-"&amp;$F103,Bonuses!$B$1:$G$1000,5,FALSE)))</f>
        <v/>
      </c>
    </row>
    <row r="104" spans="1:31" s="21" customFormat="1">
      <c r="A104" s="21" t="s">
        <v>74</v>
      </c>
      <c r="B104" s="21">
        <f t="shared" si="4"/>
        <v>1</v>
      </c>
      <c r="C104" s="21" t="str">
        <f t="shared" si="5"/>
        <v>B</v>
      </c>
      <c r="D104" s="17" t="e">
        <f>IF($C104="B",VLOOKUP($A104,Bat!$A$4:$BD$2323,D$1,FALSE),VLOOKUP($A104,Pit!$A$4:$AZ$2261,D$2,FALSE))</f>
        <v>#N/A</v>
      </c>
      <c r="E104" s="16" t="e">
        <f>IF($C104="B",VLOOKUP($A104,Bat!$A$4:$BD$2323,E$1,FALSE),VLOOKUP($A104,Pit!$A$4:$AZ$2261,E$2,FALSE))</f>
        <v>#N/A</v>
      </c>
      <c r="F104" s="16" t="e">
        <f>IF($C104="B",VLOOKUP($A104,Bat!$A$4:$BD$2323,F$1,FALSE),VLOOKUP($A104,Pit!$A$4:$AZ$2261,F$2,FALSE))</f>
        <v>#N/A</v>
      </c>
      <c r="G104" s="16" t="e">
        <f>IF($C104="B",VLOOKUP($A104,Bat!$A$4:$BD$2323,G$1,FALSE),VLOOKUP($A104,Pit!$A$4:$AZ$2261,G$2,FALSE))</f>
        <v>#N/A</v>
      </c>
      <c r="H104" s="16" t="e">
        <f>IF($C104="B",VLOOKUP($A104,Bat!$A$4:$BD$2323,H$1,FALSE),VLOOKUP($A104,Pit!$A$4:$AZ$2261,H$2,FALSE))</f>
        <v>#N/A</v>
      </c>
      <c r="I104" s="16" t="e">
        <f>IF($C104="B",VLOOKUP($A104,Bat!$A$4:$BD$2323,I$1,FALSE),VLOOKUP($A104,Pit!$A$4:$AZ$2261,I$2,FALSE))</f>
        <v>#N/A</v>
      </c>
      <c r="J104" s="16" t="e">
        <f>IF($C104="B",VLOOKUP($A104,Bat!$A$4:$BD$2323,J$1,FALSE),VLOOKUP($A104,Pit!$A$4:$AZ$2261,J$2,FALSE))</f>
        <v>#N/A</v>
      </c>
      <c r="K104" s="17" t="e">
        <f>IF($C104="B",VLOOKUP($A104,Bat!$A$4:$BD$2323,K$1,FALSE),VLOOKUP($A104,Pit!$A$4:$AZ$2261,K$2,FALSE))</f>
        <v>#N/A</v>
      </c>
      <c r="L104" s="16" t="e">
        <f>IF($C104="B",VLOOKUP($A104,Bat!$A$4:$BD$2323,L$1,FALSE),VLOOKUP($A104,Pit!$A$4:$AZ$2261,L$2,FALSE))</f>
        <v>#N/A</v>
      </c>
      <c r="M104" s="16" t="e">
        <f>IF($C104="B",VLOOKUP($A104,Bat!$A$4:$BD$2323,M$1,FALSE),VLOOKUP($A104,Pit!$A$4:$AZ$2261,M$2,FALSE))</f>
        <v>#N/A</v>
      </c>
      <c r="N104" s="16" t="e">
        <f>IF($C104="B",VLOOKUP($A104,Bat!$A$4:$BD$2323,N$1,FALSE),VLOOKUP($A104,Pit!$A$4:$AZ$2261,N$2,FALSE))</f>
        <v>#N/A</v>
      </c>
      <c r="O104" s="16" t="e">
        <f>IF($C104="B",VLOOKUP($A104,Bat!$A$4:$BD$2323,O$1,FALSE),VLOOKUP($A104,Pit!$A$4:$AZ$2261,O$2,FALSE))</f>
        <v>#N/A</v>
      </c>
      <c r="P104" s="17" t="e">
        <f>IF($C104="B",VLOOKUP($A104,Bat!$A$4:$BD$2323,P$1,FALSE),VLOOKUP($A104,Pit!$A$4:$AZ$2261,P$2,FALSE))</f>
        <v>#N/A</v>
      </c>
      <c r="Q104" s="18" t="e">
        <f>IF($C104="B",VLOOKUP($A104,Bat!$A$4:$BD$2323,Q$1,FALSE),VLOOKUP($A104,Pit!$A$4:$AZ$2261,Q$2,FALSE))</f>
        <v>#N/A</v>
      </c>
      <c r="R104" s="19" t="e">
        <f>IF($C104="B",VLOOKUP($A104,Bat!$A$4:$BD$2323,R$1,FALSE),VLOOKUP($A104,Pit!$A$4:$AZ$2261,R$2,FALSE))</f>
        <v>#N/A</v>
      </c>
      <c r="S104" s="20" t="e">
        <f>IF($C104="B",VLOOKUP($A104,Bat!$A$4:$BD$2323,S$1,FALSE),VLOOKUP($A104,Pit!$A$4:$AZ$2261,S$2,FALSE))</f>
        <v>#N/A</v>
      </c>
      <c r="T104" s="17" t="e">
        <f>IF(S104="Slot","",VLOOKUP(IF($C104="B",VLOOKUP($A104,Bat!$A$4:$AT$2323,T$1,FALSE),VLOOKUP($A104,Pit!$A$4:$BD$2261,T$2,FALSE)),COND!$A$34:$B$40,2,FALSE))</f>
        <v>#N/A</v>
      </c>
      <c r="U104" s="21" t="e">
        <f>IF($C104="B",VLOOKUP($A104,Bat!$A$4:$AR$1287,44,FALSE),VLOOKUP($A104,Pit!$A$4:$BB$1239,54,FALSE))</f>
        <v>#N/A</v>
      </c>
      <c r="W104" s="21" t="e">
        <f t="shared" si="6"/>
        <v>#N/A</v>
      </c>
      <c r="X104" s="22" t="e">
        <f t="shared" si="7"/>
        <v>#N/A</v>
      </c>
      <c r="Y104" s="16" t="str">
        <f>IF(ISERROR(VLOOKUP($E104&amp;$F104,Results!$A$2:$G$413,Y$1,FALSE)),"",VLOOKUP($E104&amp;$F104,Results!$A$2:$G$413,Y$1,FALSE))</f>
        <v/>
      </c>
      <c r="Z104" s="16" t="str">
        <f>IF(ISERROR(VLOOKUP($E104&amp;$F104,Results!$A$2:$G$413,Z$1,FALSE)),"",VLOOKUP($E104&amp;$F104,Results!$A$2:$G$413,Z$1,FALSE))</f>
        <v/>
      </c>
      <c r="AA104" s="16" t="str">
        <f>IF(ISERROR(VLOOKUP($E104&amp;$F104,Results!$A$2:$G$413,AA$1,FALSE)),"",VLOOKUP($E104&amp;$F104,Results!$A$2:$G$413,AA$1,FALSE))</f>
        <v/>
      </c>
      <c r="AB104" s="16" t="str">
        <f>IF(ISERROR(VLOOKUP($E104&amp;$F104,Results!$A$2:$G$413,AB$1,FALSE)),"",VLOOKUP($E104&amp;$F104,Results!$A$2:$G$413,AB$1,FALSE))</f>
        <v/>
      </c>
      <c r="AC104" s="16"/>
      <c r="AD104" s="20" t="str">
        <f>IF(ISERROR(VLOOKUP($AB104&amp;"-"&amp;$F104,Bonuses!$B$1:$G$1000,4,FALSE)),"",INT(VLOOKUP($AB104&amp;"-"&amp;$F104,Bonuses!$B$1:$G$1000,4,FALSE)))</f>
        <v/>
      </c>
      <c r="AE104" s="16" t="str">
        <f>IF(ISERROR(VLOOKUP($AB104&amp;"-"&amp;$F104,Bonuses!$B$1:$G$1000,5,FALSE)),"",IF(VLOOKUP($AB104&amp;"-"&amp;$F104,Bonuses!$B$1:$G$1000,5,FALSE)="","",VLOOKUP($AB104&amp;"-"&amp;$F104,Bonuses!$B$1:$G$1000,6,FALSE)&amp;" yrs, "&amp;VLOOKUP($AB104&amp;"-"&amp;$F104,Bonuses!$B$1:$G$1000,5,FALSE)))</f>
        <v/>
      </c>
    </row>
    <row r="105" spans="1:31" s="21" customFormat="1">
      <c r="A105" s="21" t="s">
        <v>635</v>
      </c>
      <c r="B105" s="21">
        <f t="shared" si="4"/>
        <v>1</v>
      </c>
      <c r="C105" s="21" t="str">
        <f t="shared" si="5"/>
        <v>B</v>
      </c>
      <c r="D105" s="17">
        <f>IF($C105="B",VLOOKUP($A105,Bat!$A$4:$BD$2323,D$1,FALSE),VLOOKUP($A105,Pit!$A$4:$AZ$2261,D$2,FALSE))</f>
        <v>7418</v>
      </c>
      <c r="E105" s="16" t="str">
        <f>IF($C105="B",VLOOKUP($A105,Bat!$A$4:$BD$2323,E$1,FALSE),VLOOKUP($A105,Pit!$A$4:$AZ$2261,E$2,FALSE))</f>
        <v>C</v>
      </c>
      <c r="F105" s="16" t="str">
        <f>IF($C105="B",VLOOKUP($A105,Bat!$A$4:$BD$2323,F$1,FALSE),VLOOKUP($A105,Pit!$A$4:$AZ$2261,F$2,FALSE))</f>
        <v>Miguel Garza</v>
      </c>
      <c r="G105" s="16">
        <f>IF($C105="B",VLOOKUP($A105,Bat!$A$4:$BD$2323,G$1,FALSE),VLOOKUP($A105,Pit!$A$4:$AZ$2261,G$2,FALSE))</f>
        <v>21</v>
      </c>
      <c r="H105" s="16" t="str">
        <f>IF($C105="B",VLOOKUP($A105,Bat!$A$4:$BD$2323,H$1,FALSE),VLOOKUP($A105,Pit!$A$4:$AZ$2261,H$2,FALSE))</f>
        <v>L</v>
      </c>
      <c r="I105" s="16" t="str">
        <f>IF($C105="B",VLOOKUP($A105,Bat!$A$4:$BD$2323,I$1,FALSE),VLOOKUP($A105,Pit!$A$4:$AZ$2261,I$2,FALSE))</f>
        <v>R</v>
      </c>
      <c r="J105" s="16" t="str">
        <f>IF($C105="B",VLOOKUP($A105,Bat!$A$4:$BD$2323,J$1,FALSE),VLOOKUP($A105,Pit!$A$4:$AZ$2261,J$2,FALSE))</f>
        <v>High</v>
      </c>
      <c r="K105" s="17" t="str">
        <f>IF($C105="B",VLOOKUP($A105,Bat!$A$4:$BD$2323,K$1,FALSE),VLOOKUP($A105,Pit!$A$4:$AZ$2261,K$2,FALSE))</f>
        <v>High</v>
      </c>
      <c r="L105" s="16">
        <f>IF($C105="B",VLOOKUP($A105,Bat!$A$4:$BD$2323,L$1,FALSE),VLOOKUP($A105,Pit!$A$4:$AZ$2261,L$2,FALSE))</f>
        <v>5</v>
      </c>
      <c r="M105" s="16">
        <f>IF($C105="B",VLOOKUP($A105,Bat!$A$4:$BD$2323,M$1,FALSE),VLOOKUP($A105,Pit!$A$4:$AZ$2261,M$2,FALSE))</f>
        <v>7</v>
      </c>
      <c r="N105" s="16">
        <f>IF($C105="B",VLOOKUP($A105,Bat!$A$4:$BD$2323,N$1,FALSE),VLOOKUP($A105,Pit!$A$4:$AZ$2261,N$2,FALSE))</f>
        <v>3</v>
      </c>
      <c r="O105" s="16">
        <f>IF($C105="B",VLOOKUP($A105,Bat!$A$4:$BD$2323,O$1,FALSE),VLOOKUP($A105,Pit!$A$4:$AZ$2261,O$2,FALSE))</f>
        <v>3</v>
      </c>
      <c r="P105" s="17">
        <f>IF($C105="B",VLOOKUP($A105,Bat!$A$4:$BD$2323,P$1,FALSE),VLOOKUP($A105,Pit!$A$4:$AZ$2261,P$2,FALSE))</f>
        <v>5</v>
      </c>
      <c r="Q105" s="18">
        <f>IF($C105="B",VLOOKUP($A105,Bat!$A$4:$BD$2323,Q$1,FALSE),VLOOKUP($A105,Pit!$A$4:$AZ$2261,Q$2,FALSE))</f>
        <v>11.470300680122353</v>
      </c>
      <c r="R105" s="19">
        <f>IF($C105="B",VLOOKUP($A105,Bat!$A$4:$BD$2323,R$1,FALSE),VLOOKUP($A105,Pit!$A$4:$AZ$2261,R$2,FALSE))</f>
        <v>0.11166562804831313</v>
      </c>
      <c r="S105" s="20" t="str">
        <f>IF($C105="B",VLOOKUP($A105,Bat!$A$4:$BD$2323,S$1,FALSE),VLOOKUP($A105,Pit!$A$4:$AZ$2261,S$2,FALSE))</f>
        <v>Slot</v>
      </c>
      <c r="T105" s="17" t="str">
        <f>IF(S105="Slot","",VLOOKUP(IF($C105="B",VLOOKUP($A105,Bat!$A$4:$AT$2323,T$1,FALSE),VLOOKUP($A105,Pit!$A$4:$BD$2261,T$2,FALSE)),COND!$A$34:$B$40,2,FALSE))</f>
        <v/>
      </c>
      <c r="U105" s="21" t="str">
        <f>IF($C105="B",VLOOKUP($A105,Bat!$A$4:$AR$1287,44,FALSE),VLOOKUP($A105,Pit!$A$4:$BB$1239,54,FALSE))</f>
        <v/>
      </c>
      <c r="W105" s="21" t="str">
        <f t="shared" si="6"/>
        <v/>
      </c>
      <c r="X105" s="22" t="e">
        <f t="shared" si="7"/>
        <v>#N/A</v>
      </c>
      <c r="Y105" s="16" t="str">
        <f>IF(ISERROR(VLOOKUP($E105&amp;$F105,Results!$A$2:$G$413,Y$1,FALSE)),"",VLOOKUP($E105&amp;$F105,Results!$A$2:$G$413,Y$1,FALSE))</f>
        <v/>
      </c>
      <c r="Z105" s="16" t="str">
        <f>IF(ISERROR(VLOOKUP($E105&amp;$F105,Results!$A$2:$G$413,Z$1,FALSE)),"",VLOOKUP($E105&amp;$F105,Results!$A$2:$G$413,Z$1,FALSE))</f>
        <v/>
      </c>
      <c r="AA105" s="16" t="str">
        <f>IF(ISERROR(VLOOKUP($E105&amp;$F105,Results!$A$2:$G$413,AA$1,FALSE)),"",VLOOKUP($E105&amp;$F105,Results!$A$2:$G$413,AA$1,FALSE))</f>
        <v/>
      </c>
      <c r="AB105" s="16" t="str">
        <f>IF(ISERROR(VLOOKUP($E105&amp;$F105,Results!$A$2:$G$413,AB$1,FALSE)),"",VLOOKUP($E105&amp;$F105,Results!$A$2:$G$413,AB$1,FALSE))</f>
        <v/>
      </c>
      <c r="AC105" s="16"/>
      <c r="AD105" s="20" t="str">
        <f>IF(ISERROR(VLOOKUP($AB105&amp;"-"&amp;$F105,Bonuses!$B$1:$G$1000,4,FALSE)),"",INT(VLOOKUP($AB105&amp;"-"&amp;$F105,Bonuses!$B$1:$G$1000,4,FALSE)))</f>
        <v/>
      </c>
      <c r="AE105" s="16" t="str">
        <f>IF(ISERROR(VLOOKUP($AB105&amp;"-"&amp;$F105,Bonuses!$B$1:$G$1000,5,FALSE)),"",IF(VLOOKUP($AB105&amp;"-"&amp;$F105,Bonuses!$B$1:$G$1000,5,FALSE)="","",VLOOKUP($AB105&amp;"-"&amp;$F105,Bonuses!$B$1:$G$1000,6,FALSE)&amp;" yrs, "&amp;VLOOKUP($AB105&amp;"-"&amp;$F105,Bonuses!$B$1:$G$1000,5,FALSE)))</f>
        <v/>
      </c>
    </row>
    <row r="106" spans="1:31" s="21" customFormat="1">
      <c r="A106" s="21" t="s">
        <v>981</v>
      </c>
      <c r="B106" s="21">
        <f t="shared" si="4"/>
        <v>1</v>
      </c>
      <c r="C106" s="21" t="str">
        <f t="shared" si="5"/>
        <v>B</v>
      </c>
      <c r="D106" s="17">
        <f>IF($C106="B",VLOOKUP($A106,Bat!$A$4:$BD$2323,D$1,FALSE),VLOOKUP($A106,Pit!$A$4:$AZ$2261,D$2,FALSE))</f>
        <v>2552</v>
      </c>
      <c r="E106" s="16" t="str">
        <f>IF($C106="B",VLOOKUP($A106,Bat!$A$4:$BD$2323,E$1,FALSE),VLOOKUP($A106,Pit!$A$4:$AZ$2261,E$2,FALSE))</f>
        <v>1B</v>
      </c>
      <c r="F106" s="16" t="str">
        <f>IF($C106="B",VLOOKUP($A106,Bat!$A$4:$BD$2323,F$1,FALSE),VLOOKUP($A106,Pit!$A$4:$AZ$2261,F$2,FALSE))</f>
        <v>Jon Lange</v>
      </c>
      <c r="G106" s="16">
        <f>IF($C106="B",VLOOKUP($A106,Bat!$A$4:$BD$2323,G$1,FALSE),VLOOKUP($A106,Pit!$A$4:$AZ$2261,G$2,FALSE))</f>
        <v>21</v>
      </c>
      <c r="H106" s="16" t="str">
        <f>IF($C106="B",VLOOKUP($A106,Bat!$A$4:$BD$2323,H$1,FALSE),VLOOKUP($A106,Pit!$A$4:$AZ$2261,H$2,FALSE))</f>
        <v>L</v>
      </c>
      <c r="I106" s="16" t="str">
        <f>IF($C106="B",VLOOKUP($A106,Bat!$A$4:$BD$2323,I$1,FALSE),VLOOKUP($A106,Pit!$A$4:$AZ$2261,I$2,FALSE))</f>
        <v>L</v>
      </c>
      <c r="J106" s="16" t="str">
        <f>IF($C106="B",VLOOKUP($A106,Bat!$A$4:$BD$2323,J$1,FALSE),VLOOKUP($A106,Pit!$A$4:$AZ$2261,J$2,FALSE))</f>
        <v>Low</v>
      </c>
      <c r="K106" s="17" t="str">
        <f>IF($C106="B",VLOOKUP($A106,Bat!$A$4:$BD$2323,K$1,FALSE),VLOOKUP($A106,Pit!$A$4:$AZ$2261,K$2,FALSE))</f>
        <v>Normal</v>
      </c>
      <c r="L106" s="16">
        <f>IF($C106="B",VLOOKUP($A106,Bat!$A$4:$BD$2323,L$1,FALSE),VLOOKUP($A106,Pit!$A$4:$AZ$2261,L$2,FALSE))</f>
        <v>5</v>
      </c>
      <c r="M106" s="16">
        <f>IF($C106="B",VLOOKUP($A106,Bat!$A$4:$BD$2323,M$1,FALSE),VLOOKUP($A106,Pit!$A$4:$AZ$2261,M$2,FALSE))</f>
        <v>5</v>
      </c>
      <c r="N106" s="16">
        <f>IF($C106="B",VLOOKUP($A106,Bat!$A$4:$BD$2323,N$1,FALSE),VLOOKUP($A106,Pit!$A$4:$AZ$2261,N$2,FALSE))</f>
        <v>5</v>
      </c>
      <c r="O106" s="16">
        <f>IF($C106="B",VLOOKUP($A106,Bat!$A$4:$BD$2323,O$1,FALSE),VLOOKUP($A106,Pit!$A$4:$AZ$2261,O$2,FALSE))</f>
        <v>4</v>
      </c>
      <c r="P106" s="17">
        <f>IF($C106="B",VLOOKUP($A106,Bat!$A$4:$BD$2323,P$1,FALSE),VLOOKUP($A106,Pit!$A$4:$AZ$2261,P$2,FALSE))</f>
        <v>4</v>
      </c>
      <c r="Q106" s="18">
        <f>IF($C106="B",VLOOKUP($A106,Bat!$A$4:$BD$2323,Q$1,FALSE),VLOOKUP($A106,Pit!$A$4:$AZ$2261,Q$2,FALSE))</f>
        <v>11.403447026551197</v>
      </c>
      <c r="R106" s="19">
        <f>IF($C106="B",VLOOKUP($A106,Bat!$A$4:$BD$2323,R$1,FALSE),VLOOKUP($A106,Pit!$A$4:$AZ$2261,R$2,FALSE))</f>
        <v>0.10237807428528541</v>
      </c>
      <c r="S106" s="20" t="str">
        <f>IF($C106="B",VLOOKUP($A106,Bat!$A$4:$BD$2323,S$1,FALSE),VLOOKUP($A106,Pit!$A$4:$AZ$2261,S$2,FALSE))</f>
        <v>Slot</v>
      </c>
      <c r="T106" s="17" t="str">
        <f>IF(S106="Slot","",VLOOKUP(IF($C106="B",VLOOKUP($A106,Bat!$A$4:$AT$2323,T$1,FALSE),VLOOKUP($A106,Pit!$A$4:$BD$2261,T$2,FALSE)),COND!$A$34:$B$40,2,FALSE))</f>
        <v/>
      </c>
      <c r="U106" s="21" t="str">
        <f>IF($C106="B",VLOOKUP($A106,Bat!$A$4:$AR$1287,44,FALSE),VLOOKUP($A106,Pit!$A$4:$BB$1239,54,FALSE))</f>
        <v/>
      </c>
      <c r="W106" s="21" t="str">
        <f t="shared" si="6"/>
        <v/>
      </c>
      <c r="X106" s="22" t="e">
        <f t="shared" si="7"/>
        <v>#N/A</v>
      </c>
      <c r="Y106" s="16" t="str">
        <f>IF(ISERROR(VLOOKUP($E106&amp;$F106,Results!$A$2:$G$413,Y$1,FALSE)),"",VLOOKUP($E106&amp;$F106,Results!$A$2:$G$413,Y$1,FALSE))</f>
        <v/>
      </c>
      <c r="Z106" s="16" t="str">
        <f>IF(ISERROR(VLOOKUP($E106&amp;$F106,Results!$A$2:$G$413,Z$1,FALSE)),"",VLOOKUP($E106&amp;$F106,Results!$A$2:$G$413,Z$1,FALSE))</f>
        <v/>
      </c>
      <c r="AA106" s="16" t="str">
        <f>IF(ISERROR(VLOOKUP($E106&amp;$F106,Results!$A$2:$G$413,AA$1,FALSE)),"",VLOOKUP($E106&amp;$F106,Results!$A$2:$G$413,AA$1,FALSE))</f>
        <v/>
      </c>
      <c r="AB106" s="16" t="str">
        <f>IF(ISERROR(VLOOKUP($E106&amp;$F106,Results!$A$2:$G$413,AB$1,FALSE)),"",VLOOKUP($E106&amp;$F106,Results!$A$2:$G$413,AB$1,FALSE))</f>
        <v/>
      </c>
      <c r="AC106" s="16"/>
      <c r="AD106" s="20" t="str">
        <f>IF(ISERROR(VLOOKUP($AB106&amp;"-"&amp;$F106,Bonuses!$B$1:$G$1000,4,FALSE)),"",INT(VLOOKUP($AB106&amp;"-"&amp;$F106,Bonuses!$B$1:$G$1000,4,FALSE)))</f>
        <v/>
      </c>
      <c r="AE106" s="16" t="str">
        <f>IF(ISERROR(VLOOKUP($AB106&amp;"-"&amp;$F106,Bonuses!$B$1:$G$1000,5,FALSE)),"",IF(VLOOKUP($AB106&amp;"-"&amp;$F106,Bonuses!$B$1:$G$1000,5,FALSE)="","",VLOOKUP($AB106&amp;"-"&amp;$F106,Bonuses!$B$1:$G$1000,6,FALSE)&amp;" yrs, "&amp;VLOOKUP($AB106&amp;"-"&amp;$F106,Bonuses!$B$1:$G$1000,5,FALSE)))</f>
        <v/>
      </c>
    </row>
    <row r="107" spans="1:31" s="21" customFormat="1">
      <c r="A107" s="21" t="s">
        <v>960</v>
      </c>
      <c r="B107" s="21">
        <f t="shared" si="4"/>
        <v>1</v>
      </c>
      <c r="C107" s="21" t="str">
        <f t="shared" si="5"/>
        <v>B</v>
      </c>
      <c r="D107" s="17">
        <f>IF($C107="B",VLOOKUP($A107,Bat!$A$4:$BD$2323,D$1,FALSE),VLOOKUP($A107,Pit!$A$4:$AZ$2261,D$2,FALSE))</f>
        <v>7846</v>
      </c>
      <c r="E107" s="16" t="str">
        <f>IF($C107="B",VLOOKUP($A107,Bat!$A$4:$BD$2323,E$1,FALSE),VLOOKUP($A107,Pit!$A$4:$AZ$2261,E$2,FALSE))</f>
        <v>2B</v>
      </c>
      <c r="F107" s="16" t="str">
        <f>IF($C107="B",VLOOKUP($A107,Bat!$A$4:$BD$2323,F$1,FALSE),VLOOKUP($A107,Pit!$A$4:$AZ$2261,F$2,FALSE))</f>
        <v>Winston MacLyan</v>
      </c>
      <c r="G107" s="16">
        <f>IF($C107="B",VLOOKUP($A107,Bat!$A$4:$BD$2323,G$1,FALSE),VLOOKUP($A107,Pit!$A$4:$AZ$2261,G$2,FALSE))</f>
        <v>21</v>
      </c>
      <c r="H107" s="16" t="str">
        <f>IF($C107="B",VLOOKUP($A107,Bat!$A$4:$BD$2323,H$1,FALSE),VLOOKUP($A107,Pit!$A$4:$AZ$2261,H$2,FALSE))</f>
        <v>R</v>
      </c>
      <c r="I107" s="16" t="str">
        <f>IF($C107="B",VLOOKUP($A107,Bat!$A$4:$BD$2323,I$1,FALSE),VLOOKUP($A107,Pit!$A$4:$AZ$2261,I$2,FALSE))</f>
        <v>R</v>
      </c>
      <c r="J107" s="16" t="str">
        <f>IF($C107="B",VLOOKUP($A107,Bat!$A$4:$BD$2323,J$1,FALSE),VLOOKUP($A107,Pit!$A$4:$AZ$2261,J$2,FALSE))</f>
        <v>Very High</v>
      </c>
      <c r="K107" s="17" t="str">
        <f>IF($C107="B",VLOOKUP($A107,Bat!$A$4:$BD$2323,K$1,FALSE),VLOOKUP($A107,Pit!$A$4:$AZ$2261,K$2,FALSE))</f>
        <v>Very High</v>
      </c>
      <c r="L107" s="16">
        <f>IF($C107="B",VLOOKUP($A107,Bat!$A$4:$BD$2323,L$1,FALSE),VLOOKUP($A107,Pit!$A$4:$AZ$2261,L$2,FALSE))</f>
        <v>5</v>
      </c>
      <c r="M107" s="16">
        <f>IF($C107="B",VLOOKUP($A107,Bat!$A$4:$BD$2323,M$1,FALSE),VLOOKUP($A107,Pit!$A$4:$AZ$2261,M$2,FALSE))</f>
        <v>5</v>
      </c>
      <c r="N107" s="16">
        <f>IF($C107="B",VLOOKUP($A107,Bat!$A$4:$BD$2323,N$1,FALSE),VLOOKUP($A107,Pit!$A$4:$AZ$2261,N$2,FALSE))</f>
        <v>4</v>
      </c>
      <c r="O107" s="16">
        <f>IF($C107="B",VLOOKUP($A107,Bat!$A$4:$BD$2323,O$1,FALSE),VLOOKUP($A107,Pit!$A$4:$AZ$2261,O$2,FALSE))</f>
        <v>3</v>
      </c>
      <c r="P107" s="17">
        <f>IF($C107="B",VLOOKUP($A107,Bat!$A$4:$BD$2323,P$1,FALSE),VLOOKUP($A107,Pit!$A$4:$AZ$2261,P$2,FALSE))</f>
        <v>4</v>
      </c>
      <c r="Q107" s="18">
        <f>IF($C107="B",VLOOKUP($A107,Bat!$A$4:$BD$2323,Q$1,FALSE),VLOOKUP($A107,Pit!$A$4:$AZ$2261,Q$2,FALSE))</f>
        <v>11.266782360785147</v>
      </c>
      <c r="R107" s="19">
        <f>IF($C107="B",VLOOKUP($A107,Bat!$A$4:$BD$2323,R$1,FALSE),VLOOKUP($A107,Pit!$A$4:$AZ$2261,R$2,FALSE))</f>
        <v>8.3392119696319947E-2</v>
      </c>
      <c r="S107" s="20" t="str">
        <f>IF($C107="B",VLOOKUP($A107,Bat!$A$4:$BD$2323,S$1,FALSE),VLOOKUP($A107,Pit!$A$4:$AZ$2261,S$2,FALSE))</f>
        <v>Slot</v>
      </c>
      <c r="T107" s="17" t="str">
        <f>IF(S107="Slot","",VLOOKUP(IF($C107="B",VLOOKUP($A107,Bat!$A$4:$AT$2323,T$1,FALSE),VLOOKUP($A107,Pit!$A$4:$BD$2261,T$2,FALSE)),COND!$A$34:$B$40,2,FALSE))</f>
        <v/>
      </c>
      <c r="U107" s="21" t="str">
        <f>IF($C107="B",VLOOKUP($A107,Bat!$A$4:$AR$1287,44,FALSE),VLOOKUP($A107,Pit!$A$4:$BB$1239,54,FALSE))</f>
        <v/>
      </c>
      <c r="W107" s="21" t="str">
        <f t="shared" si="6"/>
        <v/>
      </c>
      <c r="X107" s="22" t="e">
        <f t="shared" si="7"/>
        <v>#N/A</v>
      </c>
      <c r="Y107" s="16" t="str">
        <f>IF(ISERROR(VLOOKUP($E107&amp;$F107,Results!$A$2:$G$413,Y$1,FALSE)),"",VLOOKUP($E107&amp;$F107,Results!$A$2:$G$413,Y$1,FALSE))</f>
        <v/>
      </c>
      <c r="Z107" s="16" t="str">
        <f>IF(ISERROR(VLOOKUP($E107&amp;$F107,Results!$A$2:$G$413,Z$1,FALSE)),"",VLOOKUP($E107&amp;$F107,Results!$A$2:$G$413,Z$1,FALSE))</f>
        <v/>
      </c>
      <c r="AA107" s="16" t="str">
        <f>IF(ISERROR(VLOOKUP($E107&amp;$F107,Results!$A$2:$G$413,AA$1,FALSE)),"",VLOOKUP($E107&amp;$F107,Results!$A$2:$G$413,AA$1,FALSE))</f>
        <v/>
      </c>
      <c r="AB107" s="16" t="str">
        <f>IF(ISERROR(VLOOKUP($E107&amp;$F107,Results!$A$2:$G$413,AB$1,FALSE)),"",VLOOKUP($E107&amp;$F107,Results!$A$2:$G$413,AB$1,FALSE))</f>
        <v/>
      </c>
      <c r="AC107" s="16"/>
      <c r="AD107" s="20" t="str">
        <f>IF(ISERROR(VLOOKUP($AB107&amp;"-"&amp;$F107,Bonuses!$B$1:$G$1000,4,FALSE)),"",INT(VLOOKUP($AB107&amp;"-"&amp;$F107,Bonuses!$B$1:$G$1000,4,FALSE)))</f>
        <v/>
      </c>
      <c r="AE107" s="16" t="str">
        <f>IF(ISERROR(VLOOKUP($AB107&amp;"-"&amp;$F107,Bonuses!$B$1:$G$1000,5,FALSE)),"",IF(VLOOKUP($AB107&amp;"-"&amp;$F107,Bonuses!$B$1:$G$1000,5,FALSE)="","",VLOOKUP($AB107&amp;"-"&amp;$F107,Bonuses!$B$1:$G$1000,6,FALSE)&amp;" yrs, "&amp;VLOOKUP($AB107&amp;"-"&amp;$F107,Bonuses!$B$1:$G$1000,5,FALSE)))</f>
        <v/>
      </c>
    </row>
    <row r="108" spans="1:31" s="21" customFormat="1">
      <c r="A108" s="21" t="s">
        <v>636</v>
      </c>
      <c r="B108" s="21">
        <f t="shared" si="4"/>
        <v>1</v>
      </c>
      <c r="C108" s="21" t="str">
        <f t="shared" si="5"/>
        <v>B</v>
      </c>
      <c r="D108" s="17">
        <f>IF($C108="B",VLOOKUP($A108,Bat!$A$4:$BD$2323,D$1,FALSE),VLOOKUP($A108,Pit!$A$4:$AZ$2261,D$2,FALSE))</f>
        <v>3766</v>
      </c>
      <c r="E108" s="16" t="str">
        <f>IF($C108="B",VLOOKUP($A108,Bat!$A$4:$BD$2323,E$1,FALSE),VLOOKUP($A108,Pit!$A$4:$AZ$2261,E$2,FALSE))</f>
        <v>C</v>
      </c>
      <c r="F108" s="16" t="str">
        <f>IF($C108="B",VLOOKUP($A108,Bat!$A$4:$BD$2323,F$1,FALSE),VLOOKUP($A108,Pit!$A$4:$AZ$2261,F$2,FALSE))</f>
        <v>Ed Jensen</v>
      </c>
      <c r="G108" s="16">
        <f>IF($C108="B",VLOOKUP($A108,Bat!$A$4:$BD$2323,G$1,FALSE),VLOOKUP($A108,Pit!$A$4:$AZ$2261,G$2,FALSE))</f>
        <v>21</v>
      </c>
      <c r="H108" s="16" t="str">
        <f>IF($C108="B",VLOOKUP($A108,Bat!$A$4:$BD$2323,H$1,FALSE),VLOOKUP($A108,Pit!$A$4:$AZ$2261,H$2,FALSE))</f>
        <v>L</v>
      </c>
      <c r="I108" s="16" t="str">
        <f>IF($C108="B",VLOOKUP($A108,Bat!$A$4:$BD$2323,I$1,FALSE),VLOOKUP($A108,Pit!$A$4:$AZ$2261,I$2,FALSE))</f>
        <v>R</v>
      </c>
      <c r="J108" s="16" t="str">
        <f>IF($C108="B",VLOOKUP($A108,Bat!$A$4:$BD$2323,J$1,FALSE),VLOOKUP($A108,Pit!$A$4:$AZ$2261,J$2,FALSE))</f>
        <v>Normal</v>
      </c>
      <c r="K108" s="17" t="str">
        <f>IF($C108="B",VLOOKUP($A108,Bat!$A$4:$BD$2323,K$1,FALSE),VLOOKUP($A108,Pit!$A$4:$AZ$2261,K$2,FALSE))</f>
        <v>Very Low</v>
      </c>
      <c r="L108" s="16">
        <f>IF($C108="B",VLOOKUP($A108,Bat!$A$4:$BD$2323,L$1,FALSE),VLOOKUP($A108,Pit!$A$4:$AZ$2261,L$2,FALSE))</f>
        <v>5</v>
      </c>
      <c r="M108" s="16">
        <f>IF($C108="B",VLOOKUP($A108,Bat!$A$4:$BD$2323,M$1,FALSE),VLOOKUP($A108,Pit!$A$4:$AZ$2261,M$2,FALSE))</f>
        <v>6</v>
      </c>
      <c r="N108" s="16">
        <f>IF($C108="B",VLOOKUP($A108,Bat!$A$4:$BD$2323,N$1,FALSE),VLOOKUP($A108,Pit!$A$4:$AZ$2261,N$2,FALSE))</f>
        <v>3</v>
      </c>
      <c r="O108" s="16">
        <f>IF($C108="B",VLOOKUP($A108,Bat!$A$4:$BD$2323,O$1,FALSE),VLOOKUP($A108,Pit!$A$4:$AZ$2261,O$2,FALSE))</f>
        <v>5</v>
      </c>
      <c r="P108" s="17">
        <f>IF($C108="B",VLOOKUP($A108,Bat!$A$4:$BD$2323,P$1,FALSE),VLOOKUP($A108,Pit!$A$4:$AZ$2261,P$2,FALSE))</f>
        <v>5</v>
      </c>
      <c r="Q108" s="18">
        <f>IF($C108="B",VLOOKUP($A108,Bat!$A$4:$BD$2323,Q$1,FALSE),VLOOKUP($A108,Pit!$A$4:$AZ$2261,Q$2,FALSE))</f>
        <v>11.165086729703624</v>
      </c>
      <c r="R108" s="19">
        <f>IF($C108="B",VLOOKUP($A108,Bat!$A$4:$BD$2323,R$1,FALSE),VLOOKUP($A108,Pit!$A$4:$AZ$2261,R$2,FALSE))</f>
        <v>6.9264191143703427E-2</v>
      </c>
      <c r="S108" s="20" t="str">
        <f>IF($C108="B",VLOOKUP($A108,Bat!$A$4:$BD$2323,S$1,FALSE),VLOOKUP($A108,Pit!$A$4:$AZ$2261,S$2,FALSE))</f>
        <v>Slot</v>
      </c>
      <c r="T108" s="17" t="str">
        <f>IF(S108="Slot","",VLOOKUP(IF($C108="B",VLOOKUP($A108,Bat!$A$4:$AT$2323,T$1,FALSE),VLOOKUP($A108,Pit!$A$4:$BD$2261,T$2,FALSE)),COND!$A$34:$B$40,2,FALSE))</f>
        <v/>
      </c>
      <c r="U108" s="21" t="str">
        <f>IF($C108="B",VLOOKUP($A108,Bat!$A$4:$AR$1287,44,FALSE),VLOOKUP($A108,Pit!$A$4:$BB$1239,54,FALSE))</f>
        <v/>
      </c>
      <c r="W108" s="21" t="str">
        <f t="shared" si="6"/>
        <v/>
      </c>
      <c r="X108" s="22" t="e">
        <f t="shared" si="7"/>
        <v>#N/A</v>
      </c>
      <c r="Y108" s="16" t="str">
        <f>IF(ISERROR(VLOOKUP($E108&amp;$F108,Results!$A$2:$G$413,Y$1,FALSE)),"",VLOOKUP($E108&amp;$F108,Results!$A$2:$G$413,Y$1,FALSE))</f>
        <v/>
      </c>
      <c r="Z108" s="16" t="str">
        <f>IF(ISERROR(VLOOKUP($E108&amp;$F108,Results!$A$2:$G$413,Z$1,FALSE)),"",VLOOKUP($E108&amp;$F108,Results!$A$2:$G$413,Z$1,FALSE))</f>
        <v/>
      </c>
      <c r="AA108" s="16" t="str">
        <f>IF(ISERROR(VLOOKUP($E108&amp;$F108,Results!$A$2:$G$413,AA$1,FALSE)),"",VLOOKUP($E108&amp;$F108,Results!$A$2:$G$413,AA$1,FALSE))</f>
        <v/>
      </c>
      <c r="AB108" s="16" t="str">
        <f>IF(ISERROR(VLOOKUP($E108&amp;$F108,Results!$A$2:$G$413,AB$1,FALSE)),"",VLOOKUP($E108&amp;$F108,Results!$A$2:$G$413,AB$1,FALSE))</f>
        <v/>
      </c>
      <c r="AC108" s="16"/>
      <c r="AD108" s="20" t="str">
        <f>IF(ISERROR(VLOOKUP($AB108&amp;"-"&amp;$F108,Bonuses!$B$1:$G$1000,4,FALSE)),"",INT(VLOOKUP($AB108&amp;"-"&amp;$F108,Bonuses!$B$1:$G$1000,4,FALSE)))</f>
        <v/>
      </c>
      <c r="AE108" s="16" t="str">
        <f>IF(ISERROR(VLOOKUP($AB108&amp;"-"&amp;$F108,Bonuses!$B$1:$G$1000,5,FALSE)),"",IF(VLOOKUP($AB108&amp;"-"&amp;$F108,Bonuses!$B$1:$G$1000,5,FALSE)="","",VLOOKUP($AB108&amp;"-"&amp;$F108,Bonuses!$B$1:$G$1000,6,FALSE)&amp;" yrs, "&amp;VLOOKUP($AB108&amp;"-"&amp;$F108,Bonuses!$B$1:$G$1000,5,FALSE)))</f>
        <v/>
      </c>
    </row>
    <row r="109" spans="1:31" s="21" customFormat="1">
      <c r="A109" s="21" t="s">
        <v>986</v>
      </c>
      <c r="B109" s="21">
        <f t="shared" si="4"/>
        <v>1</v>
      </c>
      <c r="C109" s="21" t="str">
        <f t="shared" si="5"/>
        <v>B</v>
      </c>
      <c r="D109" s="17">
        <f>IF($C109="B",VLOOKUP($A109,Bat!$A$4:$BD$2323,D$1,FALSE),VLOOKUP($A109,Pit!$A$4:$AZ$2261,D$2,FALSE))</f>
        <v>5781</v>
      </c>
      <c r="E109" s="16" t="str">
        <f>IF($C109="B",VLOOKUP($A109,Bat!$A$4:$BD$2323,E$1,FALSE),VLOOKUP($A109,Pit!$A$4:$AZ$2261,E$2,FALSE))</f>
        <v>1B</v>
      </c>
      <c r="F109" s="16" t="str">
        <f>IF($C109="B",VLOOKUP($A109,Bat!$A$4:$BD$2323,F$1,FALSE),VLOOKUP($A109,Pit!$A$4:$AZ$2261,F$2,FALSE))</f>
        <v>Bill Sims</v>
      </c>
      <c r="G109" s="16">
        <f>IF($C109="B",VLOOKUP($A109,Bat!$A$4:$BD$2323,G$1,FALSE),VLOOKUP($A109,Pit!$A$4:$AZ$2261,G$2,FALSE))</f>
        <v>21</v>
      </c>
      <c r="H109" s="16" t="str">
        <f>IF($C109="B",VLOOKUP($A109,Bat!$A$4:$BD$2323,H$1,FALSE),VLOOKUP($A109,Pit!$A$4:$AZ$2261,H$2,FALSE))</f>
        <v>S</v>
      </c>
      <c r="I109" s="16" t="str">
        <f>IF($C109="B",VLOOKUP($A109,Bat!$A$4:$BD$2323,I$1,FALSE),VLOOKUP($A109,Pit!$A$4:$AZ$2261,I$2,FALSE))</f>
        <v>L</v>
      </c>
      <c r="J109" s="16" t="str">
        <f>IF($C109="B",VLOOKUP($A109,Bat!$A$4:$BD$2323,J$1,FALSE),VLOOKUP($A109,Pit!$A$4:$AZ$2261,J$2,FALSE))</f>
        <v>Very Low</v>
      </c>
      <c r="K109" s="17" t="str">
        <f>IF($C109="B",VLOOKUP($A109,Bat!$A$4:$BD$2323,K$1,FALSE),VLOOKUP($A109,Pit!$A$4:$AZ$2261,K$2,FALSE))</f>
        <v>High</v>
      </c>
      <c r="L109" s="16">
        <f>IF($C109="B",VLOOKUP($A109,Bat!$A$4:$BD$2323,L$1,FALSE),VLOOKUP($A109,Pit!$A$4:$AZ$2261,L$2,FALSE))</f>
        <v>5</v>
      </c>
      <c r="M109" s="16">
        <f>IF($C109="B",VLOOKUP($A109,Bat!$A$4:$BD$2323,M$1,FALSE),VLOOKUP($A109,Pit!$A$4:$AZ$2261,M$2,FALSE))</f>
        <v>6</v>
      </c>
      <c r="N109" s="16">
        <f>IF($C109="B",VLOOKUP($A109,Bat!$A$4:$BD$2323,N$1,FALSE),VLOOKUP($A109,Pit!$A$4:$AZ$2261,N$2,FALSE))</f>
        <v>5</v>
      </c>
      <c r="O109" s="16">
        <f>IF($C109="B",VLOOKUP($A109,Bat!$A$4:$BD$2323,O$1,FALSE),VLOOKUP($A109,Pit!$A$4:$AZ$2261,O$2,FALSE))</f>
        <v>3</v>
      </c>
      <c r="P109" s="17">
        <f>IF($C109="B",VLOOKUP($A109,Bat!$A$4:$BD$2323,P$1,FALSE),VLOOKUP($A109,Pit!$A$4:$AZ$2261,P$2,FALSE))</f>
        <v>5</v>
      </c>
      <c r="Q109" s="18">
        <f>IF($C109="B",VLOOKUP($A109,Bat!$A$4:$BD$2323,Q$1,FALSE),VLOOKUP($A109,Pit!$A$4:$AZ$2261,Q$2,FALSE))</f>
        <v>11.097001979427951</v>
      </c>
      <c r="R109" s="19">
        <f>IF($C109="B",VLOOKUP($A109,Bat!$A$4:$BD$2323,R$1,FALSE),VLOOKUP($A109,Pit!$A$4:$AZ$2261,R$2,FALSE))</f>
        <v>5.9805608929425554E-2</v>
      </c>
      <c r="S109" s="20" t="str">
        <f>IF($C109="B",VLOOKUP($A109,Bat!$A$4:$BD$2323,S$1,FALSE),VLOOKUP($A109,Pit!$A$4:$AZ$2261,S$2,FALSE))</f>
        <v>Slot</v>
      </c>
      <c r="T109" s="17" t="str">
        <f>IF(S109="Slot","",VLOOKUP(IF($C109="B",VLOOKUP($A109,Bat!$A$4:$AT$2323,T$1,FALSE),VLOOKUP($A109,Pit!$A$4:$BD$2261,T$2,FALSE)),COND!$A$34:$B$40,2,FALSE))</f>
        <v/>
      </c>
      <c r="U109" s="21" t="str">
        <f>IF($C109="B",VLOOKUP($A109,Bat!$A$4:$AR$1287,44,FALSE),VLOOKUP($A109,Pit!$A$4:$BB$1239,54,FALSE))</f>
        <v/>
      </c>
      <c r="W109" s="21" t="str">
        <f t="shared" si="6"/>
        <v/>
      </c>
      <c r="X109" s="22" t="e">
        <f t="shared" si="7"/>
        <v>#N/A</v>
      </c>
      <c r="Y109" s="16" t="str">
        <f>IF(ISERROR(VLOOKUP($E109&amp;$F109,Results!$A$2:$G$413,Y$1,FALSE)),"",VLOOKUP($E109&amp;$F109,Results!$A$2:$G$413,Y$1,FALSE))</f>
        <v/>
      </c>
      <c r="Z109" s="16" t="str">
        <f>IF(ISERROR(VLOOKUP($E109&amp;$F109,Results!$A$2:$G$413,Z$1,FALSE)),"",VLOOKUP($E109&amp;$F109,Results!$A$2:$G$413,Z$1,FALSE))</f>
        <v/>
      </c>
      <c r="AA109" s="16" t="str">
        <f>IF(ISERROR(VLOOKUP($E109&amp;$F109,Results!$A$2:$G$413,AA$1,FALSE)),"",VLOOKUP($E109&amp;$F109,Results!$A$2:$G$413,AA$1,FALSE))</f>
        <v/>
      </c>
      <c r="AB109" s="16" t="str">
        <f>IF(ISERROR(VLOOKUP($E109&amp;$F109,Results!$A$2:$G$413,AB$1,FALSE)),"",VLOOKUP($E109&amp;$F109,Results!$A$2:$G$413,AB$1,FALSE))</f>
        <v/>
      </c>
      <c r="AC109" s="16"/>
      <c r="AD109" s="20" t="str">
        <f>IF(ISERROR(VLOOKUP($AB109&amp;"-"&amp;$F109,Bonuses!$B$1:$G$1000,4,FALSE)),"",INT(VLOOKUP($AB109&amp;"-"&amp;$F109,Bonuses!$B$1:$G$1000,4,FALSE)))</f>
        <v/>
      </c>
      <c r="AE109" s="16" t="str">
        <f>IF(ISERROR(VLOOKUP($AB109&amp;"-"&amp;$F109,Bonuses!$B$1:$G$1000,5,FALSE)),"",IF(VLOOKUP($AB109&amp;"-"&amp;$F109,Bonuses!$B$1:$G$1000,5,FALSE)="","",VLOOKUP($AB109&amp;"-"&amp;$F109,Bonuses!$B$1:$G$1000,6,FALSE)&amp;" yrs, "&amp;VLOOKUP($AB109&amp;"-"&amp;$F109,Bonuses!$B$1:$G$1000,5,FALSE)))</f>
        <v/>
      </c>
    </row>
    <row r="110" spans="1:31" s="21" customFormat="1">
      <c r="A110" s="21" t="s">
        <v>984</v>
      </c>
      <c r="B110" s="21">
        <f t="shared" si="4"/>
        <v>1</v>
      </c>
      <c r="C110" s="21" t="str">
        <f t="shared" si="5"/>
        <v>B</v>
      </c>
      <c r="D110" s="17">
        <f>IF($C110="B",VLOOKUP($A110,Bat!$A$4:$BD$2323,D$1,FALSE),VLOOKUP($A110,Pit!$A$4:$AZ$2261,D$2,FALSE))</f>
        <v>13813</v>
      </c>
      <c r="E110" s="16" t="str">
        <f>IF($C110="B",VLOOKUP($A110,Bat!$A$4:$BD$2323,E$1,FALSE),VLOOKUP($A110,Pit!$A$4:$AZ$2261,E$2,FALSE))</f>
        <v>1B</v>
      </c>
      <c r="F110" s="16" t="str">
        <f>IF($C110="B",VLOOKUP($A110,Bat!$A$4:$BD$2323,F$1,FALSE),VLOOKUP($A110,Pit!$A$4:$AZ$2261,F$2,FALSE))</f>
        <v>Mark Flannery</v>
      </c>
      <c r="G110" s="16">
        <f>IF($C110="B",VLOOKUP($A110,Bat!$A$4:$BD$2323,G$1,FALSE),VLOOKUP($A110,Pit!$A$4:$AZ$2261,G$2,FALSE))</f>
        <v>18</v>
      </c>
      <c r="H110" s="16" t="str">
        <f>IF($C110="B",VLOOKUP($A110,Bat!$A$4:$BD$2323,H$1,FALSE),VLOOKUP($A110,Pit!$A$4:$AZ$2261,H$2,FALSE))</f>
        <v>R</v>
      </c>
      <c r="I110" s="16" t="str">
        <f>IF($C110="B",VLOOKUP($A110,Bat!$A$4:$BD$2323,I$1,FALSE),VLOOKUP($A110,Pit!$A$4:$AZ$2261,I$2,FALSE))</f>
        <v>R</v>
      </c>
      <c r="J110" s="16" t="str">
        <f>IF($C110="B",VLOOKUP($A110,Bat!$A$4:$BD$2323,J$1,FALSE),VLOOKUP($A110,Pit!$A$4:$AZ$2261,J$2,FALSE))</f>
        <v>Low</v>
      </c>
      <c r="K110" s="17" t="str">
        <f>IF($C110="B",VLOOKUP($A110,Bat!$A$4:$BD$2323,K$1,FALSE),VLOOKUP($A110,Pit!$A$4:$AZ$2261,K$2,FALSE))</f>
        <v>Very Low</v>
      </c>
      <c r="L110" s="16">
        <f>IF($C110="B",VLOOKUP($A110,Bat!$A$4:$BD$2323,L$1,FALSE),VLOOKUP($A110,Pit!$A$4:$AZ$2261,L$2,FALSE))</f>
        <v>5</v>
      </c>
      <c r="M110" s="16">
        <f>IF($C110="B",VLOOKUP($A110,Bat!$A$4:$BD$2323,M$1,FALSE),VLOOKUP($A110,Pit!$A$4:$AZ$2261,M$2,FALSE))</f>
        <v>4</v>
      </c>
      <c r="N110" s="16">
        <f>IF($C110="B",VLOOKUP($A110,Bat!$A$4:$BD$2323,N$1,FALSE),VLOOKUP($A110,Pit!$A$4:$AZ$2261,N$2,FALSE))</f>
        <v>4</v>
      </c>
      <c r="O110" s="16">
        <f>IF($C110="B",VLOOKUP($A110,Bat!$A$4:$BD$2323,O$1,FALSE),VLOOKUP($A110,Pit!$A$4:$AZ$2261,O$2,FALSE))</f>
        <v>5</v>
      </c>
      <c r="P110" s="17">
        <f>IF($C110="B",VLOOKUP($A110,Bat!$A$4:$BD$2323,P$1,FALSE),VLOOKUP($A110,Pit!$A$4:$AZ$2261,P$2,FALSE))</f>
        <v>4</v>
      </c>
      <c r="Q110" s="18">
        <f>IF($C110="B",VLOOKUP($A110,Bat!$A$4:$BD$2323,Q$1,FALSE),VLOOKUP($A110,Pit!$A$4:$AZ$2261,Q$2,FALSE))</f>
        <v>11.070475023156773</v>
      </c>
      <c r="R110" s="19">
        <f>IF($C110="B",VLOOKUP($A110,Bat!$A$4:$BD$2323,R$1,FALSE),VLOOKUP($A110,Pit!$A$4:$AZ$2261,R$2,FALSE))</f>
        <v>5.6120387264227752E-2</v>
      </c>
      <c r="S110" s="20">
        <f>IF($C110="B",VLOOKUP($A110,Bat!$A$4:$BD$2323,S$1,FALSE),VLOOKUP($A110,Pit!$A$4:$AZ$2261,S$2,FALSE))</f>
        <v>1800000</v>
      </c>
      <c r="T110" s="17" t="str">
        <f>IF(S110="Slot","",VLOOKUP(IF($C110="B",VLOOKUP($A110,Bat!$A$4:$AT$2323,T$1,FALSE),VLOOKUP($A110,Pit!$A$4:$BD$2261,T$2,FALSE)),COND!$A$34:$B$40,2,FALSE))</f>
        <v>EH</v>
      </c>
      <c r="U110" s="21" t="str">
        <f>IF($C110="B",VLOOKUP($A110,Bat!$A$4:$AR$1287,44,FALSE),VLOOKUP($A110,Pit!$A$4:$BB$1239,54,FALSE))</f>
        <v/>
      </c>
      <c r="W110" s="21" t="str">
        <f t="shared" si="6"/>
        <v/>
      </c>
      <c r="X110" s="22" t="e">
        <f t="shared" si="7"/>
        <v>#N/A</v>
      </c>
      <c r="Y110" s="16" t="str">
        <f>IF(ISERROR(VLOOKUP($E110&amp;$F110,Results!$A$2:$G$413,Y$1,FALSE)),"",VLOOKUP($E110&amp;$F110,Results!$A$2:$G$413,Y$1,FALSE))</f>
        <v/>
      </c>
      <c r="Z110" s="16" t="str">
        <f>IF(ISERROR(VLOOKUP($E110&amp;$F110,Results!$A$2:$G$413,Z$1,FALSE)),"",VLOOKUP($E110&amp;$F110,Results!$A$2:$G$413,Z$1,FALSE))</f>
        <v/>
      </c>
      <c r="AA110" s="16" t="str">
        <f>IF(ISERROR(VLOOKUP($E110&amp;$F110,Results!$A$2:$G$413,AA$1,FALSE)),"",VLOOKUP($E110&amp;$F110,Results!$A$2:$G$413,AA$1,FALSE))</f>
        <v/>
      </c>
      <c r="AB110" s="16" t="str">
        <f>IF(ISERROR(VLOOKUP($E110&amp;$F110,Results!$A$2:$G$413,AB$1,FALSE)),"",VLOOKUP($E110&amp;$F110,Results!$A$2:$G$413,AB$1,FALSE))</f>
        <v/>
      </c>
      <c r="AC110" s="16"/>
      <c r="AD110" s="20" t="str">
        <f>IF(ISERROR(VLOOKUP($AB110&amp;"-"&amp;$F110,Bonuses!$B$1:$G$1000,4,FALSE)),"",INT(VLOOKUP($AB110&amp;"-"&amp;$F110,Bonuses!$B$1:$G$1000,4,FALSE)))</f>
        <v/>
      </c>
      <c r="AE110" s="16" t="str">
        <f>IF(ISERROR(VLOOKUP($AB110&amp;"-"&amp;$F110,Bonuses!$B$1:$G$1000,5,FALSE)),"",IF(VLOOKUP($AB110&amp;"-"&amp;$F110,Bonuses!$B$1:$G$1000,5,FALSE)="","",VLOOKUP($AB110&amp;"-"&amp;$F110,Bonuses!$B$1:$G$1000,6,FALSE)&amp;" yrs, "&amp;VLOOKUP($AB110&amp;"-"&amp;$F110,Bonuses!$B$1:$G$1000,5,FALSE)))</f>
        <v/>
      </c>
    </row>
    <row r="111" spans="1:31" s="21" customFormat="1">
      <c r="A111" s="21" t="s">
        <v>972</v>
      </c>
      <c r="B111" s="21">
        <f t="shared" si="4"/>
        <v>1</v>
      </c>
      <c r="C111" s="21" t="str">
        <f t="shared" si="5"/>
        <v>B</v>
      </c>
      <c r="D111" s="17" t="e">
        <f>IF($C111="B",VLOOKUP($A111,Bat!$A$4:$BD$2323,D$1,FALSE),VLOOKUP($A111,Pit!$A$4:$AZ$2261,D$2,FALSE))</f>
        <v>#N/A</v>
      </c>
      <c r="E111" s="16" t="e">
        <f>IF($C111="B",VLOOKUP($A111,Bat!$A$4:$BD$2323,E$1,FALSE),VLOOKUP($A111,Pit!$A$4:$AZ$2261,E$2,FALSE))</f>
        <v>#N/A</v>
      </c>
      <c r="F111" s="16" t="e">
        <f>IF($C111="B",VLOOKUP($A111,Bat!$A$4:$BD$2323,F$1,FALSE),VLOOKUP($A111,Pit!$A$4:$AZ$2261,F$2,FALSE))</f>
        <v>#N/A</v>
      </c>
      <c r="G111" s="16" t="e">
        <f>IF($C111="B",VLOOKUP($A111,Bat!$A$4:$BD$2323,G$1,FALSE),VLOOKUP($A111,Pit!$A$4:$AZ$2261,G$2,FALSE))</f>
        <v>#N/A</v>
      </c>
      <c r="H111" s="16" t="e">
        <f>IF($C111="B",VLOOKUP($A111,Bat!$A$4:$BD$2323,H$1,FALSE),VLOOKUP($A111,Pit!$A$4:$AZ$2261,H$2,FALSE))</f>
        <v>#N/A</v>
      </c>
      <c r="I111" s="16" t="e">
        <f>IF($C111="B",VLOOKUP($A111,Bat!$A$4:$BD$2323,I$1,FALSE),VLOOKUP($A111,Pit!$A$4:$AZ$2261,I$2,FALSE))</f>
        <v>#N/A</v>
      </c>
      <c r="J111" s="16" t="e">
        <f>IF($C111="B",VLOOKUP($A111,Bat!$A$4:$BD$2323,J$1,FALSE),VLOOKUP($A111,Pit!$A$4:$AZ$2261,J$2,FALSE))</f>
        <v>#N/A</v>
      </c>
      <c r="K111" s="17" t="e">
        <f>IF($C111="B",VLOOKUP($A111,Bat!$A$4:$BD$2323,K$1,FALSE),VLOOKUP($A111,Pit!$A$4:$AZ$2261,K$2,FALSE))</f>
        <v>#N/A</v>
      </c>
      <c r="L111" s="16" t="e">
        <f>IF($C111="B",VLOOKUP($A111,Bat!$A$4:$BD$2323,L$1,FALSE),VLOOKUP($A111,Pit!$A$4:$AZ$2261,L$2,FALSE))</f>
        <v>#N/A</v>
      </c>
      <c r="M111" s="16" t="e">
        <f>IF($C111="B",VLOOKUP($A111,Bat!$A$4:$BD$2323,M$1,FALSE),VLOOKUP($A111,Pit!$A$4:$AZ$2261,M$2,FALSE))</f>
        <v>#N/A</v>
      </c>
      <c r="N111" s="16" t="e">
        <f>IF($C111="B",VLOOKUP($A111,Bat!$A$4:$BD$2323,N$1,FALSE),VLOOKUP($A111,Pit!$A$4:$AZ$2261,N$2,FALSE))</f>
        <v>#N/A</v>
      </c>
      <c r="O111" s="16" t="e">
        <f>IF($C111="B",VLOOKUP($A111,Bat!$A$4:$BD$2323,O$1,FALSE),VLOOKUP($A111,Pit!$A$4:$AZ$2261,O$2,FALSE))</f>
        <v>#N/A</v>
      </c>
      <c r="P111" s="17" t="e">
        <f>IF($C111="B",VLOOKUP($A111,Bat!$A$4:$BD$2323,P$1,FALSE),VLOOKUP($A111,Pit!$A$4:$AZ$2261,P$2,FALSE))</f>
        <v>#N/A</v>
      </c>
      <c r="Q111" s="18" t="e">
        <f>IF($C111="B",VLOOKUP($A111,Bat!$A$4:$BD$2323,Q$1,FALSE),VLOOKUP($A111,Pit!$A$4:$AZ$2261,Q$2,FALSE))</f>
        <v>#N/A</v>
      </c>
      <c r="R111" s="19" t="e">
        <f>IF($C111="B",VLOOKUP($A111,Bat!$A$4:$BD$2323,R$1,FALSE),VLOOKUP($A111,Pit!$A$4:$AZ$2261,R$2,FALSE))</f>
        <v>#N/A</v>
      </c>
      <c r="S111" s="20" t="e">
        <f>IF($C111="B",VLOOKUP($A111,Bat!$A$4:$BD$2323,S$1,FALSE),VLOOKUP($A111,Pit!$A$4:$AZ$2261,S$2,FALSE))</f>
        <v>#N/A</v>
      </c>
      <c r="T111" s="17" t="e">
        <f>IF(S111="Slot","",VLOOKUP(IF($C111="B",VLOOKUP($A111,Bat!$A$4:$AT$2323,T$1,FALSE),VLOOKUP($A111,Pit!$A$4:$BD$2261,T$2,FALSE)),COND!$A$34:$B$40,2,FALSE))</f>
        <v>#N/A</v>
      </c>
      <c r="U111" s="21" t="e">
        <f>IF($C111="B",VLOOKUP($A111,Bat!$A$4:$AR$1287,44,FALSE),VLOOKUP($A111,Pit!$A$4:$BB$1239,54,FALSE))</f>
        <v>#N/A</v>
      </c>
      <c r="W111" s="21" t="e">
        <f t="shared" si="6"/>
        <v>#N/A</v>
      </c>
      <c r="X111" s="22" t="e">
        <f t="shared" si="7"/>
        <v>#N/A</v>
      </c>
      <c r="Y111" s="16" t="str">
        <f>IF(ISERROR(VLOOKUP($E111&amp;$F111,Results!$A$2:$G$413,Y$1,FALSE)),"",VLOOKUP($E111&amp;$F111,Results!$A$2:$G$413,Y$1,FALSE))</f>
        <v/>
      </c>
      <c r="Z111" s="16" t="str">
        <f>IF(ISERROR(VLOOKUP($E111&amp;$F111,Results!$A$2:$G$413,Z$1,FALSE)),"",VLOOKUP($E111&amp;$F111,Results!$A$2:$G$413,Z$1,FALSE))</f>
        <v/>
      </c>
      <c r="AA111" s="16" t="str">
        <f>IF(ISERROR(VLOOKUP($E111&amp;$F111,Results!$A$2:$G$413,AA$1,FALSE)),"",VLOOKUP($E111&amp;$F111,Results!$A$2:$G$413,AA$1,FALSE))</f>
        <v/>
      </c>
      <c r="AB111" s="16" t="str">
        <f>IF(ISERROR(VLOOKUP($E111&amp;$F111,Results!$A$2:$G$413,AB$1,FALSE)),"",VLOOKUP($E111&amp;$F111,Results!$A$2:$G$413,AB$1,FALSE))</f>
        <v/>
      </c>
      <c r="AC111" s="16"/>
      <c r="AD111" s="20" t="str">
        <f>IF(ISERROR(VLOOKUP($AB111&amp;"-"&amp;$F111,Bonuses!$B$1:$G$1000,4,FALSE)),"",INT(VLOOKUP($AB111&amp;"-"&amp;$F111,Bonuses!$B$1:$G$1000,4,FALSE)))</f>
        <v/>
      </c>
      <c r="AE111" s="16" t="str">
        <f>IF(ISERROR(VLOOKUP($AB111&amp;"-"&amp;$F111,Bonuses!$B$1:$G$1000,5,FALSE)),"",IF(VLOOKUP($AB111&amp;"-"&amp;$F111,Bonuses!$B$1:$G$1000,5,FALSE)="","",VLOOKUP($AB111&amp;"-"&amp;$F111,Bonuses!$B$1:$G$1000,6,FALSE)&amp;" yrs, "&amp;VLOOKUP($AB111&amp;"-"&amp;$F111,Bonuses!$B$1:$G$1000,5,FALSE)))</f>
        <v/>
      </c>
    </row>
    <row r="112" spans="1:31" s="21" customFormat="1">
      <c r="A112" s="21" t="s">
        <v>970</v>
      </c>
      <c r="B112" s="21">
        <f t="shared" si="4"/>
        <v>1</v>
      </c>
      <c r="C112" s="21" t="str">
        <f t="shared" si="5"/>
        <v>B</v>
      </c>
      <c r="D112" s="17">
        <f>IF($C112="B",VLOOKUP($A112,Bat!$A$4:$BD$2323,D$1,FALSE),VLOOKUP($A112,Pit!$A$4:$AZ$2261,D$2,FALSE))</f>
        <v>3860</v>
      </c>
      <c r="E112" s="16" t="str">
        <f>IF($C112="B",VLOOKUP($A112,Bat!$A$4:$BD$2323,E$1,FALSE),VLOOKUP($A112,Pit!$A$4:$AZ$2261,E$2,FALSE))</f>
        <v>CF</v>
      </c>
      <c r="F112" s="16" t="str">
        <f>IF($C112="B",VLOOKUP($A112,Bat!$A$4:$BD$2323,F$1,FALSE),VLOOKUP($A112,Pit!$A$4:$AZ$2261,F$2,FALSE))</f>
        <v>Jeff Washington</v>
      </c>
      <c r="G112" s="16">
        <f>IF($C112="B",VLOOKUP($A112,Bat!$A$4:$BD$2323,G$1,FALSE),VLOOKUP($A112,Pit!$A$4:$AZ$2261,G$2,FALSE))</f>
        <v>21</v>
      </c>
      <c r="H112" s="16" t="str">
        <f>IF($C112="B",VLOOKUP($A112,Bat!$A$4:$BD$2323,H$1,FALSE),VLOOKUP($A112,Pit!$A$4:$AZ$2261,H$2,FALSE))</f>
        <v>L</v>
      </c>
      <c r="I112" s="16" t="str">
        <f>IF($C112="B",VLOOKUP($A112,Bat!$A$4:$BD$2323,I$1,FALSE),VLOOKUP($A112,Pit!$A$4:$AZ$2261,I$2,FALSE))</f>
        <v>R</v>
      </c>
      <c r="J112" s="16" t="str">
        <f>IF($C112="B",VLOOKUP($A112,Bat!$A$4:$BD$2323,J$1,FALSE),VLOOKUP($A112,Pit!$A$4:$AZ$2261,J$2,FALSE))</f>
        <v>Very Low</v>
      </c>
      <c r="K112" s="17" t="str">
        <f>IF($C112="B",VLOOKUP($A112,Bat!$A$4:$BD$2323,K$1,FALSE),VLOOKUP($A112,Pit!$A$4:$AZ$2261,K$2,FALSE))</f>
        <v>Normal</v>
      </c>
      <c r="L112" s="16">
        <f>IF($C112="B",VLOOKUP($A112,Bat!$A$4:$BD$2323,L$1,FALSE),VLOOKUP($A112,Pit!$A$4:$AZ$2261,L$2,FALSE))</f>
        <v>5</v>
      </c>
      <c r="M112" s="16">
        <f>IF($C112="B",VLOOKUP($A112,Bat!$A$4:$BD$2323,M$1,FALSE),VLOOKUP($A112,Pit!$A$4:$AZ$2261,M$2,FALSE))</f>
        <v>5</v>
      </c>
      <c r="N112" s="16">
        <f>IF($C112="B",VLOOKUP($A112,Bat!$A$4:$BD$2323,N$1,FALSE),VLOOKUP($A112,Pit!$A$4:$AZ$2261,N$2,FALSE))</f>
        <v>4</v>
      </c>
      <c r="O112" s="16">
        <f>IF($C112="B",VLOOKUP($A112,Bat!$A$4:$BD$2323,O$1,FALSE),VLOOKUP($A112,Pit!$A$4:$AZ$2261,O$2,FALSE))</f>
        <v>3</v>
      </c>
      <c r="P112" s="17">
        <f>IF($C112="B",VLOOKUP($A112,Bat!$A$4:$BD$2323,P$1,FALSE),VLOOKUP($A112,Pit!$A$4:$AZ$2261,P$2,FALSE))</f>
        <v>4</v>
      </c>
      <c r="Q112" s="18">
        <f>IF($C112="B",VLOOKUP($A112,Bat!$A$4:$BD$2323,Q$1,FALSE),VLOOKUP($A112,Pit!$A$4:$AZ$2261,Q$2,FALSE))</f>
        <v>10.877550406583682</v>
      </c>
      <c r="R112" s="19">
        <f>IF($C112="B",VLOOKUP($A112,Bat!$A$4:$BD$2323,R$1,FALSE),VLOOKUP($A112,Pit!$A$4:$AZ$2261,R$2,FALSE))</f>
        <v>2.9318594797837362E-2</v>
      </c>
      <c r="S112" s="20" t="str">
        <f>IF($C112="B",VLOOKUP($A112,Bat!$A$4:$BD$2323,S$1,FALSE),VLOOKUP($A112,Pit!$A$4:$AZ$2261,S$2,FALSE))</f>
        <v>Slot</v>
      </c>
      <c r="T112" s="17" t="str">
        <f>IF(S112="Slot","",VLOOKUP(IF($C112="B",VLOOKUP($A112,Bat!$A$4:$AT$2323,T$1,FALSE),VLOOKUP($A112,Pit!$A$4:$BD$2261,T$2,FALSE)),COND!$A$34:$B$40,2,FALSE))</f>
        <v/>
      </c>
      <c r="U112" s="21" t="str">
        <f>IF($C112="B",VLOOKUP($A112,Bat!$A$4:$AR$1287,44,FALSE),VLOOKUP($A112,Pit!$A$4:$BB$1239,54,FALSE))</f>
        <v/>
      </c>
      <c r="W112" s="21" t="str">
        <f t="shared" si="6"/>
        <v/>
      </c>
      <c r="X112" s="22" t="e">
        <f t="shared" si="7"/>
        <v>#N/A</v>
      </c>
      <c r="Y112" s="16" t="str">
        <f>IF(ISERROR(VLOOKUP($E112&amp;$F112,Results!$A$2:$G$413,Y$1,FALSE)),"",VLOOKUP($E112&amp;$F112,Results!$A$2:$G$413,Y$1,FALSE))</f>
        <v/>
      </c>
      <c r="Z112" s="16" t="str">
        <f>IF(ISERROR(VLOOKUP($E112&amp;$F112,Results!$A$2:$G$413,Z$1,FALSE)),"",VLOOKUP($E112&amp;$F112,Results!$A$2:$G$413,Z$1,FALSE))</f>
        <v/>
      </c>
      <c r="AA112" s="16" t="str">
        <f>IF(ISERROR(VLOOKUP($E112&amp;$F112,Results!$A$2:$G$413,AA$1,FALSE)),"",VLOOKUP($E112&amp;$F112,Results!$A$2:$G$413,AA$1,FALSE))</f>
        <v/>
      </c>
      <c r="AB112" s="16" t="str">
        <f>IF(ISERROR(VLOOKUP($E112&amp;$F112,Results!$A$2:$G$413,AB$1,FALSE)),"",VLOOKUP($E112&amp;$F112,Results!$A$2:$G$413,AB$1,FALSE))</f>
        <v/>
      </c>
      <c r="AC112" s="16"/>
      <c r="AD112" s="20" t="str">
        <f>IF(ISERROR(VLOOKUP($AB112&amp;"-"&amp;$F112,Bonuses!$B$1:$G$1000,4,FALSE)),"",INT(VLOOKUP($AB112&amp;"-"&amp;$F112,Bonuses!$B$1:$G$1000,4,FALSE)))</f>
        <v/>
      </c>
      <c r="AE112" s="16" t="str">
        <f>IF(ISERROR(VLOOKUP($AB112&amp;"-"&amp;$F112,Bonuses!$B$1:$G$1000,5,FALSE)),"",IF(VLOOKUP($AB112&amp;"-"&amp;$F112,Bonuses!$B$1:$G$1000,5,FALSE)="","",VLOOKUP($AB112&amp;"-"&amp;$F112,Bonuses!$B$1:$G$1000,6,FALSE)&amp;" yrs, "&amp;VLOOKUP($AB112&amp;"-"&amp;$F112,Bonuses!$B$1:$G$1000,5,FALSE)))</f>
        <v/>
      </c>
    </row>
    <row r="113" spans="1:31" s="21" customFormat="1">
      <c r="A113" s="21" t="s">
        <v>637</v>
      </c>
      <c r="B113" s="21">
        <f t="shared" si="4"/>
        <v>1</v>
      </c>
      <c r="C113" s="21" t="str">
        <f t="shared" si="5"/>
        <v>B</v>
      </c>
      <c r="D113" s="17">
        <f>IF($C113="B",VLOOKUP($A113,Bat!$A$4:$BD$2323,D$1,FALSE),VLOOKUP($A113,Pit!$A$4:$AZ$2261,D$2,FALSE))</f>
        <v>6979</v>
      </c>
      <c r="E113" s="16" t="str">
        <f>IF($C113="B",VLOOKUP($A113,Bat!$A$4:$BD$2323,E$1,FALSE),VLOOKUP($A113,Pit!$A$4:$AZ$2261,E$2,FALSE))</f>
        <v>C</v>
      </c>
      <c r="F113" s="16" t="str">
        <f>IF($C113="B",VLOOKUP($A113,Bat!$A$4:$BD$2323,F$1,FALSE),VLOOKUP($A113,Pit!$A$4:$AZ$2261,F$2,FALSE))</f>
        <v>Ken Phillips</v>
      </c>
      <c r="G113" s="16">
        <f>IF($C113="B",VLOOKUP($A113,Bat!$A$4:$BD$2323,G$1,FALSE),VLOOKUP($A113,Pit!$A$4:$AZ$2261,G$2,FALSE))</f>
        <v>21</v>
      </c>
      <c r="H113" s="16" t="str">
        <f>IF($C113="B",VLOOKUP($A113,Bat!$A$4:$BD$2323,H$1,FALSE),VLOOKUP($A113,Pit!$A$4:$AZ$2261,H$2,FALSE))</f>
        <v>R</v>
      </c>
      <c r="I113" s="16" t="str">
        <f>IF($C113="B",VLOOKUP($A113,Bat!$A$4:$BD$2323,I$1,FALSE),VLOOKUP($A113,Pit!$A$4:$AZ$2261,I$2,FALSE))</f>
        <v>R</v>
      </c>
      <c r="J113" s="16" t="str">
        <f>IF($C113="B",VLOOKUP($A113,Bat!$A$4:$BD$2323,J$1,FALSE),VLOOKUP($A113,Pit!$A$4:$AZ$2261,J$2,FALSE))</f>
        <v>Very High</v>
      </c>
      <c r="K113" s="17" t="str">
        <f>IF($C113="B",VLOOKUP($A113,Bat!$A$4:$BD$2323,K$1,FALSE),VLOOKUP($A113,Pit!$A$4:$AZ$2261,K$2,FALSE))</f>
        <v>Very High</v>
      </c>
      <c r="L113" s="16">
        <f>IF($C113="B",VLOOKUP($A113,Bat!$A$4:$BD$2323,L$1,FALSE),VLOOKUP($A113,Pit!$A$4:$AZ$2261,L$2,FALSE))</f>
        <v>5</v>
      </c>
      <c r="M113" s="16">
        <f>IF($C113="B",VLOOKUP($A113,Bat!$A$4:$BD$2323,M$1,FALSE),VLOOKUP($A113,Pit!$A$4:$AZ$2261,M$2,FALSE))</f>
        <v>3</v>
      </c>
      <c r="N113" s="16">
        <f>IF($C113="B",VLOOKUP($A113,Bat!$A$4:$BD$2323,N$1,FALSE),VLOOKUP($A113,Pit!$A$4:$AZ$2261,N$2,FALSE))</f>
        <v>4</v>
      </c>
      <c r="O113" s="16">
        <f>IF($C113="B",VLOOKUP($A113,Bat!$A$4:$BD$2323,O$1,FALSE),VLOOKUP($A113,Pit!$A$4:$AZ$2261,O$2,FALSE))</f>
        <v>4</v>
      </c>
      <c r="P113" s="17">
        <f>IF($C113="B",VLOOKUP($A113,Bat!$A$4:$BD$2323,P$1,FALSE),VLOOKUP($A113,Pit!$A$4:$AZ$2261,P$2,FALSE))</f>
        <v>4</v>
      </c>
      <c r="Q113" s="18">
        <f>IF($C113="B",VLOOKUP($A113,Bat!$A$4:$BD$2323,Q$1,FALSE),VLOOKUP($A113,Pit!$A$4:$AZ$2261,Q$2,FALSE))</f>
        <v>10.78403260047442</v>
      </c>
      <c r="R113" s="19">
        <f>IF($C113="B",VLOOKUP($A113,Bat!$A$4:$BD$2323,R$1,FALSE),VLOOKUP($A113,Pit!$A$4:$AZ$2261,R$2,FALSE))</f>
        <v>1.632675956304774E-2</v>
      </c>
      <c r="S113" s="20" t="str">
        <f>IF($C113="B",VLOOKUP($A113,Bat!$A$4:$BD$2323,S$1,FALSE),VLOOKUP($A113,Pit!$A$4:$AZ$2261,S$2,FALSE))</f>
        <v>Slot</v>
      </c>
      <c r="T113" s="17" t="str">
        <f>IF(S113="Slot","",VLOOKUP(IF($C113="B",VLOOKUP($A113,Bat!$A$4:$AT$2323,T$1,FALSE),VLOOKUP($A113,Pit!$A$4:$BD$2261,T$2,FALSE)),COND!$A$34:$B$40,2,FALSE))</f>
        <v/>
      </c>
      <c r="U113" s="21" t="str">
        <f>IF($C113="B",VLOOKUP($A113,Bat!$A$4:$AR$1287,44,FALSE),VLOOKUP($A113,Pit!$A$4:$BB$1239,54,FALSE))</f>
        <v/>
      </c>
      <c r="W113" s="21" t="str">
        <f t="shared" si="6"/>
        <v/>
      </c>
      <c r="X113" s="22" t="e">
        <f t="shared" si="7"/>
        <v>#N/A</v>
      </c>
      <c r="Y113" s="16" t="str">
        <f>IF(ISERROR(VLOOKUP($E113&amp;$F113,Results!$A$2:$G$413,Y$1,FALSE)),"",VLOOKUP($E113&amp;$F113,Results!$A$2:$G$413,Y$1,FALSE))</f>
        <v/>
      </c>
      <c r="Z113" s="16" t="str">
        <f>IF(ISERROR(VLOOKUP($E113&amp;$F113,Results!$A$2:$G$413,Z$1,FALSE)),"",VLOOKUP($E113&amp;$F113,Results!$A$2:$G$413,Z$1,FALSE))</f>
        <v/>
      </c>
      <c r="AA113" s="16" t="str">
        <f>IF(ISERROR(VLOOKUP($E113&amp;$F113,Results!$A$2:$G$413,AA$1,FALSE)),"",VLOOKUP($E113&amp;$F113,Results!$A$2:$G$413,AA$1,FALSE))</f>
        <v/>
      </c>
      <c r="AB113" s="16" t="str">
        <f>IF(ISERROR(VLOOKUP($E113&amp;$F113,Results!$A$2:$G$413,AB$1,FALSE)),"",VLOOKUP($E113&amp;$F113,Results!$A$2:$G$413,AB$1,FALSE))</f>
        <v/>
      </c>
      <c r="AC113" s="16"/>
      <c r="AD113" s="20" t="str">
        <f>IF(ISERROR(VLOOKUP($AB113&amp;"-"&amp;$F113,Bonuses!$B$1:$G$1000,4,FALSE)),"",INT(VLOOKUP($AB113&amp;"-"&amp;$F113,Bonuses!$B$1:$G$1000,4,FALSE)))</f>
        <v/>
      </c>
      <c r="AE113" s="16" t="str">
        <f>IF(ISERROR(VLOOKUP($AB113&amp;"-"&amp;$F113,Bonuses!$B$1:$G$1000,5,FALSE)),"",IF(VLOOKUP($AB113&amp;"-"&amp;$F113,Bonuses!$B$1:$G$1000,5,FALSE)="","",VLOOKUP($AB113&amp;"-"&amp;$F113,Bonuses!$B$1:$G$1000,6,FALSE)&amp;" yrs, "&amp;VLOOKUP($AB113&amp;"-"&amp;$F113,Bonuses!$B$1:$G$1000,5,FALSE)))</f>
        <v/>
      </c>
    </row>
    <row r="114" spans="1:31" s="21" customFormat="1">
      <c r="A114" s="21" t="s">
        <v>957</v>
      </c>
      <c r="B114" s="21">
        <f t="shared" si="4"/>
        <v>1</v>
      </c>
      <c r="C114" s="21" t="str">
        <f t="shared" si="5"/>
        <v>B</v>
      </c>
      <c r="D114" s="17" t="e">
        <f>IF($C114="B",VLOOKUP($A114,Bat!$A$4:$BD$2323,D$1,FALSE),VLOOKUP($A114,Pit!$A$4:$AZ$2261,D$2,FALSE))</f>
        <v>#N/A</v>
      </c>
      <c r="E114" s="16" t="e">
        <f>IF($C114="B",VLOOKUP($A114,Bat!$A$4:$BD$2323,E$1,FALSE),VLOOKUP($A114,Pit!$A$4:$AZ$2261,E$2,FALSE))</f>
        <v>#N/A</v>
      </c>
      <c r="F114" s="16" t="e">
        <f>IF($C114="B",VLOOKUP($A114,Bat!$A$4:$BD$2323,F$1,FALSE),VLOOKUP($A114,Pit!$A$4:$AZ$2261,F$2,FALSE))</f>
        <v>#N/A</v>
      </c>
      <c r="G114" s="16" t="e">
        <f>IF($C114="B",VLOOKUP($A114,Bat!$A$4:$BD$2323,G$1,FALSE),VLOOKUP($A114,Pit!$A$4:$AZ$2261,G$2,FALSE))</f>
        <v>#N/A</v>
      </c>
      <c r="H114" s="16" t="e">
        <f>IF($C114="B",VLOOKUP($A114,Bat!$A$4:$BD$2323,H$1,FALSE),VLOOKUP($A114,Pit!$A$4:$AZ$2261,H$2,FALSE))</f>
        <v>#N/A</v>
      </c>
      <c r="I114" s="16" t="e">
        <f>IF($C114="B",VLOOKUP($A114,Bat!$A$4:$BD$2323,I$1,FALSE),VLOOKUP($A114,Pit!$A$4:$AZ$2261,I$2,FALSE))</f>
        <v>#N/A</v>
      </c>
      <c r="J114" s="16" t="e">
        <f>IF($C114="B",VLOOKUP($A114,Bat!$A$4:$BD$2323,J$1,FALSE),VLOOKUP($A114,Pit!$A$4:$AZ$2261,J$2,FALSE))</f>
        <v>#N/A</v>
      </c>
      <c r="K114" s="17" t="e">
        <f>IF($C114="B",VLOOKUP($A114,Bat!$A$4:$BD$2323,K$1,FALSE),VLOOKUP($A114,Pit!$A$4:$AZ$2261,K$2,FALSE))</f>
        <v>#N/A</v>
      </c>
      <c r="L114" s="16" t="e">
        <f>IF($C114="B",VLOOKUP($A114,Bat!$A$4:$BD$2323,L$1,FALSE),VLOOKUP($A114,Pit!$A$4:$AZ$2261,L$2,FALSE))</f>
        <v>#N/A</v>
      </c>
      <c r="M114" s="16" t="e">
        <f>IF($C114="B",VLOOKUP($A114,Bat!$A$4:$BD$2323,M$1,FALSE),VLOOKUP($A114,Pit!$A$4:$AZ$2261,M$2,FALSE))</f>
        <v>#N/A</v>
      </c>
      <c r="N114" s="16" t="e">
        <f>IF($C114="B",VLOOKUP($A114,Bat!$A$4:$BD$2323,N$1,FALSE),VLOOKUP($A114,Pit!$A$4:$AZ$2261,N$2,FALSE))</f>
        <v>#N/A</v>
      </c>
      <c r="O114" s="16" t="e">
        <f>IF($C114="B",VLOOKUP($A114,Bat!$A$4:$BD$2323,O$1,FALSE),VLOOKUP($A114,Pit!$A$4:$AZ$2261,O$2,FALSE))</f>
        <v>#N/A</v>
      </c>
      <c r="P114" s="17" t="e">
        <f>IF($C114="B",VLOOKUP($A114,Bat!$A$4:$BD$2323,P$1,FALSE),VLOOKUP($A114,Pit!$A$4:$AZ$2261,P$2,FALSE))</f>
        <v>#N/A</v>
      </c>
      <c r="Q114" s="18" t="e">
        <f>IF($C114="B",VLOOKUP($A114,Bat!$A$4:$BD$2323,Q$1,FALSE),VLOOKUP($A114,Pit!$A$4:$AZ$2261,Q$2,FALSE))</f>
        <v>#N/A</v>
      </c>
      <c r="R114" s="19" t="e">
        <f>IF($C114="B",VLOOKUP($A114,Bat!$A$4:$BD$2323,R$1,FALSE),VLOOKUP($A114,Pit!$A$4:$AZ$2261,R$2,FALSE))</f>
        <v>#N/A</v>
      </c>
      <c r="S114" s="20" t="e">
        <f>IF($C114="B",VLOOKUP($A114,Bat!$A$4:$BD$2323,S$1,FALSE),VLOOKUP($A114,Pit!$A$4:$AZ$2261,S$2,FALSE))</f>
        <v>#N/A</v>
      </c>
      <c r="T114" s="17" t="e">
        <f>IF(S114="Slot","",VLOOKUP(IF($C114="B",VLOOKUP($A114,Bat!$A$4:$AT$2323,T$1,FALSE),VLOOKUP($A114,Pit!$A$4:$BD$2261,T$2,FALSE)),COND!$A$34:$B$40,2,FALSE))</f>
        <v>#N/A</v>
      </c>
      <c r="U114" s="21" t="e">
        <f>IF($C114="B",VLOOKUP($A114,Bat!$A$4:$AR$1287,44,FALSE),VLOOKUP($A114,Pit!$A$4:$BB$1239,54,FALSE))</f>
        <v>#N/A</v>
      </c>
      <c r="W114" s="21" t="e">
        <f t="shared" si="6"/>
        <v>#N/A</v>
      </c>
      <c r="X114" s="22" t="e">
        <f t="shared" si="7"/>
        <v>#N/A</v>
      </c>
      <c r="Y114" s="16" t="str">
        <f>IF(ISERROR(VLOOKUP($E114&amp;$F114,Results!$A$2:$G$413,Y$1,FALSE)),"",VLOOKUP($E114&amp;$F114,Results!$A$2:$G$413,Y$1,FALSE))</f>
        <v/>
      </c>
      <c r="Z114" s="16" t="str">
        <f>IF(ISERROR(VLOOKUP($E114&amp;$F114,Results!$A$2:$G$413,Z$1,FALSE)),"",VLOOKUP($E114&amp;$F114,Results!$A$2:$G$413,Z$1,FALSE))</f>
        <v/>
      </c>
      <c r="AA114" s="16" t="str">
        <f>IF(ISERROR(VLOOKUP($E114&amp;$F114,Results!$A$2:$G$413,AA$1,FALSE)),"",VLOOKUP($E114&amp;$F114,Results!$A$2:$G$413,AA$1,FALSE))</f>
        <v/>
      </c>
      <c r="AB114" s="16" t="str">
        <f>IF(ISERROR(VLOOKUP($E114&amp;$F114,Results!$A$2:$G$413,AB$1,FALSE)),"",VLOOKUP($E114&amp;$F114,Results!$A$2:$G$413,AB$1,FALSE))</f>
        <v/>
      </c>
      <c r="AC114" s="16"/>
      <c r="AD114" s="20" t="str">
        <f>IF(ISERROR(VLOOKUP($AB114&amp;"-"&amp;$F114,Bonuses!$B$1:$G$1000,4,FALSE)),"",INT(VLOOKUP($AB114&amp;"-"&amp;$F114,Bonuses!$B$1:$G$1000,4,FALSE)))</f>
        <v/>
      </c>
      <c r="AE114" s="16" t="str">
        <f>IF(ISERROR(VLOOKUP($AB114&amp;"-"&amp;$F114,Bonuses!$B$1:$G$1000,5,FALSE)),"",IF(VLOOKUP($AB114&amp;"-"&amp;$F114,Bonuses!$B$1:$G$1000,5,FALSE)="","",VLOOKUP($AB114&amp;"-"&amp;$F114,Bonuses!$B$1:$G$1000,6,FALSE)&amp;" yrs, "&amp;VLOOKUP($AB114&amp;"-"&amp;$F114,Bonuses!$B$1:$G$1000,5,FALSE)))</f>
        <v/>
      </c>
    </row>
    <row r="115" spans="1:31" s="21" customFormat="1">
      <c r="A115" s="21" t="s">
        <v>825</v>
      </c>
      <c r="B115" s="21">
        <f t="shared" si="4"/>
        <v>1</v>
      </c>
      <c r="C115" s="21" t="str">
        <f t="shared" si="5"/>
        <v>B</v>
      </c>
      <c r="D115" s="17">
        <f>IF($C115="B",VLOOKUP($A115,Bat!$A$4:$BD$2323,D$1,FALSE),VLOOKUP($A115,Pit!$A$4:$AZ$2261,D$2,FALSE))</f>
        <v>12088</v>
      </c>
      <c r="E115" s="16" t="str">
        <f>IF($C115="B",VLOOKUP($A115,Bat!$A$4:$BD$2323,E$1,FALSE),VLOOKUP($A115,Pit!$A$4:$AZ$2261,E$2,FALSE))</f>
        <v>RF</v>
      </c>
      <c r="F115" s="16" t="str">
        <f>IF($C115="B",VLOOKUP($A115,Bat!$A$4:$BD$2323,F$1,FALSE),VLOOKUP($A115,Pit!$A$4:$AZ$2261,F$2,FALSE))</f>
        <v>David McKenzie</v>
      </c>
      <c r="G115" s="16">
        <f>IF($C115="B",VLOOKUP($A115,Bat!$A$4:$BD$2323,G$1,FALSE),VLOOKUP($A115,Pit!$A$4:$AZ$2261,G$2,FALSE))</f>
        <v>22</v>
      </c>
      <c r="H115" s="16" t="str">
        <f>IF($C115="B",VLOOKUP($A115,Bat!$A$4:$BD$2323,H$1,FALSE),VLOOKUP($A115,Pit!$A$4:$AZ$2261,H$2,FALSE))</f>
        <v>L</v>
      </c>
      <c r="I115" s="16" t="str">
        <f>IF($C115="B",VLOOKUP($A115,Bat!$A$4:$BD$2323,I$1,FALSE),VLOOKUP($A115,Pit!$A$4:$AZ$2261,I$2,FALSE))</f>
        <v>L</v>
      </c>
      <c r="J115" s="16" t="str">
        <f>IF($C115="B",VLOOKUP($A115,Bat!$A$4:$BD$2323,J$1,FALSE),VLOOKUP($A115,Pit!$A$4:$AZ$2261,J$2,FALSE))</f>
        <v>Very Low</v>
      </c>
      <c r="K115" s="17" t="str">
        <f>IF($C115="B",VLOOKUP($A115,Bat!$A$4:$BD$2323,K$1,FALSE),VLOOKUP($A115,Pit!$A$4:$AZ$2261,K$2,FALSE))</f>
        <v>Very Low</v>
      </c>
      <c r="L115" s="16">
        <f>IF($C115="B",VLOOKUP($A115,Bat!$A$4:$BD$2323,L$1,FALSE),VLOOKUP($A115,Pit!$A$4:$AZ$2261,L$2,FALSE))</f>
        <v>5</v>
      </c>
      <c r="M115" s="16">
        <f>IF($C115="B",VLOOKUP($A115,Bat!$A$4:$BD$2323,M$1,FALSE),VLOOKUP($A115,Pit!$A$4:$AZ$2261,M$2,FALSE))</f>
        <v>6</v>
      </c>
      <c r="N115" s="16">
        <f>IF($C115="B",VLOOKUP($A115,Bat!$A$4:$BD$2323,N$1,FALSE),VLOOKUP($A115,Pit!$A$4:$AZ$2261,N$2,FALSE))</f>
        <v>3</v>
      </c>
      <c r="O115" s="16">
        <f>IF($C115="B",VLOOKUP($A115,Bat!$A$4:$BD$2323,O$1,FALSE),VLOOKUP($A115,Pit!$A$4:$AZ$2261,O$2,FALSE))</f>
        <v>5</v>
      </c>
      <c r="P115" s="17">
        <f>IF($C115="B",VLOOKUP($A115,Bat!$A$4:$BD$2323,P$1,FALSE),VLOOKUP($A115,Pit!$A$4:$AZ$2261,P$2,FALSE))</f>
        <v>4</v>
      </c>
      <c r="Q115" s="18">
        <f>IF($C115="B",VLOOKUP($A115,Bat!$A$4:$BD$2323,Q$1,FALSE),VLOOKUP($A115,Pit!$A$4:$AZ$2261,Q$2,FALSE))</f>
        <v>10.718387256441673</v>
      </c>
      <c r="R115" s="19">
        <f>IF($C115="B",VLOOKUP($A115,Bat!$A$4:$BD$2323,R$1,FALSE),VLOOKUP($A115,Pit!$A$4:$AZ$2261,R$2,FALSE))</f>
        <v>7.2070685749154872E-3</v>
      </c>
      <c r="S115" s="20">
        <f>IF($C115="B",VLOOKUP($A115,Bat!$A$4:$BD$2323,S$1,FALSE),VLOOKUP($A115,Pit!$A$4:$AZ$2261,S$2,FALSE))</f>
        <v>2100000</v>
      </c>
      <c r="T115" s="17" t="str">
        <f>IF(S115="Slot","",VLOOKUP(IF($C115="B",VLOOKUP($A115,Bat!$A$4:$AT$2323,T$1,FALSE),VLOOKUP($A115,Pit!$A$4:$BD$2261,T$2,FALSE)),COND!$A$34:$B$40,2,FALSE))</f>
        <v>EH</v>
      </c>
      <c r="U115" s="21" t="str">
        <f>IF($C115="B",VLOOKUP($A115,Bat!$A$4:$AR$1287,44,FALSE),VLOOKUP($A115,Pit!$A$4:$BB$1239,54,FALSE))</f>
        <v/>
      </c>
      <c r="W115" s="21" t="str">
        <f t="shared" si="6"/>
        <v/>
      </c>
      <c r="X115" s="22" t="e">
        <f t="shared" si="7"/>
        <v>#N/A</v>
      </c>
      <c r="Y115" s="16" t="str">
        <f>IF(ISERROR(VLOOKUP($E115&amp;$F115,Results!$A$2:$G$413,Y$1,FALSE)),"",VLOOKUP($E115&amp;$F115,Results!$A$2:$G$413,Y$1,FALSE))</f>
        <v/>
      </c>
      <c r="Z115" s="16" t="str">
        <f>IF(ISERROR(VLOOKUP($E115&amp;$F115,Results!$A$2:$G$413,Z$1,FALSE)),"",VLOOKUP($E115&amp;$F115,Results!$A$2:$G$413,Z$1,FALSE))</f>
        <v/>
      </c>
      <c r="AA115" s="16" t="str">
        <f>IF(ISERROR(VLOOKUP($E115&amp;$F115,Results!$A$2:$G$413,AA$1,FALSE)),"",VLOOKUP($E115&amp;$F115,Results!$A$2:$G$413,AA$1,FALSE))</f>
        <v/>
      </c>
      <c r="AB115" s="16" t="str">
        <f>IF(ISERROR(VLOOKUP($E115&amp;$F115,Results!$A$2:$G$413,AB$1,FALSE)),"",VLOOKUP($E115&amp;$F115,Results!$A$2:$G$413,AB$1,FALSE))</f>
        <v/>
      </c>
      <c r="AC115" s="16"/>
      <c r="AD115" s="20" t="str">
        <f>IF(ISERROR(VLOOKUP($AB115&amp;"-"&amp;$F115,Bonuses!$B$1:$G$1000,4,FALSE)),"",INT(VLOOKUP($AB115&amp;"-"&amp;$F115,Bonuses!$B$1:$G$1000,4,FALSE)))</f>
        <v/>
      </c>
      <c r="AE115" s="16" t="str">
        <f>IF(ISERROR(VLOOKUP($AB115&amp;"-"&amp;$F115,Bonuses!$B$1:$G$1000,5,FALSE)),"",IF(VLOOKUP($AB115&amp;"-"&amp;$F115,Bonuses!$B$1:$G$1000,5,FALSE)="","",VLOOKUP($AB115&amp;"-"&amp;$F115,Bonuses!$B$1:$G$1000,6,FALSE)&amp;" yrs, "&amp;VLOOKUP($AB115&amp;"-"&amp;$F115,Bonuses!$B$1:$G$1000,5,FALSE)))</f>
        <v/>
      </c>
    </row>
    <row r="116" spans="1:31" s="21" customFormat="1">
      <c r="A116" s="21" t="s">
        <v>983</v>
      </c>
      <c r="B116" s="21">
        <f t="shared" si="4"/>
        <v>1</v>
      </c>
      <c r="C116" s="21" t="str">
        <f t="shared" si="5"/>
        <v>B</v>
      </c>
      <c r="D116" s="17" t="e">
        <f>IF($C116="B",VLOOKUP($A116,Bat!$A$4:$BD$2323,D$1,FALSE),VLOOKUP($A116,Pit!$A$4:$AZ$2261,D$2,FALSE))</f>
        <v>#N/A</v>
      </c>
      <c r="E116" s="16" t="str">
        <f>IF($C116="B",VLOOKUP($A116,Bat!$A$4:$BD$2323,E$1,FALSE),VLOOKUP($A116,Pit!$A$4:$AZ$2261,E$2,FALSE))</f>
        <v>RF</v>
      </c>
      <c r="F116" s="16" t="str">
        <f>IF($C116="B",VLOOKUP($A116,Bat!$A$4:$BD$2323,F$1,FALSE),VLOOKUP($A116,Pit!$A$4:$AZ$2261,F$2,FALSE))</f>
        <v>Víctor Maldonado</v>
      </c>
      <c r="G116" s="16">
        <f>IF($C116="B",VLOOKUP($A116,Bat!$A$4:$BD$2323,G$1,FALSE),VLOOKUP($A116,Pit!$A$4:$AZ$2261,G$2,FALSE))</f>
        <v>23</v>
      </c>
      <c r="H116" s="16" t="str">
        <f>IF($C116="B",VLOOKUP($A116,Bat!$A$4:$BD$2323,H$1,FALSE),VLOOKUP($A116,Pit!$A$4:$AZ$2261,H$2,FALSE))</f>
        <v>R</v>
      </c>
      <c r="I116" s="16" t="str">
        <f>IF($C116="B",VLOOKUP($A116,Bat!$A$4:$BD$2323,I$1,FALSE),VLOOKUP($A116,Pit!$A$4:$AZ$2261,I$2,FALSE))</f>
        <v>R</v>
      </c>
      <c r="J116" s="16" t="str">
        <f>IF($C116="B",VLOOKUP($A116,Bat!$A$4:$BD$2323,J$1,FALSE),VLOOKUP($A116,Pit!$A$4:$AZ$2261,J$2,FALSE))</f>
        <v>Low</v>
      </c>
      <c r="K116" s="17" t="str">
        <f>IF($C116="B",VLOOKUP($A116,Bat!$A$4:$BD$2323,K$1,FALSE),VLOOKUP($A116,Pit!$A$4:$AZ$2261,K$2,FALSE))</f>
        <v>Very High</v>
      </c>
      <c r="L116" s="16">
        <f>IF($C116="B",VLOOKUP($A116,Bat!$A$4:$BD$2323,L$1,FALSE),VLOOKUP($A116,Pit!$A$4:$AZ$2261,L$2,FALSE))</f>
        <v>5</v>
      </c>
      <c r="M116" s="16">
        <f>IF($C116="B",VLOOKUP($A116,Bat!$A$4:$BD$2323,M$1,FALSE),VLOOKUP($A116,Pit!$A$4:$AZ$2261,M$2,FALSE))</f>
        <v>5</v>
      </c>
      <c r="N116" s="16">
        <f>IF($C116="B",VLOOKUP($A116,Bat!$A$4:$BD$2323,N$1,FALSE),VLOOKUP($A116,Pit!$A$4:$AZ$2261,N$2,FALSE))</f>
        <v>3</v>
      </c>
      <c r="O116" s="16">
        <f>IF($C116="B",VLOOKUP($A116,Bat!$A$4:$BD$2323,O$1,FALSE),VLOOKUP($A116,Pit!$A$4:$AZ$2261,O$2,FALSE))</f>
        <v>4</v>
      </c>
      <c r="P116" s="17">
        <f>IF($C116="B",VLOOKUP($A116,Bat!$A$4:$BD$2323,P$1,FALSE),VLOOKUP($A116,Pit!$A$4:$AZ$2261,P$2,FALSE))</f>
        <v>5</v>
      </c>
      <c r="Q116" s="18">
        <f>IF($C116="B",VLOOKUP($A116,Bat!$A$4:$BD$2323,Q$1,FALSE),VLOOKUP($A116,Pit!$A$4:$AZ$2261,Q$2,FALSE))</f>
        <v>10.6582458247271</v>
      </c>
      <c r="R116" s="19">
        <f>IF($C116="B",VLOOKUP($A116,Bat!$A$4:$BD$2323,R$1,FALSE),VLOOKUP($A116,Pit!$A$4:$AZ$2261,R$2,FALSE))</f>
        <v>-1.1479988087996478E-3</v>
      </c>
      <c r="S116" s="20">
        <f>IF($C116="B",VLOOKUP($A116,Bat!$A$4:$BD$2323,S$1,FALSE),VLOOKUP($A116,Pit!$A$4:$AZ$2261,S$2,FALSE))</f>
        <v>2400000</v>
      </c>
      <c r="T116" s="17" t="str">
        <f>IF(S116="Slot","",VLOOKUP(IF($C116="B",VLOOKUP($A116,Bat!$A$4:$AT$2323,T$1,FALSE),VLOOKUP($A116,Pit!$A$4:$BD$2261,T$2,FALSE)),COND!$A$34:$B$40,2,FALSE))</f>
        <v>EH</v>
      </c>
      <c r="U116" s="21" t="str">
        <f>IF($C116="B",VLOOKUP($A116,Bat!$A$4:$AR$1287,44,FALSE),VLOOKUP($A116,Pit!$A$4:$BB$1239,54,FALSE))</f>
        <v/>
      </c>
      <c r="W116" s="21" t="str">
        <f t="shared" si="6"/>
        <v/>
      </c>
      <c r="X116" s="22" t="e">
        <f t="shared" si="7"/>
        <v>#N/A</v>
      </c>
      <c r="Y116" s="16" t="str">
        <f>IF(ISERROR(VLOOKUP($E116&amp;$F116,Results!$A$2:$G$413,Y$1,FALSE)),"",VLOOKUP($E116&amp;$F116,Results!$A$2:$G$413,Y$1,FALSE))</f>
        <v/>
      </c>
      <c r="Z116" s="16" t="str">
        <f>IF(ISERROR(VLOOKUP($E116&amp;$F116,Results!$A$2:$G$413,Z$1,FALSE)),"",VLOOKUP($E116&amp;$F116,Results!$A$2:$G$413,Z$1,FALSE))</f>
        <v/>
      </c>
      <c r="AA116" s="16" t="str">
        <f>IF(ISERROR(VLOOKUP($E116&amp;$F116,Results!$A$2:$G$413,AA$1,FALSE)),"",VLOOKUP($E116&amp;$F116,Results!$A$2:$G$413,AA$1,FALSE))</f>
        <v/>
      </c>
      <c r="AB116" s="16" t="str">
        <f>IF(ISERROR(VLOOKUP($E116&amp;$F116,Results!$A$2:$G$413,AB$1,FALSE)),"",VLOOKUP($E116&amp;$F116,Results!$A$2:$G$413,AB$1,FALSE))</f>
        <v/>
      </c>
      <c r="AC116" s="16"/>
      <c r="AD116" s="20" t="str">
        <f>IF(ISERROR(VLOOKUP($AB116&amp;"-"&amp;$F116,Bonuses!$B$1:$G$1000,4,FALSE)),"",INT(VLOOKUP($AB116&amp;"-"&amp;$F116,Bonuses!$B$1:$G$1000,4,FALSE)))</f>
        <v/>
      </c>
      <c r="AE116" s="16" t="str">
        <f>IF(ISERROR(VLOOKUP($AB116&amp;"-"&amp;$F116,Bonuses!$B$1:$G$1000,5,FALSE)),"",IF(VLOOKUP($AB116&amp;"-"&amp;$F116,Bonuses!$B$1:$G$1000,5,FALSE)="","",VLOOKUP($AB116&amp;"-"&amp;$F116,Bonuses!$B$1:$G$1000,6,FALSE)&amp;" yrs, "&amp;VLOOKUP($AB116&amp;"-"&amp;$F116,Bonuses!$B$1:$G$1000,5,FALSE)))</f>
        <v/>
      </c>
    </row>
    <row r="117" spans="1:31" s="21" customFormat="1">
      <c r="A117" s="21" t="s">
        <v>976</v>
      </c>
      <c r="B117" s="21">
        <f t="shared" si="4"/>
        <v>1</v>
      </c>
      <c r="C117" s="21" t="str">
        <f t="shared" si="5"/>
        <v>B</v>
      </c>
      <c r="D117" s="17">
        <f>IF($C117="B",VLOOKUP($A117,Bat!$A$4:$BD$2323,D$1,FALSE),VLOOKUP($A117,Pit!$A$4:$AZ$2261,D$2,FALSE))</f>
        <v>3481</v>
      </c>
      <c r="E117" s="16" t="str">
        <f>IF($C117="B",VLOOKUP($A117,Bat!$A$4:$BD$2323,E$1,FALSE),VLOOKUP($A117,Pit!$A$4:$AZ$2261,E$2,FALSE))</f>
        <v>SS</v>
      </c>
      <c r="F117" s="16" t="str">
        <f>IF($C117="B",VLOOKUP($A117,Bat!$A$4:$BD$2323,F$1,FALSE),VLOOKUP($A117,Pit!$A$4:$AZ$2261,F$2,FALSE))</f>
        <v>Stephen Cox</v>
      </c>
      <c r="G117" s="16">
        <f>IF($C117="B",VLOOKUP($A117,Bat!$A$4:$BD$2323,G$1,FALSE),VLOOKUP($A117,Pit!$A$4:$AZ$2261,G$2,FALSE))</f>
        <v>21</v>
      </c>
      <c r="H117" s="16" t="str">
        <f>IF($C117="B",VLOOKUP($A117,Bat!$A$4:$BD$2323,H$1,FALSE),VLOOKUP($A117,Pit!$A$4:$AZ$2261,H$2,FALSE))</f>
        <v>R</v>
      </c>
      <c r="I117" s="16" t="str">
        <f>IF($C117="B",VLOOKUP($A117,Bat!$A$4:$BD$2323,I$1,FALSE),VLOOKUP($A117,Pit!$A$4:$AZ$2261,I$2,FALSE))</f>
        <v>R</v>
      </c>
      <c r="J117" s="16" t="str">
        <f>IF($C117="B",VLOOKUP($A117,Bat!$A$4:$BD$2323,J$1,FALSE),VLOOKUP($A117,Pit!$A$4:$AZ$2261,J$2,FALSE))</f>
        <v>Low</v>
      </c>
      <c r="K117" s="17" t="str">
        <f>IF($C117="B",VLOOKUP($A117,Bat!$A$4:$BD$2323,K$1,FALSE),VLOOKUP($A117,Pit!$A$4:$AZ$2261,K$2,FALSE))</f>
        <v>High</v>
      </c>
      <c r="L117" s="16">
        <f>IF($C117="B",VLOOKUP($A117,Bat!$A$4:$BD$2323,L$1,FALSE),VLOOKUP($A117,Pit!$A$4:$AZ$2261,L$2,FALSE))</f>
        <v>5</v>
      </c>
      <c r="M117" s="16">
        <f>IF($C117="B",VLOOKUP($A117,Bat!$A$4:$BD$2323,M$1,FALSE),VLOOKUP($A117,Pit!$A$4:$AZ$2261,M$2,FALSE))</f>
        <v>5</v>
      </c>
      <c r="N117" s="16">
        <f>IF($C117="B",VLOOKUP($A117,Bat!$A$4:$BD$2323,N$1,FALSE),VLOOKUP($A117,Pit!$A$4:$AZ$2261,N$2,FALSE))</f>
        <v>4</v>
      </c>
      <c r="O117" s="16">
        <f>IF($C117="B",VLOOKUP($A117,Bat!$A$4:$BD$2323,O$1,FALSE),VLOOKUP($A117,Pit!$A$4:$AZ$2261,O$2,FALSE))</f>
        <v>3</v>
      </c>
      <c r="P117" s="17">
        <f>IF($C117="B",VLOOKUP($A117,Bat!$A$4:$BD$2323,P$1,FALSE),VLOOKUP($A117,Pit!$A$4:$AZ$2261,P$2,FALSE))</f>
        <v>4</v>
      </c>
      <c r="Q117" s="18">
        <f>IF($C117="B",VLOOKUP($A117,Bat!$A$4:$BD$2323,Q$1,FALSE),VLOOKUP($A117,Pit!$A$4:$AZ$2261,Q$2,FALSE))</f>
        <v>10.647938914529139</v>
      </c>
      <c r="R117" s="19">
        <f>IF($C117="B",VLOOKUP($A117,Bat!$A$4:$BD$2323,R$1,FALSE),VLOOKUP($A117,Pit!$A$4:$AZ$2261,R$2,FALSE))</f>
        <v>-2.5798724234911479E-3</v>
      </c>
      <c r="S117" s="20" t="str">
        <f>IF($C117="B",VLOOKUP($A117,Bat!$A$4:$BD$2323,S$1,FALSE),VLOOKUP($A117,Pit!$A$4:$AZ$2261,S$2,FALSE))</f>
        <v>Slot</v>
      </c>
      <c r="T117" s="17" t="str">
        <f>IF(S117="Slot","",VLOOKUP(IF($C117="B",VLOOKUP($A117,Bat!$A$4:$AT$2323,T$1,FALSE),VLOOKUP($A117,Pit!$A$4:$BD$2261,T$2,FALSE)),COND!$A$34:$B$40,2,FALSE))</f>
        <v/>
      </c>
      <c r="U117" s="21" t="str">
        <f>IF($C117="B",VLOOKUP($A117,Bat!$A$4:$AR$1287,44,FALSE),VLOOKUP($A117,Pit!$A$4:$BB$1239,54,FALSE))</f>
        <v/>
      </c>
      <c r="W117" s="21" t="str">
        <f t="shared" si="6"/>
        <v/>
      </c>
      <c r="X117" s="22" t="e">
        <f t="shared" si="7"/>
        <v>#N/A</v>
      </c>
      <c r="Y117" s="16" t="str">
        <f>IF(ISERROR(VLOOKUP($E117&amp;$F117,Results!$A$2:$G$413,Y$1,FALSE)),"",VLOOKUP($E117&amp;$F117,Results!$A$2:$G$413,Y$1,FALSE))</f>
        <v/>
      </c>
      <c r="Z117" s="16" t="str">
        <f>IF(ISERROR(VLOOKUP($E117&amp;$F117,Results!$A$2:$G$413,Z$1,FALSE)),"",VLOOKUP($E117&amp;$F117,Results!$A$2:$G$413,Z$1,FALSE))</f>
        <v/>
      </c>
      <c r="AA117" s="16" t="str">
        <f>IF(ISERROR(VLOOKUP($E117&amp;$F117,Results!$A$2:$G$413,AA$1,FALSE)),"",VLOOKUP($E117&amp;$F117,Results!$A$2:$G$413,AA$1,FALSE))</f>
        <v/>
      </c>
      <c r="AB117" s="16" t="str">
        <f>IF(ISERROR(VLOOKUP($E117&amp;$F117,Results!$A$2:$G$413,AB$1,FALSE)),"",VLOOKUP($E117&amp;$F117,Results!$A$2:$G$413,AB$1,FALSE))</f>
        <v/>
      </c>
      <c r="AC117" s="16"/>
      <c r="AD117" s="20" t="str">
        <f>IF(ISERROR(VLOOKUP($AB117&amp;"-"&amp;$F117,Bonuses!$B$1:$G$1000,4,FALSE)),"",INT(VLOOKUP($AB117&amp;"-"&amp;$F117,Bonuses!$B$1:$G$1000,4,FALSE)))</f>
        <v/>
      </c>
      <c r="AE117" s="16" t="str">
        <f>IF(ISERROR(VLOOKUP($AB117&amp;"-"&amp;$F117,Bonuses!$B$1:$G$1000,5,FALSE)),"",IF(VLOOKUP($AB117&amp;"-"&amp;$F117,Bonuses!$B$1:$G$1000,5,FALSE)="","",VLOOKUP($AB117&amp;"-"&amp;$F117,Bonuses!$B$1:$G$1000,6,FALSE)&amp;" yrs, "&amp;VLOOKUP($AB117&amp;"-"&amp;$F117,Bonuses!$B$1:$G$1000,5,FALSE)))</f>
        <v/>
      </c>
    </row>
    <row r="118" spans="1:31" s="21" customFormat="1">
      <c r="A118" s="21" t="s">
        <v>639</v>
      </c>
      <c r="B118" s="21">
        <f t="shared" si="4"/>
        <v>1</v>
      </c>
      <c r="C118" s="21" t="str">
        <f t="shared" si="5"/>
        <v>B</v>
      </c>
      <c r="D118" s="17">
        <f>IF($C118="B",VLOOKUP($A118,Bat!$A$4:$BD$2323,D$1,FALSE),VLOOKUP($A118,Pit!$A$4:$AZ$2261,D$2,FALSE))</f>
        <v>3050</v>
      </c>
      <c r="E118" s="16" t="str">
        <f>IF($C118="B",VLOOKUP($A118,Bat!$A$4:$BD$2323,E$1,FALSE),VLOOKUP($A118,Pit!$A$4:$AZ$2261,E$2,FALSE))</f>
        <v>C</v>
      </c>
      <c r="F118" s="16" t="str">
        <f>IF($C118="B",VLOOKUP($A118,Bat!$A$4:$BD$2323,F$1,FALSE),VLOOKUP($A118,Pit!$A$4:$AZ$2261,F$2,FALSE))</f>
        <v>Rob Murphy</v>
      </c>
      <c r="G118" s="16">
        <f>IF($C118="B",VLOOKUP($A118,Bat!$A$4:$BD$2323,G$1,FALSE),VLOOKUP($A118,Pit!$A$4:$AZ$2261,G$2,FALSE))</f>
        <v>21</v>
      </c>
      <c r="H118" s="16" t="str">
        <f>IF($C118="B",VLOOKUP($A118,Bat!$A$4:$BD$2323,H$1,FALSE),VLOOKUP($A118,Pit!$A$4:$AZ$2261,H$2,FALSE))</f>
        <v>R</v>
      </c>
      <c r="I118" s="16" t="str">
        <f>IF($C118="B",VLOOKUP($A118,Bat!$A$4:$BD$2323,I$1,FALSE),VLOOKUP($A118,Pit!$A$4:$AZ$2261,I$2,FALSE))</f>
        <v>R</v>
      </c>
      <c r="J118" s="16" t="str">
        <f>IF($C118="B",VLOOKUP($A118,Bat!$A$4:$BD$2323,J$1,FALSE),VLOOKUP($A118,Pit!$A$4:$AZ$2261,J$2,FALSE))</f>
        <v>High</v>
      </c>
      <c r="K118" s="17" t="str">
        <f>IF($C118="B",VLOOKUP($A118,Bat!$A$4:$BD$2323,K$1,FALSE),VLOOKUP($A118,Pit!$A$4:$AZ$2261,K$2,FALSE))</f>
        <v>Low</v>
      </c>
      <c r="L118" s="16">
        <f>IF($C118="B",VLOOKUP($A118,Bat!$A$4:$BD$2323,L$1,FALSE),VLOOKUP($A118,Pit!$A$4:$AZ$2261,L$2,FALSE))</f>
        <v>5</v>
      </c>
      <c r="M118" s="16">
        <f>IF($C118="B",VLOOKUP($A118,Bat!$A$4:$BD$2323,M$1,FALSE),VLOOKUP($A118,Pit!$A$4:$AZ$2261,M$2,FALSE))</f>
        <v>6</v>
      </c>
      <c r="N118" s="16">
        <f>IF($C118="B",VLOOKUP($A118,Bat!$A$4:$BD$2323,N$1,FALSE),VLOOKUP($A118,Pit!$A$4:$AZ$2261,N$2,FALSE))</f>
        <v>2</v>
      </c>
      <c r="O118" s="16">
        <f>IF($C118="B",VLOOKUP($A118,Bat!$A$4:$BD$2323,O$1,FALSE),VLOOKUP($A118,Pit!$A$4:$AZ$2261,O$2,FALSE))</f>
        <v>4</v>
      </c>
      <c r="P118" s="17">
        <f>IF($C118="B",VLOOKUP($A118,Bat!$A$4:$BD$2323,P$1,FALSE),VLOOKUP($A118,Pit!$A$4:$AZ$2261,P$2,FALSE))</f>
        <v>5</v>
      </c>
      <c r="Q118" s="18">
        <f>IF($C118="B",VLOOKUP($A118,Bat!$A$4:$BD$2323,Q$1,FALSE),VLOOKUP($A118,Pit!$A$4:$AZ$2261,Q$2,FALSE))</f>
        <v>10.606812680518754</v>
      </c>
      <c r="R118" s="19">
        <f>IF($C118="B",VLOOKUP($A118,Bat!$A$4:$BD$2323,R$1,FALSE),VLOOKUP($A118,Pit!$A$4:$AZ$2261,R$2,FALSE))</f>
        <v>-8.2932790817489693E-3</v>
      </c>
      <c r="S118" s="20" t="str">
        <f>IF($C118="B",VLOOKUP($A118,Bat!$A$4:$BD$2323,S$1,FALSE),VLOOKUP($A118,Pit!$A$4:$AZ$2261,S$2,FALSE))</f>
        <v>Slot</v>
      </c>
      <c r="T118" s="17" t="str">
        <f>IF(S118="Slot","",VLOOKUP(IF($C118="B",VLOOKUP($A118,Bat!$A$4:$AT$2323,T$1,FALSE),VLOOKUP($A118,Pit!$A$4:$BD$2261,T$2,FALSE)),COND!$A$34:$B$40,2,FALSE))</f>
        <v/>
      </c>
      <c r="U118" s="21" t="str">
        <f>IF($C118="B",VLOOKUP($A118,Bat!$A$4:$AR$1287,44,FALSE),VLOOKUP($A118,Pit!$A$4:$BB$1239,54,FALSE))</f>
        <v/>
      </c>
      <c r="W118" s="21" t="str">
        <f t="shared" si="6"/>
        <v/>
      </c>
      <c r="X118" s="22" t="e">
        <f t="shared" si="7"/>
        <v>#N/A</v>
      </c>
      <c r="Y118" s="16" t="str">
        <f>IF(ISERROR(VLOOKUP($E118&amp;$F118,Results!$A$2:$G$413,Y$1,FALSE)),"",VLOOKUP($E118&amp;$F118,Results!$A$2:$G$413,Y$1,FALSE))</f>
        <v/>
      </c>
      <c r="Z118" s="16" t="str">
        <f>IF(ISERROR(VLOOKUP($E118&amp;$F118,Results!$A$2:$G$413,Z$1,FALSE)),"",VLOOKUP($E118&amp;$F118,Results!$A$2:$G$413,Z$1,FALSE))</f>
        <v/>
      </c>
      <c r="AA118" s="16" t="str">
        <f>IF(ISERROR(VLOOKUP($E118&amp;$F118,Results!$A$2:$G$413,AA$1,FALSE)),"",VLOOKUP($E118&amp;$F118,Results!$A$2:$G$413,AA$1,FALSE))</f>
        <v/>
      </c>
      <c r="AB118" s="16" t="str">
        <f>IF(ISERROR(VLOOKUP($E118&amp;$F118,Results!$A$2:$G$413,AB$1,FALSE)),"",VLOOKUP($E118&amp;$F118,Results!$A$2:$G$413,AB$1,FALSE))</f>
        <v/>
      </c>
      <c r="AC118" s="16"/>
      <c r="AD118" s="20" t="str">
        <f>IF(ISERROR(VLOOKUP($AB118&amp;"-"&amp;$F118,Bonuses!$B$1:$G$1000,4,FALSE)),"",INT(VLOOKUP($AB118&amp;"-"&amp;$F118,Bonuses!$B$1:$G$1000,4,FALSE)))</f>
        <v/>
      </c>
      <c r="AE118" s="16" t="str">
        <f>IF(ISERROR(VLOOKUP($AB118&amp;"-"&amp;$F118,Bonuses!$B$1:$G$1000,5,FALSE)),"",IF(VLOOKUP($AB118&amp;"-"&amp;$F118,Bonuses!$B$1:$G$1000,5,FALSE)="","",VLOOKUP($AB118&amp;"-"&amp;$F118,Bonuses!$B$1:$G$1000,6,FALSE)&amp;" yrs, "&amp;VLOOKUP($AB118&amp;"-"&amp;$F118,Bonuses!$B$1:$G$1000,5,FALSE)))</f>
        <v/>
      </c>
    </row>
    <row r="119" spans="1:31" s="21" customFormat="1">
      <c r="A119" s="21" t="s">
        <v>835</v>
      </c>
      <c r="B119" s="21">
        <f t="shared" si="4"/>
        <v>1</v>
      </c>
      <c r="C119" s="21" t="str">
        <f t="shared" si="5"/>
        <v>B</v>
      </c>
      <c r="D119" s="17">
        <f>IF($C119="B",VLOOKUP($A119,Bat!$A$4:$BD$2323,D$1,FALSE),VLOOKUP($A119,Pit!$A$4:$AZ$2261,D$2,FALSE))</f>
        <v>13815</v>
      </c>
      <c r="E119" s="16" t="str">
        <f>IF($C119="B",VLOOKUP($A119,Bat!$A$4:$BD$2323,E$1,FALSE),VLOOKUP($A119,Pit!$A$4:$AZ$2261,E$2,FALSE))</f>
        <v>3B</v>
      </c>
      <c r="F119" s="16" t="str">
        <f>IF($C119="B",VLOOKUP($A119,Bat!$A$4:$BD$2323,F$1,FALSE),VLOOKUP($A119,Pit!$A$4:$AZ$2261,F$2,FALSE))</f>
        <v>Henry Williams</v>
      </c>
      <c r="G119" s="16">
        <f>IF($C119="B",VLOOKUP($A119,Bat!$A$4:$BD$2323,G$1,FALSE),VLOOKUP($A119,Pit!$A$4:$AZ$2261,G$2,FALSE))</f>
        <v>18</v>
      </c>
      <c r="H119" s="16" t="str">
        <f>IF($C119="B",VLOOKUP($A119,Bat!$A$4:$BD$2323,H$1,FALSE),VLOOKUP($A119,Pit!$A$4:$AZ$2261,H$2,FALSE))</f>
        <v>R</v>
      </c>
      <c r="I119" s="16" t="str">
        <f>IF($C119="B",VLOOKUP($A119,Bat!$A$4:$BD$2323,I$1,FALSE),VLOOKUP($A119,Pit!$A$4:$AZ$2261,I$2,FALSE))</f>
        <v>R</v>
      </c>
      <c r="J119" s="16" t="str">
        <f>IF($C119="B",VLOOKUP($A119,Bat!$A$4:$BD$2323,J$1,FALSE),VLOOKUP($A119,Pit!$A$4:$AZ$2261,J$2,FALSE))</f>
        <v>Very Low</v>
      </c>
      <c r="K119" s="17" t="str">
        <f>IF($C119="B",VLOOKUP($A119,Bat!$A$4:$BD$2323,K$1,FALSE),VLOOKUP($A119,Pit!$A$4:$AZ$2261,K$2,FALSE))</f>
        <v>High</v>
      </c>
      <c r="L119" s="16">
        <f>IF($C119="B",VLOOKUP($A119,Bat!$A$4:$BD$2323,L$1,FALSE),VLOOKUP($A119,Pit!$A$4:$AZ$2261,L$2,FALSE))</f>
        <v>5</v>
      </c>
      <c r="M119" s="16">
        <f>IF($C119="B",VLOOKUP($A119,Bat!$A$4:$BD$2323,M$1,FALSE),VLOOKUP($A119,Pit!$A$4:$AZ$2261,M$2,FALSE))</f>
        <v>5</v>
      </c>
      <c r="N119" s="16">
        <f>IF($C119="B",VLOOKUP($A119,Bat!$A$4:$BD$2323,N$1,FALSE),VLOOKUP($A119,Pit!$A$4:$AZ$2261,N$2,FALSE))</f>
        <v>3</v>
      </c>
      <c r="O119" s="16">
        <f>IF($C119="B",VLOOKUP($A119,Bat!$A$4:$BD$2323,O$1,FALSE),VLOOKUP($A119,Pit!$A$4:$AZ$2261,O$2,FALSE))</f>
        <v>5</v>
      </c>
      <c r="P119" s="17">
        <f>IF($C119="B",VLOOKUP($A119,Bat!$A$4:$BD$2323,P$1,FALSE),VLOOKUP($A119,Pit!$A$4:$AZ$2261,P$2,FALSE))</f>
        <v>5</v>
      </c>
      <c r="Q119" s="18">
        <f>IF($C119="B",VLOOKUP($A119,Bat!$A$4:$BD$2323,Q$1,FALSE),VLOOKUP($A119,Pit!$A$4:$AZ$2261,Q$2,FALSE))</f>
        <v>10.533318394766063</v>
      </c>
      <c r="R119" s="19">
        <f>IF($C119="B",VLOOKUP($A119,Bat!$A$4:$BD$2323,R$1,FALSE),VLOOKUP($A119,Pit!$A$4:$AZ$2261,R$2,FALSE))</f>
        <v>-1.8503373724922469E-2</v>
      </c>
      <c r="S119" s="20" t="str">
        <f>IF($C119="B",VLOOKUP($A119,Bat!$A$4:$BD$2323,S$1,FALSE),VLOOKUP($A119,Pit!$A$4:$AZ$2261,S$2,FALSE))</f>
        <v>Slot</v>
      </c>
      <c r="T119" s="17" t="str">
        <f>IF(S119="Slot","",VLOOKUP(IF($C119="B",VLOOKUP($A119,Bat!$A$4:$AT$2323,T$1,FALSE),VLOOKUP($A119,Pit!$A$4:$BD$2261,T$2,FALSE)),COND!$A$34:$B$40,2,FALSE))</f>
        <v/>
      </c>
      <c r="U119" s="21" t="str">
        <f>IF($C119="B",VLOOKUP($A119,Bat!$A$4:$AR$1287,44,FALSE),VLOOKUP($A119,Pit!$A$4:$BB$1239,54,FALSE))</f>
        <v/>
      </c>
      <c r="W119" s="21" t="str">
        <f t="shared" si="6"/>
        <v/>
      </c>
      <c r="X119" s="22" t="e">
        <f t="shared" si="7"/>
        <v>#N/A</v>
      </c>
      <c r="Y119" s="16" t="str">
        <f>IF(ISERROR(VLOOKUP($E119&amp;$F119,Results!$A$2:$G$413,Y$1,FALSE)),"",VLOOKUP($E119&amp;$F119,Results!$A$2:$G$413,Y$1,FALSE))</f>
        <v/>
      </c>
      <c r="Z119" s="16" t="str">
        <f>IF(ISERROR(VLOOKUP($E119&amp;$F119,Results!$A$2:$G$413,Z$1,FALSE)),"",VLOOKUP($E119&amp;$F119,Results!$A$2:$G$413,Z$1,FALSE))</f>
        <v/>
      </c>
      <c r="AA119" s="16" t="str">
        <f>IF(ISERROR(VLOOKUP($E119&amp;$F119,Results!$A$2:$G$413,AA$1,FALSE)),"",VLOOKUP($E119&amp;$F119,Results!$A$2:$G$413,AA$1,FALSE))</f>
        <v/>
      </c>
      <c r="AB119" s="16" t="str">
        <f>IF(ISERROR(VLOOKUP($E119&amp;$F119,Results!$A$2:$G$413,AB$1,FALSE)),"",VLOOKUP($E119&amp;$F119,Results!$A$2:$G$413,AB$1,FALSE))</f>
        <v/>
      </c>
      <c r="AC119" s="16"/>
      <c r="AD119" s="20" t="str">
        <f>IF(ISERROR(VLOOKUP($AB119&amp;"-"&amp;$F119,Bonuses!$B$1:$G$1000,4,FALSE)),"",INT(VLOOKUP($AB119&amp;"-"&amp;$F119,Bonuses!$B$1:$G$1000,4,FALSE)))</f>
        <v/>
      </c>
      <c r="AE119" s="16" t="str">
        <f>IF(ISERROR(VLOOKUP($AB119&amp;"-"&amp;$F119,Bonuses!$B$1:$G$1000,5,FALSE)),"",IF(VLOOKUP($AB119&amp;"-"&amp;$F119,Bonuses!$B$1:$G$1000,5,FALSE)="","",VLOOKUP($AB119&amp;"-"&amp;$F119,Bonuses!$B$1:$G$1000,6,FALSE)&amp;" yrs, "&amp;VLOOKUP($AB119&amp;"-"&amp;$F119,Bonuses!$B$1:$G$1000,5,FALSE)))</f>
        <v/>
      </c>
    </row>
    <row r="120" spans="1:31" s="21" customFormat="1">
      <c r="A120" s="21" t="s">
        <v>818</v>
      </c>
      <c r="B120" s="21">
        <f t="shared" si="4"/>
        <v>1</v>
      </c>
      <c r="C120" s="21" t="str">
        <f t="shared" si="5"/>
        <v>B</v>
      </c>
      <c r="D120" s="17" t="e">
        <f>IF($C120="B",VLOOKUP($A120,Bat!$A$4:$BD$2323,D$1,FALSE),VLOOKUP($A120,Pit!$A$4:$AZ$2261,D$2,FALSE))</f>
        <v>#N/A</v>
      </c>
      <c r="E120" s="16" t="str">
        <f>IF($C120="B",VLOOKUP($A120,Bat!$A$4:$BD$2323,E$1,FALSE),VLOOKUP($A120,Pit!$A$4:$AZ$2261,E$2,FALSE))</f>
        <v>1B</v>
      </c>
      <c r="F120" s="16" t="str">
        <f>IF($C120="B",VLOOKUP($A120,Bat!$A$4:$BD$2323,F$1,FALSE),VLOOKUP($A120,Pit!$A$4:$AZ$2261,F$2,FALSE))</f>
        <v>Tony García</v>
      </c>
      <c r="G120" s="16">
        <f>IF($C120="B",VLOOKUP($A120,Bat!$A$4:$BD$2323,G$1,FALSE),VLOOKUP($A120,Pit!$A$4:$AZ$2261,G$2,FALSE))</f>
        <v>21</v>
      </c>
      <c r="H120" s="16" t="str">
        <f>IF($C120="B",VLOOKUP($A120,Bat!$A$4:$BD$2323,H$1,FALSE),VLOOKUP($A120,Pit!$A$4:$AZ$2261,H$2,FALSE))</f>
        <v>L</v>
      </c>
      <c r="I120" s="16" t="str">
        <f>IF($C120="B",VLOOKUP($A120,Bat!$A$4:$BD$2323,I$1,FALSE),VLOOKUP($A120,Pit!$A$4:$AZ$2261,I$2,FALSE))</f>
        <v>L</v>
      </c>
      <c r="J120" s="16" t="str">
        <f>IF($C120="B",VLOOKUP($A120,Bat!$A$4:$BD$2323,J$1,FALSE),VLOOKUP($A120,Pit!$A$4:$AZ$2261,J$2,FALSE))</f>
        <v>Normal</v>
      </c>
      <c r="K120" s="17" t="str">
        <f>IF($C120="B",VLOOKUP($A120,Bat!$A$4:$BD$2323,K$1,FALSE),VLOOKUP($A120,Pit!$A$4:$AZ$2261,K$2,FALSE))</f>
        <v>Normal</v>
      </c>
      <c r="L120" s="16">
        <f>IF($C120="B",VLOOKUP($A120,Bat!$A$4:$BD$2323,L$1,FALSE),VLOOKUP($A120,Pit!$A$4:$AZ$2261,L$2,FALSE))</f>
        <v>5</v>
      </c>
      <c r="M120" s="16">
        <f>IF($C120="B",VLOOKUP($A120,Bat!$A$4:$BD$2323,M$1,FALSE),VLOOKUP($A120,Pit!$A$4:$AZ$2261,M$2,FALSE))</f>
        <v>5</v>
      </c>
      <c r="N120" s="16">
        <f>IF($C120="B",VLOOKUP($A120,Bat!$A$4:$BD$2323,N$1,FALSE),VLOOKUP($A120,Pit!$A$4:$AZ$2261,N$2,FALSE))</f>
        <v>4</v>
      </c>
      <c r="O120" s="16">
        <f>IF($C120="B",VLOOKUP($A120,Bat!$A$4:$BD$2323,O$1,FALSE),VLOOKUP($A120,Pit!$A$4:$AZ$2261,O$2,FALSE))</f>
        <v>4</v>
      </c>
      <c r="P120" s="17">
        <f>IF($C120="B",VLOOKUP($A120,Bat!$A$4:$BD$2323,P$1,FALSE),VLOOKUP($A120,Pit!$A$4:$AZ$2261,P$2,FALSE))</f>
        <v>4</v>
      </c>
      <c r="Q120" s="18">
        <f>IF($C120="B",VLOOKUP($A120,Bat!$A$4:$BD$2323,Q$1,FALSE),VLOOKUP($A120,Pit!$A$4:$AZ$2261,Q$2,FALSE))</f>
        <v>10.529092190629598</v>
      </c>
      <c r="R120" s="19">
        <f>IF($C120="B",VLOOKUP($A120,Bat!$A$4:$BD$2323,R$1,FALSE),VLOOKUP($A120,Pit!$A$4:$AZ$2261,R$2,FALSE))</f>
        <v>-1.9090493441411453E-2</v>
      </c>
      <c r="S120" s="20" t="str">
        <f>IF($C120="B",VLOOKUP($A120,Bat!$A$4:$BD$2323,S$1,FALSE),VLOOKUP($A120,Pit!$A$4:$AZ$2261,S$2,FALSE))</f>
        <v>Slot</v>
      </c>
      <c r="T120" s="17" t="str">
        <f>IF(S120="Slot","",VLOOKUP(IF($C120="B",VLOOKUP($A120,Bat!$A$4:$AT$2323,T$1,FALSE),VLOOKUP($A120,Pit!$A$4:$BD$2261,T$2,FALSE)),COND!$A$34:$B$40,2,FALSE))</f>
        <v/>
      </c>
      <c r="U120" s="21" t="str">
        <f>IF($C120="B",VLOOKUP($A120,Bat!$A$4:$AR$1287,44,FALSE),VLOOKUP($A120,Pit!$A$4:$BB$1239,54,FALSE))</f>
        <v/>
      </c>
      <c r="W120" s="21" t="str">
        <f t="shared" si="6"/>
        <v/>
      </c>
      <c r="X120" s="22" t="e">
        <f t="shared" si="7"/>
        <v>#N/A</v>
      </c>
      <c r="Y120" s="16" t="str">
        <f>IF(ISERROR(VLOOKUP($E120&amp;$F120,Results!$A$2:$G$413,Y$1,FALSE)),"",VLOOKUP($E120&amp;$F120,Results!$A$2:$G$413,Y$1,FALSE))</f>
        <v/>
      </c>
      <c r="Z120" s="16" t="str">
        <f>IF(ISERROR(VLOOKUP($E120&amp;$F120,Results!$A$2:$G$413,Z$1,FALSE)),"",VLOOKUP($E120&amp;$F120,Results!$A$2:$G$413,Z$1,FALSE))</f>
        <v/>
      </c>
      <c r="AA120" s="16" t="str">
        <f>IF(ISERROR(VLOOKUP($E120&amp;$F120,Results!$A$2:$G$413,AA$1,FALSE)),"",VLOOKUP($E120&amp;$F120,Results!$A$2:$G$413,AA$1,FALSE))</f>
        <v/>
      </c>
      <c r="AB120" s="16" t="str">
        <f>IF(ISERROR(VLOOKUP($E120&amp;$F120,Results!$A$2:$G$413,AB$1,FALSE)),"",VLOOKUP($E120&amp;$F120,Results!$A$2:$G$413,AB$1,FALSE))</f>
        <v/>
      </c>
      <c r="AC120" s="16"/>
      <c r="AD120" s="20" t="str">
        <f>IF(ISERROR(VLOOKUP($AB120&amp;"-"&amp;$F120,Bonuses!$B$1:$G$1000,4,FALSE)),"",INT(VLOOKUP($AB120&amp;"-"&amp;$F120,Bonuses!$B$1:$G$1000,4,FALSE)))</f>
        <v/>
      </c>
      <c r="AE120" s="16" t="str">
        <f>IF(ISERROR(VLOOKUP($AB120&amp;"-"&amp;$F120,Bonuses!$B$1:$G$1000,5,FALSE)),"",IF(VLOOKUP($AB120&amp;"-"&amp;$F120,Bonuses!$B$1:$G$1000,5,FALSE)="","",VLOOKUP($AB120&amp;"-"&amp;$F120,Bonuses!$B$1:$G$1000,6,FALSE)&amp;" yrs, "&amp;VLOOKUP($AB120&amp;"-"&amp;$F120,Bonuses!$B$1:$G$1000,5,FALSE)))</f>
        <v/>
      </c>
    </row>
    <row r="121" spans="1:31" s="21" customFormat="1">
      <c r="A121" s="21" t="s">
        <v>980</v>
      </c>
      <c r="B121" s="21">
        <f t="shared" si="4"/>
        <v>1</v>
      </c>
      <c r="C121" s="21" t="str">
        <f t="shared" si="5"/>
        <v>B</v>
      </c>
      <c r="D121" s="17">
        <f>IF($C121="B",VLOOKUP($A121,Bat!$A$4:$BD$2323,D$1,FALSE),VLOOKUP($A121,Pit!$A$4:$AZ$2261,D$2,FALSE))</f>
        <v>2767</v>
      </c>
      <c r="E121" s="16" t="str">
        <f>IF($C121="B",VLOOKUP($A121,Bat!$A$4:$BD$2323,E$1,FALSE),VLOOKUP($A121,Pit!$A$4:$AZ$2261,E$2,FALSE))</f>
        <v>2B</v>
      </c>
      <c r="F121" s="16" t="str">
        <f>IF($C121="B",VLOOKUP($A121,Bat!$A$4:$BD$2323,F$1,FALSE),VLOOKUP($A121,Pit!$A$4:$AZ$2261,F$2,FALSE))</f>
        <v>Roy McClendon</v>
      </c>
      <c r="G121" s="16">
        <f>IF($C121="B",VLOOKUP($A121,Bat!$A$4:$BD$2323,G$1,FALSE),VLOOKUP($A121,Pit!$A$4:$AZ$2261,G$2,FALSE))</f>
        <v>21</v>
      </c>
      <c r="H121" s="16" t="str">
        <f>IF($C121="B",VLOOKUP($A121,Bat!$A$4:$BD$2323,H$1,FALSE),VLOOKUP($A121,Pit!$A$4:$AZ$2261,H$2,FALSE))</f>
        <v>R</v>
      </c>
      <c r="I121" s="16" t="str">
        <f>IF($C121="B",VLOOKUP($A121,Bat!$A$4:$BD$2323,I$1,FALSE),VLOOKUP($A121,Pit!$A$4:$AZ$2261,I$2,FALSE))</f>
        <v>R</v>
      </c>
      <c r="J121" s="16" t="str">
        <f>IF($C121="B",VLOOKUP($A121,Bat!$A$4:$BD$2323,J$1,FALSE),VLOOKUP($A121,Pit!$A$4:$AZ$2261,J$2,FALSE))</f>
        <v>Normal</v>
      </c>
      <c r="K121" s="17" t="str">
        <f>IF($C121="B",VLOOKUP($A121,Bat!$A$4:$BD$2323,K$1,FALSE),VLOOKUP($A121,Pit!$A$4:$AZ$2261,K$2,FALSE))</f>
        <v>Normal</v>
      </c>
      <c r="L121" s="16">
        <f>IF($C121="B",VLOOKUP($A121,Bat!$A$4:$BD$2323,L$1,FALSE),VLOOKUP($A121,Pit!$A$4:$AZ$2261,L$2,FALSE))</f>
        <v>5</v>
      </c>
      <c r="M121" s="16">
        <f>IF($C121="B",VLOOKUP($A121,Bat!$A$4:$BD$2323,M$1,FALSE),VLOOKUP($A121,Pit!$A$4:$AZ$2261,M$2,FALSE))</f>
        <v>6</v>
      </c>
      <c r="N121" s="16">
        <f>IF($C121="B",VLOOKUP($A121,Bat!$A$4:$BD$2323,N$1,FALSE),VLOOKUP($A121,Pit!$A$4:$AZ$2261,N$2,FALSE))</f>
        <v>2</v>
      </c>
      <c r="O121" s="16">
        <f>IF($C121="B",VLOOKUP($A121,Bat!$A$4:$BD$2323,O$1,FALSE),VLOOKUP($A121,Pit!$A$4:$AZ$2261,O$2,FALSE))</f>
        <v>4</v>
      </c>
      <c r="P121" s="17">
        <f>IF($C121="B",VLOOKUP($A121,Bat!$A$4:$BD$2323,P$1,FALSE),VLOOKUP($A121,Pit!$A$4:$AZ$2261,P$2,FALSE))</f>
        <v>4</v>
      </c>
      <c r="Q121" s="18">
        <f>IF($C121="B",VLOOKUP($A121,Bat!$A$4:$BD$2323,Q$1,FALSE),VLOOKUP($A121,Pit!$A$4:$AZ$2261,Q$2,FALSE))</f>
        <v>10.384312314379461</v>
      </c>
      <c r="R121" s="19">
        <f>IF($C121="B",VLOOKUP($A121,Bat!$A$4:$BD$2323,R$1,FALSE),VLOOKUP($A121,Pit!$A$4:$AZ$2261,R$2,FALSE))</f>
        <v>-3.9203842714782978E-2</v>
      </c>
      <c r="S121" s="20" t="str">
        <f>IF($C121="B",VLOOKUP($A121,Bat!$A$4:$BD$2323,S$1,FALSE),VLOOKUP($A121,Pit!$A$4:$AZ$2261,S$2,FALSE))</f>
        <v>Slot</v>
      </c>
      <c r="T121" s="17" t="str">
        <f>IF(S121="Slot","",VLOOKUP(IF($C121="B",VLOOKUP($A121,Bat!$A$4:$AT$2323,T$1,FALSE),VLOOKUP($A121,Pit!$A$4:$BD$2261,T$2,FALSE)),COND!$A$34:$B$40,2,FALSE))</f>
        <v/>
      </c>
      <c r="U121" s="21" t="str">
        <f>IF($C121="B",VLOOKUP($A121,Bat!$A$4:$AR$1287,44,FALSE),VLOOKUP($A121,Pit!$A$4:$BB$1239,54,FALSE))</f>
        <v/>
      </c>
      <c r="W121" s="21" t="str">
        <f t="shared" si="6"/>
        <v/>
      </c>
      <c r="X121" s="22" t="e">
        <f t="shared" si="7"/>
        <v>#N/A</v>
      </c>
      <c r="Y121" s="16" t="str">
        <f>IF(ISERROR(VLOOKUP($E121&amp;$F121,Results!$A$2:$G$413,Y$1,FALSE)),"",VLOOKUP($E121&amp;$F121,Results!$A$2:$G$413,Y$1,FALSE))</f>
        <v/>
      </c>
      <c r="Z121" s="16" t="str">
        <f>IF(ISERROR(VLOOKUP($E121&amp;$F121,Results!$A$2:$G$413,Z$1,FALSE)),"",VLOOKUP($E121&amp;$F121,Results!$A$2:$G$413,Z$1,FALSE))</f>
        <v/>
      </c>
      <c r="AA121" s="16" t="str">
        <f>IF(ISERROR(VLOOKUP($E121&amp;$F121,Results!$A$2:$G$413,AA$1,FALSE)),"",VLOOKUP($E121&amp;$F121,Results!$A$2:$G$413,AA$1,FALSE))</f>
        <v/>
      </c>
      <c r="AB121" s="16" t="str">
        <f>IF(ISERROR(VLOOKUP($E121&amp;$F121,Results!$A$2:$G$413,AB$1,FALSE)),"",VLOOKUP($E121&amp;$F121,Results!$A$2:$G$413,AB$1,FALSE))</f>
        <v/>
      </c>
      <c r="AC121" s="16"/>
      <c r="AD121" s="20" t="str">
        <f>IF(ISERROR(VLOOKUP($AB121&amp;"-"&amp;$F121,Bonuses!$B$1:$G$1000,4,FALSE)),"",INT(VLOOKUP($AB121&amp;"-"&amp;$F121,Bonuses!$B$1:$G$1000,4,FALSE)))</f>
        <v/>
      </c>
      <c r="AE121" s="16" t="str">
        <f>IF(ISERROR(VLOOKUP($AB121&amp;"-"&amp;$F121,Bonuses!$B$1:$G$1000,5,FALSE)),"",IF(VLOOKUP($AB121&amp;"-"&amp;$F121,Bonuses!$B$1:$G$1000,5,FALSE)="","",VLOOKUP($AB121&amp;"-"&amp;$F121,Bonuses!$B$1:$G$1000,6,FALSE)&amp;" yrs, "&amp;VLOOKUP($AB121&amp;"-"&amp;$F121,Bonuses!$B$1:$G$1000,5,FALSE)))</f>
        <v/>
      </c>
    </row>
    <row r="122" spans="1:31" s="21" customFormat="1">
      <c r="A122" s="21" t="s">
        <v>819</v>
      </c>
      <c r="B122" s="21">
        <f t="shared" si="4"/>
        <v>1</v>
      </c>
      <c r="C122" s="21" t="str">
        <f t="shared" si="5"/>
        <v>B</v>
      </c>
      <c r="D122" s="17">
        <f>IF($C122="B",VLOOKUP($A122,Bat!$A$4:$BD$2323,D$1,FALSE),VLOOKUP($A122,Pit!$A$4:$AZ$2261,D$2,FALSE))</f>
        <v>13803</v>
      </c>
      <c r="E122" s="16" t="str">
        <f>IF($C122="B",VLOOKUP($A122,Bat!$A$4:$BD$2323,E$1,FALSE),VLOOKUP($A122,Pit!$A$4:$AZ$2261,E$2,FALSE))</f>
        <v>3B</v>
      </c>
      <c r="F122" s="16" t="str">
        <f>IF($C122="B",VLOOKUP($A122,Bat!$A$4:$BD$2323,F$1,FALSE),VLOOKUP($A122,Pit!$A$4:$AZ$2261,F$2,FALSE))</f>
        <v>Stan Cherry</v>
      </c>
      <c r="G122" s="16">
        <f>IF($C122="B",VLOOKUP($A122,Bat!$A$4:$BD$2323,G$1,FALSE),VLOOKUP($A122,Pit!$A$4:$AZ$2261,G$2,FALSE))</f>
        <v>18</v>
      </c>
      <c r="H122" s="16" t="str">
        <f>IF($C122="B",VLOOKUP($A122,Bat!$A$4:$BD$2323,H$1,FALSE),VLOOKUP($A122,Pit!$A$4:$AZ$2261,H$2,FALSE))</f>
        <v>R</v>
      </c>
      <c r="I122" s="16" t="str">
        <f>IF($C122="B",VLOOKUP($A122,Bat!$A$4:$BD$2323,I$1,FALSE),VLOOKUP($A122,Pit!$A$4:$AZ$2261,I$2,FALSE))</f>
        <v>R</v>
      </c>
      <c r="J122" s="16" t="str">
        <f>IF($C122="B",VLOOKUP($A122,Bat!$A$4:$BD$2323,J$1,FALSE),VLOOKUP($A122,Pit!$A$4:$AZ$2261,J$2,FALSE))</f>
        <v>Normal</v>
      </c>
      <c r="K122" s="17" t="str">
        <f>IF($C122="B",VLOOKUP($A122,Bat!$A$4:$BD$2323,K$1,FALSE),VLOOKUP($A122,Pit!$A$4:$AZ$2261,K$2,FALSE))</f>
        <v>Very High</v>
      </c>
      <c r="L122" s="16">
        <f>IF($C122="B",VLOOKUP($A122,Bat!$A$4:$BD$2323,L$1,FALSE),VLOOKUP($A122,Pit!$A$4:$AZ$2261,L$2,FALSE))</f>
        <v>5</v>
      </c>
      <c r="M122" s="16">
        <f>IF($C122="B",VLOOKUP($A122,Bat!$A$4:$BD$2323,M$1,FALSE),VLOOKUP($A122,Pit!$A$4:$AZ$2261,M$2,FALSE))</f>
        <v>7</v>
      </c>
      <c r="N122" s="16">
        <f>IF($C122="B",VLOOKUP($A122,Bat!$A$4:$BD$2323,N$1,FALSE),VLOOKUP($A122,Pit!$A$4:$AZ$2261,N$2,FALSE))</f>
        <v>1</v>
      </c>
      <c r="O122" s="16">
        <f>IF($C122="B",VLOOKUP($A122,Bat!$A$4:$BD$2323,O$1,FALSE),VLOOKUP($A122,Pit!$A$4:$AZ$2261,O$2,FALSE))</f>
        <v>4</v>
      </c>
      <c r="P122" s="17">
        <f>IF($C122="B",VLOOKUP($A122,Bat!$A$4:$BD$2323,P$1,FALSE),VLOOKUP($A122,Pit!$A$4:$AZ$2261,P$2,FALSE))</f>
        <v>6</v>
      </c>
      <c r="Q122" s="18">
        <f>IF($C122="B",VLOOKUP($A122,Bat!$A$4:$BD$2323,Q$1,FALSE),VLOOKUP($A122,Pit!$A$4:$AZ$2261,Q$2,FALSE))</f>
        <v>10.318961126731342</v>
      </c>
      <c r="R122" s="19">
        <f>IF($C122="B",VLOOKUP($A122,Bat!$A$4:$BD$2323,R$1,FALSE),VLOOKUP($A122,Pit!$A$4:$AZ$2261,R$2,FALSE))</f>
        <v>-4.8282668423442303E-2</v>
      </c>
      <c r="S122" s="20" t="str">
        <f>IF($C122="B",VLOOKUP($A122,Bat!$A$4:$BD$2323,S$1,FALSE),VLOOKUP($A122,Pit!$A$4:$AZ$2261,S$2,FALSE))</f>
        <v>Slot</v>
      </c>
      <c r="T122" s="17" t="str">
        <f>IF(S122="Slot","",VLOOKUP(IF($C122="B",VLOOKUP($A122,Bat!$A$4:$AT$2323,T$1,FALSE),VLOOKUP($A122,Pit!$A$4:$BD$2261,T$2,FALSE)),COND!$A$34:$B$40,2,FALSE))</f>
        <v/>
      </c>
      <c r="U122" s="21" t="str">
        <f>IF($C122="B",VLOOKUP($A122,Bat!$A$4:$AR$1287,44,FALSE),VLOOKUP($A122,Pit!$A$4:$BB$1239,54,FALSE))</f>
        <v/>
      </c>
      <c r="W122" s="21" t="str">
        <f t="shared" si="6"/>
        <v/>
      </c>
      <c r="X122" s="22" t="e">
        <f t="shared" si="7"/>
        <v>#N/A</v>
      </c>
      <c r="Y122" s="16" t="str">
        <f>IF(ISERROR(VLOOKUP($E122&amp;$F122,Results!$A$2:$G$413,Y$1,FALSE)),"",VLOOKUP($E122&amp;$F122,Results!$A$2:$G$413,Y$1,FALSE))</f>
        <v/>
      </c>
      <c r="Z122" s="16" t="str">
        <f>IF(ISERROR(VLOOKUP($E122&amp;$F122,Results!$A$2:$G$413,Z$1,FALSE)),"",VLOOKUP($E122&amp;$F122,Results!$A$2:$G$413,Z$1,FALSE))</f>
        <v/>
      </c>
      <c r="AA122" s="16" t="str">
        <f>IF(ISERROR(VLOOKUP($E122&amp;$F122,Results!$A$2:$G$413,AA$1,FALSE)),"",VLOOKUP($E122&amp;$F122,Results!$A$2:$G$413,AA$1,FALSE))</f>
        <v/>
      </c>
      <c r="AB122" s="16" t="str">
        <f>IF(ISERROR(VLOOKUP($E122&amp;$F122,Results!$A$2:$G$413,AB$1,FALSE)),"",VLOOKUP($E122&amp;$F122,Results!$A$2:$G$413,AB$1,FALSE))</f>
        <v/>
      </c>
      <c r="AC122" s="16"/>
      <c r="AD122" s="20" t="str">
        <f>IF(ISERROR(VLOOKUP($AB122&amp;"-"&amp;$F122,Bonuses!$B$1:$G$1000,4,FALSE)),"",INT(VLOOKUP($AB122&amp;"-"&amp;$F122,Bonuses!$B$1:$G$1000,4,FALSE)))</f>
        <v/>
      </c>
      <c r="AE122" s="16" t="str">
        <f>IF(ISERROR(VLOOKUP($AB122&amp;"-"&amp;$F122,Bonuses!$B$1:$G$1000,5,FALSE)),"",IF(VLOOKUP($AB122&amp;"-"&amp;$F122,Bonuses!$B$1:$G$1000,5,FALSE)="","",VLOOKUP($AB122&amp;"-"&amp;$F122,Bonuses!$B$1:$G$1000,6,FALSE)&amp;" yrs, "&amp;VLOOKUP($AB122&amp;"-"&amp;$F122,Bonuses!$B$1:$G$1000,5,FALSE)))</f>
        <v/>
      </c>
    </row>
    <row r="123" spans="1:31" s="21" customFormat="1">
      <c r="A123" s="21" t="s">
        <v>969</v>
      </c>
      <c r="B123" s="21">
        <f t="shared" si="4"/>
        <v>1</v>
      </c>
      <c r="C123" s="21" t="str">
        <f t="shared" si="5"/>
        <v>B</v>
      </c>
      <c r="D123" s="17">
        <f>IF($C123="B",VLOOKUP($A123,Bat!$A$4:$BD$2323,D$1,FALSE),VLOOKUP($A123,Pit!$A$4:$AZ$2261,D$2,FALSE))</f>
        <v>7278</v>
      </c>
      <c r="E123" s="16" t="str">
        <f>IF($C123="B",VLOOKUP($A123,Bat!$A$4:$BD$2323,E$1,FALSE),VLOOKUP($A123,Pit!$A$4:$AZ$2261,E$2,FALSE))</f>
        <v>2B</v>
      </c>
      <c r="F123" s="16" t="str">
        <f>IF($C123="B",VLOOKUP($A123,Bat!$A$4:$BD$2323,F$1,FALSE),VLOOKUP($A123,Pit!$A$4:$AZ$2261,F$2,FALSE))</f>
        <v>Jeff Mack</v>
      </c>
      <c r="G123" s="16">
        <f>IF($C123="B",VLOOKUP($A123,Bat!$A$4:$BD$2323,G$1,FALSE),VLOOKUP($A123,Pit!$A$4:$AZ$2261,G$2,FALSE))</f>
        <v>21</v>
      </c>
      <c r="H123" s="16" t="str">
        <f>IF($C123="B",VLOOKUP($A123,Bat!$A$4:$BD$2323,H$1,FALSE),VLOOKUP($A123,Pit!$A$4:$AZ$2261,H$2,FALSE))</f>
        <v>R</v>
      </c>
      <c r="I123" s="16" t="str">
        <f>IF($C123="B",VLOOKUP($A123,Bat!$A$4:$BD$2323,I$1,FALSE),VLOOKUP($A123,Pit!$A$4:$AZ$2261,I$2,FALSE))</f>
        <v>R</v>
      </c>
      <c r="J123" s="16" t="str">
        <f>IF($C123="B",VLOOKUP($A123,Bat!$A$4:$BD$2323,J$1,FALSE),VLOOKUP($A123,Pit!$A$4:$AZ$2261,J$2,FALSE))</f>
        <v>Very High</v>
      </c>
      <c r="K123" s="17" t="str">
        <f>IF($C123="B",VLOOKUP($A123,Bat!$A$4:$BD$2323,K$1,FALSE),VLOOKUP($A123,Pit!$A$4:$AZ$2261,K$2,FALSE))</f>
        <v>Low</v>
      </c>
      <c r="L123" s="16">
        <f>IF($C123="B",VLOOKUP($A123,Bat!$A$4:$BD$2323,L$1,FALSE),VLOOKUP($A123,Pit!$A$4:$AZ$2261,L$2,FALSE))</f>
        <v>5</v>
      </c>
      <c r="M123" s="16">
        <f>IF($C123="B",VLOOKUP($A123,Bat!$A$4:$BD$2323,M$1,FALSE),VLOOKUP($A123,Pit!$A$4:$AZ$2261,M$2,FALSE))</f>
        <v>4</v>
      </c>
      <c r="N123" s="16">
        <f>IF($C123="B",VLOOKUP($A123,Bat!$A$4:$BD$2323,N$1,FALSE),VLOOKUP($A123,Pit!$A$4:$AZ$2261,N$2,FALSE))</f>
        <v>2</v>
      </c>
      <c r="O123" s="16">
        <f>IF($C123="B",VLOOKUP($A123,Bat!$A$4:$BD$2323,O$1,FALSE),VLOOKUP($A123,Pit!$A$4:$AZ$2261,O$2,FALSE))</f>
        <v>4</v>
      </c>
      <c r="P123" s="17">
        <f>IF($C123="B",VLOOKUP($A123,Bat!$A$4:$BD$2323,P$1,FALSE),VLOOKUP($A123,Pit!$A$4:$AZ$2261,P$2,FALSE))</f>
        <v>4</v>
      </c>
      <c r="Q123" s="18">
        <f>IF($C123="B",VLOOKUP($A123,Bat!$A$4:$BD$2323,Q$1,FALSE),VLOOKUP($A123,Pit!$A$4:$AZ$2261,Q$2,FALSE))</f>
        <v>10.284486220931106</v>
      </c>
      <c r="R123" s="19">
        <f>IF($C123="B",VLOOKUP($A123,Bat!$A$4:$BD$2323,R$1,FALSE),VLOOKUP($A123,Pit!$A$4:$AZ$2261,R$2,FALSE))</f>
        <v>-5.3072048270187903E-2</v>
      </c>
      <c r="S123" s="20" t="str">
        <f>IF($C123="B",VLOOKUP($A123,Bat!$A$4:$BD$2323,S$1,FALSE),VLOOKUP($A123,Pit!$A$4:$AZ$2261,S$2,FALSE))</f>
        <v>Slot</v>
      </c>
      <c r="T123" s="17" t="str">
        <f>IF(S123="Slot","",VLOOKUP(IF($C123="B",VLOOKUP($A123,Bat!$A$4:$AT$2323,T$1,FALSE),VLOOKUP($A123,Pit!$A$4:$BD$2261,T$2,FALSE)),COND!$A$34:$B$40,2,FALSE))</f>
        <v/>
      </c>
      <c r="U123" s="21" t="str">
        <f>IF($C123="B",VLOOKUP($A123,Bat!$A$4:$AR$1287,44,FALSE),VLOOKUP($A123,Pit!$A$4:$BB$1239,54,FALSE))</f>
        <v/>
      </c>
      <c r="W123" s="21" t="str">
        <f t="shared" si="6"/>
        <v/>
      </c>
      <c r="X123" s="22" t="e">
        <f t="shared" si="7"/>
        <v>#N/A</v>
      </c>
      <c r="Y123" s="16" t="str">
        <f>IF(ISERROR(VLOOKUP($E123&amp;$F123,Results!$A$2:$G$413,Y$1,FALSE)),"",VLOOKUP($E123&amp;$F123,Results!$A$2:$G$413,Y$1,FALSE))</f>
        <v/>
      </c>
      <c r="Z123" s="16" t="str">
        <f>IF(ISERROR(VLOOKUP($E123&amp;$F123,Results!$A$2:$G$413,Z$1,FALSE)),"",VLOOKUP($E123&amp;$F123,Results!$A$2:$G$413,Z$1,FALSE))</f>
        <v/>
      </c>
      <c r="AA123" s="16" t="str">
        <f>IF(ISERROR(VLOOKUP($E123&amp;$F123,Results!$A$2:$G$413,AA$1,FALSE)),"",VLOOKUP($E123&amp;$F123,Results!$A$2:$G$413,AA$1,FALSE))</f>
        <v/>
      </c>
      <c r="AB123" s="16" t="str">
        <f>IF(ISERROR(VLOOKUP($E123&amp;$F123,Results!$A$2:$G$413,AB$1,FALSE)),"",VLOOKUP($E123&amp;$F123,Results!$A$2:$G$413,AB$1,FALSE))</f>
        <v/>
      </c>
      <c r="AC123" s="16"/>
      <c r="AD123" s="20" t="str">
        <f>IF(ISERROR(VLOOKUP($AB123&amp;"-"&amp;$F123,Bonuses!$B$1:$G$1000,4,FALSE)),"",INT(VLOOKUP($AB123&amp;"-"&amp;$F123,Bonuses!$B$1:$G$1000,4,FALSE)))</f>
        <v/>
      </c>
      <c r="AE123" s="16" t="str">
        <f>IF(ISERROR(VLOOKUP($AB123&amp;"-"&amp;$F123,Bonuses!$B$1:$G$1000,5,FALSE)),"",IF(VLOOKUP($AB123&amp;"-"&amp;$F123,Bonuses!$B$1:$G$1000,5,FALSE)="","",VLOOKUP($AB123&amp;"-"&amp;$F123,Bonuses!$B$1:$G$1000,6,FALSE)&amp;" yrs, "&amp;VLOOKUP($AB123&amp;"-"&amp;$F123,Bonuses!$B$1:$G$1000,5,FALSE)))</f>
        <v/>
      </c>
    </row>
    <row r="124" spans="1:31" s="21" customFormat="1">
      <c r="A124" s="21" t="s">
        <v>982</v>
      </c>
      <c r="B124" s="21">
        <f t="shared" si="4"/>
        <v>1</v>
      </c>
      <c r="C124" s="21" t="str">
        <f t="shared" si="5"/>
        <v>B</v>
      </c>
      <c r="D124" s="17">
        <f>IF($C124="B",VLOOKUP($A124,Bat!$A$4:$BD$2323,D$1,FALSE),VLOOKUP($A124,Pit!$A$4:$AZ$2261,D$2,FALSE))</f>
        <v>9262</v>
      </c>
      <c r="E124" s="16" t="str">
        <f>IF($C124="B",VLOOKUP($A124,Bat!$A$4:$BD$2323,E$1,FALSE),VLOOKUP($A124,Pit!$A$4:$AZ$2261,E$2,FALSE))</f>
        <v>SS</v>
      </c>
      <c r="F124" s="16" t="str">
        <f>IF($C124="B",VLOOKUP($A124,Bat!$A$4:$BD$2323,F$1,FALSE),VLOOKUP($A124,Pit!$A$4:$AZ$2261,F$2,FALSE))</f>
        <v>Matt Tyler</v>
      </c>
      <c r="G124" s="16">
        <f>IF($C124="B",VLOOKUP($A124,Bat!$A$4:$BD$2323,G$1,FALSE),VLOOKUP($A124,Pit!$A$4:$AZ$2261,G$2,FALSE))</f>
        <v>21</v>
      </c>
      <c r="H124" s="16" t="str">
        <f>IF($C124="B",VLOOKUP($A124,Bat!$A$4:$BD$2323,H$1,FALSE),VLOOKUP($A124,Pit!$A$4:$AZ$2261,H$2,FALSE))</f>
        <v>R</v>
      </c>
      <c r="I124" s="16" t="str">
        <f>IF($C124="B",VLOOKUP($A124,Bat!$A$4:$BD$2323,I$1,FALSE),VLOOKUP($A124,Pit!$A$4:$AZ$2261,I$2,FALSE))</f>
        <v>R</v>
      </c>
      <c r="J124" s="16" t="str">
        <f>IF($C124="B",VLOOKUP($A124,Bat!$A$4:$BD$2323,J$1,FALSE),VLOOKUP($A124,Pit!$A$4:$AZ$2261,J$2,FALSE))</f>
        <v>Low</v>
      </c>
      <c r="K124" s="17" t="str">
        <f>IF($C124="B",VLOOKUP($A124,Bat!$A$4:$BD$2323,K$1,FALSE),VLOOKUP($A124,Pit!$A$4:$AZ$2261,K$2,FALSE))</f>
        <v>Very High</v>
      </c>
      <c r="L124" s="16">
        <f>IF($C124="B",VLOOKUP($A124,Bat!$A$4:$BD$2323,L$1,FALSE),VLOOKUP($A124,Pit!$A$4:$AZ$2261,L$2,FALSE))</f>
        <v>5</v>
      </c>
      <c r="M124" s="16">
        <f>IF($C124="B",VLOOKUP($A124,Bat!$A$4:$BD$2323,M$1,FALSE),VLOOKUP($A124,Pit!$A$4:$AZ$2261,M$2,FALSE))</f>
        <v>5</v>
      </c>
      <c r="N124" s="16">
        <f>IF($C124="B",VLOOKUP($A124,Bat!$A$4:$BD$2323,N$1,FALSE),VLOOKUP($A124,Pit!$A$4:$AZ$2261,N$2,FALSE))</f>
        <v>2</v>
      </c>
      <c r="O124" s="16">
        <f>IF($C124="B",VLOOKUP($A124,Bat!$A$4:$BD$2323,O$1,FALSE),VLOOKUP($A124,Pit!$A$4:$AZ$2261,O$2,FALSE))</f>
        <v>4</v>
      </c>
      <c r="P124" s="17">
        <f>IF($C124="B",VLOOKUP($A124,Bat!$A$4:$BD$2323,P$1,FALSE),VLOOKUP($A124,Pit!$A$4:$AZ$2261,P$2,FALSE))</f>
        <v>5</v>
      </c>
      <c r="Q124" s="18">
        <f>IF($C124="B",VLOOKUP($A124,Bat!$A$4:$BD$2323,Q$1,FALSE),VLOOKUP($A124,Pit!$A$4:$AZ$2261,Q$2,FALSE))</f>
        <v>10.264428265177884</v>
      </c>
      <c r="R124" s="19">
        <f>IF($C124="B",VLOOKUP($A124,Bat!$A$4:$BD$2323,R$1,FALSE),VLOOKUP($A124,Pit!$A$4:$AZ$2261,R$2,FALSE))</f>
        <v>-5.5858572752895505E-2</v>
      </c>
      <c r="S124" s="20" t="str">
        <f>IF($C124="B",VLOOKUP($A124,Bat!$A$4:$BD$2323,S$1,FALSE),VLOOKUP($A124,Pit!$A$4:$AZ$2261,S$2,FALSE))</f>
        <v>Slot</v>
      </c>
      <c r="T124" s="17" t="str">
        <f>IF(S124="Slot","",VLOOKUP(IF($C124="B",VLOOKUP($A124,Bat!$A$4:$AT$2323,T$1,FALSE),VLOOKUP($A124,Pit!$A$4:$BD$2261,T$2,FALSE)),COND!$A$34:$B$40,2,FALSE))</f>
        <v/>
      </c>
      <c r="U124" s="21" t="str">
        <f>IF($C124="B",VLOOKUP($A124,Bat!$A$4:$AR$1287,44,FALSE),VLOOKUP($A124,Pit!$A$4:$BB$1239,54,FALSE))</f>
        <v/>
      </c>
      <c r="W124" s="21" t="str">
        <f t="shared" si="6"/>
        <v/>
      </c>
      <c r="X124" s="22" t="e">
        <f t="shared" si="7"/>
        <v>#N/A</v>
      </c>
      <c r="Y124" s="16" t="str">
        <f>IF(ISERROR(VLOOKUP($E124&amp;$F124,Results!$A$2:$G$413,Y$1,FALSE)),"",VLOOKUP($E124&amp;$F124,Results!$A$2:$G$413,Y$1,FALSE))</f>
        <v/>
      </c>
      <c r="Z124" s="16" t="str">
        <f>IF(ISERROR(VLOOKUP($E124&amp;$F124,Results!$A$2:$G$413,Z$1,FALSE)),"",VLOOKUP($E124&amp;$F124,Results!$A$2:$G$413,Z$1,FALSE))</f>
        <v/>
      </c>
      <c r="AA124" s="16" t="str">
        <f>IF(ISERROR(VLOOKUP($E124&amp;$F124,Results!$A$2:$G$413,AA$1,FALSE)),"",VLOOKUP($E124&amp;$F124,Results!$A$2:$G$413,AA$1,FALSE))</f>
        <v/>
      </c>
      <c r="AB124" s="16" t="str">
        <f>IF(ISERROR(VLOOKUP($E124&amp;$F124,Results!$A$2:$G$413,AB$1,FALSE)),"",VLOOKUP($E124&amp;$F124,Results!$A$2:$G$413,AB$1,FALSE))</f>
        <v/>
      </c>
      <c r="AC124" s="16"/>
      <c r="AD124" s="20" t="str">
        <f>IF(ISERROR(VLOOKUP($AB124&amp;"-"&amp;$F124,Bonuses!$B$1:$G$1000,4,FALSE)),"",INT(VLOOKUP($AB124&amp;"-"&amp;$F124,Bonuses!$B$1:$G$1000,4,FALSE)))</f>
        <v/>
      </c>
      <c r="AE124" s="16" t="str">
        <f>IF(ISERROR(VLOOKUP($AB124&amp;"-"&amp;$F124,Bonuses!$B$1:$G$1000,5,FALSE)),"",IF(VLOOKUP($AB124&amp;"-"&amp;$F124,Bonuses!$B$1:$G$1000,5,FALSE)="","",VLOOKUP($AB124&amp;"-"&amp;$F124,Bonuses!$B$1:$G$1000,6,FALSE)&amp;" yrs, "&amp;VLOOKUP($AB124&amp;"-"&amp;$F124,Bonuses!$B$1:$G$1000,5,FALSE)))</f>
        <v/>
      </c>
    </row>
    <row r="125" spans="1:31" s="21" customFormat="1">
      <c r="A125" s="21" t="s">
        <v>978</v>
      </c>
      <c r="B125" s="21">
        <f t="shared" si="4"/>
        <v>1</v>
      </c>
      <c r="C125" s="21" t="str">
        <f t="shared" si="5"/>
        <v>B</v>
      </c>
      <c r="D125" s="17">
        <f>IF($C125="B",VLOOKUP($A125,Bat!$A$4:$BD$2323,D$1,FALSE),VLOOKUP($A125,Pit!$A$4:$AZ$2261,D$2,FALSE))</f>
        <v>4212</v>
      </c>
      <c r="E125" s="16" t="str">
        <f>IF($C125="B",VLOOKUP($A125,Bat!$A$4:$BD$2323,E$1,FALSE),VLOOKUP($A125,Pit!$A$4:$AZ$2261,E$2,FALSE))</f>
        <v>3B</v>
      </c>
      <c r="F125" s="16" t="str">
        <f>IF($C125="B",VLOOKUP($A125,Bat!$A$4:$BD$2323,F$1,FALSE),VLOOKUP($A125,Pit!$A$4:$AZ$2261,F$2,FALSE))</f>
        <v>Gabe Kelly</v>
      </c>
      <c r="G125" s="16">
        <f>IF($C125="B",VLOOKUP($A125,Bat!$A$4:$BD$2323,G$1,FALSE),VLOOKUP($A125,Pit!$A$4:$AZ$2261,G$2,FALSE))</f>
        <v>21</v>
      </c>
      <c r="H125" s="16" t="str">
        <f>IF($C125="B",VLOOKUP($A125,Bat!$A$4:$BD$2323,H$1,FALSE),VLOOKUP($A125,Pit!$A$4:$AZ$2261,H$2,FALSE))</f>
        <v>R</v>
      </c>
      <c r="I125" s="16" t="str">
        <f>IF($C125="B",VLOOKUP($A125,Bat!$A$4:$BD$2323,I$1,FALSE),VLOOKUP($A125,Pit!$A$4:$AZ$2261,I$2,FALSE))</f>
        <v>R</v>
      </c>
      <c r="J125" s="16" t="str">
        <f>IF($C125="B",VLOOKUP($A125,Bat!$A$4:$BD$2323,J$1,FALSE),VLOOKUP($A125,Pit!$A$4:$AZ$2261,J$2,FALSE))</f>
        <v>High</v>
      </c>
      <c r="K125" s="17" t="str">
        <f>IF($C125="B",VLOOKUP($A125,Bat!$A$4:$BD$2323,K$1,FALSE),VLOOKUP($A125,Pit!$A$4:$AZ$2261,K$2,FALSE))</f>
        <v>Normal</v>
      </c>
      <c r="L125" s="16">
        <f>IF($C125="B",VLOOKUP($A125,Bat!$A$4:$BD$2323,L$1,FALSE),VLOOKUP($A125,Pit!$A$4:$AZ$2261,L$2,FALSE))</f>
        <v>5</v>
      </c>
      <c r="M125" s="16">
        <f>IF($C125="B",VLOOKUP($A125,Bat!$A$4:$BD$2323,M$1,FALSE),VLOOKUP($A125,Pit!$A$4:$AZ$2261,M$2,FALSE))</f>
        <v>5</v>
      </c>
      <c r="N125" s="16">
        <f>IF($C125="B",VLOOKUP($A125,Bat!$A$4:$BD$2323,N$1,FALSE),VLOOKUP($A125,Pit!$A$4:$AZ$2261,N$2,FALSE))</f>
        <v>2</v>
      </c>
      <c r="O125" s="16">
        <f>IF($C125="B",VLOOKUP($A125,Bat!$A$4:$BD$2323,O$1,FALSE),VLOOKUP($A125,Pit!$A$4:$AZ$2261,O$2,FALSE))</f>
        <v>4</v>
      </c>
      <c r="P125" s="17">
        <f>IF($C125="B",VLOOKUP($A125,Bat!$A$4:$BD$2323,P$1,FALSE),VLOOKUP($A125,Pit!$A$4:$AZ$2261,P$2,FALSE))</f>
        <v>4</v>
      </c>
      <c r="Q125" s="18">
        <f>IF($C125="B",VLOOKUP($A125,Bat!$A$4:$BD$2323,Q$1,FALSE),VLOOKUP($A125,Pit!$A$4:$AZ$2261,Q$2,FALSE))</f>
        <v>10.244307496354001</v>
      </c>
      <c r="R125" s="19">
        <f>IF($C125="B",VLOOKUP($A125,Bat!$A$4:$BD$2323,R$1,FALSE),VLOOKUP($A125,Pit!$A$4:$AZ$2261,R$2,FALSE))</f>
        <v>-5.8653823456828492E-2</v>
      </c>
      <c r="S125" s="20" t="str">
        <f>IF($C125="B",VLOOKUP($A125,Bat!$A$4:$BD$2323,S$1,FALSE),VLOOKUP($A125,Pit!$A$4:$AZ$2261,S$2,FALSE))</f>
        <v>Slot</v>
      </c>
      <c r="T125" s="17" t="str">
        <f>IF(S125="Slot","",VLOOKUP(IF($C125="B",VLOOKUP($A125,Bat!$A$4:$AT$2323,T$1,FALSE),VLOOKUP($A125,Pit!$A$4:$BD$2261,T$2,FALSE)),COND!$A$34:$B$40,2,FALSE))</f>
        <v/>
      </c>
      <c r="U125" s="21" t="str">
        <f>IF($C125="B",VLOOKUP($A125,Bat!$A$4:$AR$1287,44,FALSE),VLOOKUP($A125,Pit!$A$4:$BB$1239,54,FALSE))</f>
        <v/>
      </c>
      <c r="W125" s="21" t="str">
        <f t="shared" si="6"/>
        <v/>
      </c>
      <c r="X125" s="22" t="e">
        <f t="shared" si="7"/>
        <v>#N/A</v>
      </c>
      <c r="Y125" s="16" t="str">
        <f>IF(ISERROR(VLOOKUP($E125&amp;$F125,Results!$A$2:$G$413,Y$1,FALSE)),"",VLOOKUP($E125&amp;$F125,Results!$A$2:$G$413,Y$1,FALSE))</f>
        <v/>
      </c>
      <c r="Z125" s="16" t="str">
        <f>IF(ISERROR(VLOOKUP($E125&amp;$F125,Results!$A$2:$G$413,Z$1,FALSE)),"",VLOOKUP($E125&amp;$F125,Results!$A$2:$G$413,Z$1,FALSE))</f>
        <v/>
      </c>
      <c r="AA125" s="16" t="str">
        <f>IF(ISERROR(VLOOKUP($E125&amp;$F125,Results!$A$2:$G$413,AA$1,FALSE)),"",VLOOKUP($E125&amp;$F125,Results!$A$2:$G$413,AA$1,FALSE))</f>
        <v/>
      </c>
      <c r="AB125" s="16" t="str">
        <f>IF(ISERROR(VLOOKUP($E125&amp;$F125,Results!$A$2:$G$413,AB$1,FALSE)),"",VLOOKUP($E125&amp;$F125,Results!$A$2:$G$413,AB$1,FALSE))</f>
        <v/>
      </c>
      <c r="AC125" s="16"/>
      <c r="AD125" s="20" t="str">
        <f>IF(ISERROR(VLOOKUP($AB125&amp;"-"&amp;$F125,Bonuses!$B$1:$G$1000,4,FALSE)),"",INT(VLOOKUP($AB125&amp;"-"&amp;$F125,Bonuses!$B$1:$G$1000,4,FALSE)))</f>
        <v/>
      </c>
      <c r="AE125" s="16" t="str">
        <f>IF(ISERROR(VLOOKUP($AB125&amp;"-"&amp;$F125,Bonuses!$B$1:$G$1000,5,FALSE)),"",IF(VLOOKUP($AB125&amp;"-"&amp;$F125,Bonuses!$B$1:$G$1000,5,FALSE)="","",VLOOKUP($AB125&amp;"-"&amp;$F125,Bonuses!$B$1:$G$1000,6,FALSE)&amp;" yrs, "&amp;VLOOKUP($AB125&amp;"-"&amp;$F125,Bonuses!$B$1:$G$1000,5,FALSE)))</f>
        <v/>
      </c>
    </row>
    <row r="126" spans="1:31" s="21" customFormat="1">
      <c r="A126" s="21" t="s">
        <v>821</v>
      </c>
      <c r="B126" s="21">
        <f t="shared" si="4"/>
        <v>1</v>
      </c>
      <c r="C126" s="21" t="str">
        <f t="shared" si="5"/>
        <v>B</v>
      </c>
      <c r="D126" s="17" t="e">
        <f>IF($C126="B",VLOOKUP($A126,Bat!$A$4:$BD$2323,D$1,FALSE),VLOOKUP($A126,Pit!$A$4:$AZ$2261,D$2,FALSE))</f>
        <v>#N/A</v>
      </c>
      <c r="E126" s="16" t="e">
        <f>IF($C126="B",VLOOKUP($A126,Bat!$A$4:$BD$2323,E$1,FALSE),VLOOKUP($A126,Pit!$A$4:$AZ$2261,E$2,FALSE))</f>
        <v>#N/A</v>
      </c>
      <c r="F126" s="16" t="e">
        <f>IF($C126="B",VLOOKUP($A126,Bat!$A$4:$BD$2323,F$1,FALSE),VLOOKUP($A126,Pit!$A$4:$AZ$2261,F$2,FALSE))</f>
        <v>#N/A</v>
      </c>
      <c r="G126" s="16" t="e">
        <f>IF($C126="B",VLOOKUP($A126,Bat!$A$4:$BD$2323,G$1,FALSE),VLOOKUP($A126,Pit!$A$4:$AZ$2261,G$2,FALSE))</f>
        <v>#N/A</v>
      </c>
      <c r="H126" s="16" t="e">
        <f>IF($C126="B",VLOOKUP($A126,Bat!$A$4:$BD$2323,H$1,FALSE),VLOOKUP($A126,Pit!$A$4:$AZ$2261,H$2,FALSE))</f>
        <v>#N/A</v>
      </c>
      <c r="I126" s="16" t="e">
        <f>IF($C126="B",VLOOKUP($A126,Bat!$A$4:$BD$2323,I$1,FALSE),VLOOKUP($A126,Pit!$A$4:$AZ$2261,I$2,FALSE))</f>
        <v>#N/A</v>
      </c>
      <c r="J126" s="16" t="e">
        <f>IF($C126="B",VLOOKUP($A126,Bat!$A$4:$BD$2323,J$1,FALSE),VLOOKUP($A126,Pit!$A$4:$AZ$2261,J$2,FALSE))</f>
        <v>#N/A</v>
      </c>
      <c r="K126" s="17" t="e">
        <f>IF($C126="B",VLOOKUP($A126,Bat!$A$4:$BD$2323,K$1,FALSE),VLOOKUP($A126,Pit!$A$4:$AZ$2261,K$2,FALSE))</f>
        <v>#N/A</v>
      </c>
      <c r="L126" s="16" t="e">
        <f>IF($C126="B",VLOOKUP($A126,Bat!$A$4:$BD$2323,L$1,FALSE),VLOOKUP($A126,Pit!$A$4:$AZ$2261,L$2,FALSE))</f>
        <v>#N/A</v>
      </c>
      <c r="M126" s="16" t="e">
        <f>IF($C126="B",VLOOKUP($A126,Bat!$A$4:$BD$2323,M$1,FALSE),VLOOKUP($A126,Pit!$A$4:$AZ$2261,M$2,FALSE))</f>
        <v>#N/A</v>
      </c>
      <c r="N126" s="16" t="e">
        <f>IF($C126="B",VLOOKUP($A126,Bat!$A$4:$BD$2323,N$1,FALSE),VLOOKUP($A126,Pit!$A$4:$AZ$2261,N$2,FALSE))</f>
        <v>#N/A</v>
      </c>
      <c r="O126" s="16" t="e">
        <f>IF($C126="B",VLOOKUP($A126,Bat!$A$4:$BD$2323,O$1,FALSE),VLOOKUP($A126,Pit!$A$4:$AZ$2261,O$2,FALSE))</f>
        <v>#N/A</v>
      </c>
      <c r="P126" s="17" t="e">
        <f>IF($C126="B",VLOOKUP($A126,Bat!$A$4:$BD$2323,P$1,FALSE),VLOOKUP($A126,Pit!$A$4:$AZ$2261,P$2,FALSE))</f>
        <v>#N/A</v>
      </c>
      <c r="Q126" s="18" t="e">
        <f>IF($C126="B",VLOOKUP($A126,Bat!$A$4:$BD$2323,Q$1,FALSE),VLOOKUP($A126,Pit!$A$4:$AZ$2261,Q$2,FALSE))</f>
        <v>#N/A</v>
      </c>
      <c r="R126" s="19" t="e">
        <f>IF($C126="B",VLOOKUP($A126,Bat!$A$4:$BD$2323,R$1,FALSE),VLOOKUP($A126,Pit!$A$4:$AZ$2261,R$2,FALSE))</f>
        <v>#N/A</v>
      </c>
      <c r="S126" s="20" t="e">
        <f>IF($C126="B",VLOOKUP($A126,Bat!$A$4:$BD$2323,S$1,FALSE),VLOOKUP($A126,Pit!$A$4:$AZ$2261,S$2,FALSE))</f>
        <v>#N/A</v>
      </c>
      <c r="T126" s="17" t="e">
        <f>IF(S126="Slot","",VLOOKUP(IF($C126="B",VLOOKUP($A126,Bat!$A$4:$AT$2323,T$1,FALSE),VLOOKUP($A126,Pit!$A$4:$BD$2261,T$2,FALSE)),COND!$A$34:$B$40,2,FALSE))</f>
        <v>#N/A</v>
      </c>
      <c r="U126" s="21" t="e">
        <f>IF($C126="B",VLOOKUP($A126,Bat!$A$4:$AR$1287,44,FALSE),VLOOKUP($A126,Pit!$A$4:$BB$1239,54,FALSE))</f>
        <v>#N/A</v>
      </c>
      <c r="W126" s="21" t="e">
        <f t="shared" si="6"/>
        <v>#N/A</v>
      </c>
      <c r="X126" s="22" t="e">
        <f t="shared" si="7"/>
        <v>#N/A</v>
      </c>
      <c r="Y126" s="16" t="str">
        <f>IF(ISERROR(VLOOKUP($E126&amp;$F126,Results!$A$2:$G$413,Y$1,FALSE)),"",VLOOKUP($E126&amp;$F126,Results!$A$2:$G$413,Y$1,FALSE))</f>
        <v/>
      </c>
      <c r="Z126" s="16" t="str">
        <f>IF(ISERROR(VLOOKUP($E126&amp;$F126,Results!$A$2:$G$413,Z$1,FALSE)),"",VLOOKUP($E126&amp;$F126,Results!$A$2:$G$413,Z$1,FALSE))</f>
        <v/>
      </c>
      <c r="AA126" s="16" t="str">
        <f>IF(ISERROR(VLOOKUP($E126&amp;$F126,Results!$A$2:$G$413,AA$1,FALSE)),"",VLOOKUP($E126&amp;$F126,Results!$A$2:$G$413,AA$1,FALSE))</f>
        <v/>
      </c>
      <c r="AB126" s="16" t="str">
        <f>IF(ISERROR(VLOOKUP($E126&amp;$F126,Results!$A$2:$G$413,AB$1,FALSE)),"",VLOOKUP($E126&amp;$F126,Results!$A$2:$G$413,AB$1,FALSE))</f>
        <v/>
      </c>
      <c r="AC126" s="16"/>
      <c r="AD126" s="20" t="str">
        <f>IF(ISERROR(VLOOKUP($AB126&amp;"-"&amp;$F126,Bonuses!$B$1:$G$1000,4,FALSE)),"",INT(VLOOKUP($AB126&amp;"-"&amp;$F126,Bonuses!$B$1:$G$1000,4,FALSE)))</f>
        <v/>
      </c>
      <c r="AE126" s="16" t="str">
        <f>IF(ISERROR(VLOOKUP($AB126&amp;"-"&amp;$F126,Bonuses!$B$1:$G$1000,5,FALSE)),"",IF(VLOOKUP($AB126&amp;"-"&amp;$F126,Bonuses!$B$1:$G$1000,5,FALSE)="","",VLOOKUP($AB126&amp;"-"&amp;$F126,Bonuses!$B$1:$G$1000,6,FALSE)&amp;" yrs, "&amp;VLOOKUP($AB126&amp;"-"&amp;$F126,Bonuses!$B$1:$G$1000,5,FALSE)))</f>
        <v/>
      </c>
    </row>
    <row r="127" spans="1:31" s="21" customFormat="1">
      <c r="A127" s="21" t="s">
        <v>836</v>
      </c>
      <c r="B127" s="21">
        <f t="shared" si="4"/>
        <v>1</v>
      </c>
      <c r="C127" s="21" t="str">
        <f t="shared" si="5"/>
        <v>B</v>
      </c>
      <c r="D127" s="17">
        <f>IF($C127="B",VLOOKUP($A127,Bat!$A$4:$BD$2323,D$1,FALSE),VLOOKUP($A127,Pit!$A$4:$AZ$2261,D$2,FALSE))</f>
        <v>2559</v>
      </c>
      <c r="E127" s="16" t="str">
        <f>IF($C127="B",VLOOKUP($A127,Bat!$A$4:$BD$2323,E$1,FALSE),VLOOKUP($A127,Pit!$A$4:$AZ$2261,E$2,FALSE))</f>
        <v>1B</v>
      </c>
      <c r="F127" s="16" t="str">
        <f>IF($C127="B",VLOOKUP($A127,Bat!$A$4:$BD$2323,F$1,FALSE),VLOOKUP($A127,Pit!$A$4:$AZ$2261,F$2,FALSE))</f>
        <v>Connor Becker</v>
      </c>
      <c r="G127" s="16">
        <f>IF($C127="B",VLOOKUP($A127,Bat!$A$4:$BD$2323,G$1,FALSE),VLOOKUP($A127,Pit!$A$4:$AZ$2261,G$2,FALSE))</f>
        <v>21</v>
      </c>
      <c r="H127" s="16" t="str">
        <f>IF($C127="B",VLOOKUP($A127,Bat!$A$4:$BD$2323,H$1,FALSE),VLOOKUP($A127,Pit!$A$4:$AZ$2261,H$2,FALSE))</f>
        <v>R</v>
      </c>
      <c r="I127" s="16" t="str">
        <f>IF($C127="B",VLOOKUP($A127,Bat!$A$4:$BD$2323,I$1,FALSE),VLOOKUP($A127,Pit!$A$4:$AZ$2261,I$2,FALSE))</f>
        <v>R</v>
      </c>
      <c r="J127" s="16" t="str">
        <f>IF($C127="B",VLOOKUP($A127,Bat!$A$4:$BD$2323,J$1,FALSE),VLOOKUP($A127,Pit!$A$4:$AZ$2261,J$2,FALSE))</f>
        <v>Very Low</v>
      </c>
      <c r="K127" s="17" t="str">
        <f>IF($C127="B",VLOOKUP($A127,Bat!$A$4:$BD$2323,K$1,FALSE),VLOOKUP($A127,Pit!$A$4:$AZ$2261,K$2,FALSE))</f>
        <v>High</v>
      </c>
      <c r="L127" s="16">
        <f>IF($C127="B",VLOOKUP($A127,Bat!$A$4:$BD$2323,L$1,FALSE),VLOOKUP($A127,Pit!$A$4:$AZ$2261,L$2,FALSE))</f>
        <v>5</v>
      </c>
      <c r="M127" s="16">
        <f>IF($C127="B",VLOOKUP($A127,Bat!$A$4:$BD$2323,M$1,FALSE),VLOOKUP($A127,Pit!$A$4:$AZ$2261,M$2,FALSE))</f>
        <v>5</v>
      </c>
      <c r="N127" s="16">
        <f>IF($C127="B",VLOOKUP($A127,Bat!$A$4:$BD$2323,N$1,FALSE),VLOOKUP($A127,Pit!$A$4:$AZ$2261,N$2,FALSE))</f>
        <v>4</v>
      </c>
      <c r="O127" s="16">
        <f>IF($C127="B",VLOOKUP($A127,Bat!$A$4:$BD$2323,O$1,FALSE),VLOOKUP($A127,Pit!$A$4:$AZ$2261,O$2,FALSE))</f>
        <v>4</v>
      </c>
      <c r="P127" s="17">
        <f>IF($C127="B",VLOOKUP($A127,Bat!$A$4:$BD$2323,P$1,FALSE),VLOOKUP($A127,Pit!$A$4:$AZ$2261,P$2,FALSE))</f>
        <v>4</v>
      </c>
      <c r="Q127" s="18">
        <f>IF($C127="B",VLOOKUP($A127,Bat!$A$4:$BD$2323,Q$1,FALSE),VLOOKUP($A127,Pit!$A$4:$AZ$2261,Q$2,FALSE))</f>
        <v>10.07511832024268</v>
      </c>
      <c r="R127" s="19">
        <f>IF($C127="B",VLOOKUP($A127,Bat!$A$4:$BD$2323,R$1,FALSE),VLOOKUP($A127,Pit!$A$4:$AZ$2261,R$2,FALSE))</f>
        <v>-8.215820183135919E-2</v>
      </c>
      <c r="S127" s="20" t="str">
        <f>IF($C127="B",VLOOKUP($A127,Bat!$A$4:$BD$2323,S$1,FALSE),VLOOKUP($A127,Pit!$A$4:$AZ$2261,S$2,FALSE))</f>
        <v>Slot</v>
      </c>
      <c r="T127" s="17" t="str">
        <f>IF(S127="Slot","",VLOOKUP(IF($C127="B",VLOOKUP($A127,Bat!$A$4:$AT$2323,T$1,FALSE),VLOOKUP($A127,Pit!$A$4:$BD$2261,T$2,FALSE)),COND!$A$34:$B$40,2,FALSE))</f>
        <v/>
      </c>
      <c r="U127" s="21" t="str">
        <f>IF($C127="B",VLOOKUP($A127,Bat!$A$4:$AR$1287,44,FALSE),VLOOKUP($A127,Pit!$A$4:$BB$1239,54,FALSE))</f>
        <v/>
      </c>
      <c r="W127" s="21" t="str">
        <f t="shared" si="6"/>
        <v/>
      </c>
      <c r="X127" s="22" t="e">
        <f t="shared" si="7"/>
        <v>#N/A</v>
      </c>
      <c r="Y127" s="16" t="str">
        <f>IF(ISERROR(VLOOKUP($E127&amp;$F127,Results!$A$2:$G$413,Y$1,FALSE)),"",VLOOKUP($E127&amp;$F127,Results!$A$2:$G$413,Y$1,FALSE))</f>
        <v/>
      </c>
      <c r="Z127" s="16" t="str">
        <f>IF(ISERROR(VLOOKUP($E127&amp;$F127,Results!$A$2:$G$413,Z$1,FALSE)),"",VLOOKUP($E127&amp;$F127,Results!$A$2:$G$413,Z$1,FALSE))</f>
        <v/>
      </c>
      <c r="AA127" s="16" t="str">
        <f>IF(ISERROR(VLOOKUP($E127&amp;$F127,Results!$A$2:$G$413,AA$1,FALSE)),"",VLOOKUP($E127&amp;$F127,Results!$A$2:$G$413,AA$1,FALSE))</f>
        <v/>
      </c>
      <c r="AB127" s="16" t="str">
        <f>IF(ISERROR(VLOOKUP($E127&amp;$F127,Results!$A$2:$G$413,AB$1,FALSE)),"",VLOOKUP($E127&amp;$F127,Results!$A$2:$G$413,AB$1,FALSE))</f>
        <v/>
      </c>
      <c r="AC127" s="16"/>
      <c r="AD127" s="20" t="str">
        <f>IF(ISERROR(VLOOKUP($AB127&amp;"-"&amp;$F127,Bonuses!$B$1:$G$1000,4,FALSE)),"",INT(VLOOKUP($AB127&amp;"-"&amp;$F127,Bonuses!$B$1:$G$1000,4,FALSE)))</f>
        <v/>
      </c>
      <c r="AE127" s="16" t="str">
        <f>IF(ISERROR(VLOOKUP($AB127&amp;"-"&amp;$F127,Bonuses!$B$1:$G$1000,5,FALSE)),"",IF(VLOOKUP($AB127&amp;"-"&amp;$F127,Bonuses!$B$1:$G$1000,5,FALSE)="","",VLOOKUP($AB127&amp;"-"&amp;$F127,Bonuses!$B$1:$G$1000,6,FALSE)&amp;" yrs, "&amp;VLOOKUP($AB127&amp;"-"&amp;$F127,Bonuses!$B$1:$G$1000,5,FALSE)))</f>
        <v/>
      </c>
    </row>
    <row r="128" spans="1:31" s="21" customFormat="1">
      <c r="A128" s="21" t="s">
        <v>640</v>
      </c>
      <c r="B128" s="21">
        <f t="shared" si="4"/>
        <v>1</v>
      </c>
      <c r="C128" s="21" t="str">
        <f t="shared" si="5"/>
        <v>B</v>
      </c>
      <c r="D128" s="17">
        <f>IF($C128="B",VLOOKUP($A128,Bat!$A$4:$BD$2323,D$1,FALSE),VLOOKUP($A128,Pit!$A$4:$AZ$2261,D$2,FALSE))</f>
        <v>7110</v>
      </c>
      <c r="E128" s="16" t="str">
        <f>IF($C128="B",VLOOKUP($A128,Bat!$A$4:$BD$2323,E$1,FALSE),VLOOKUP($A128,Pit!$A$4:$AZ$2261,E$2,FALSE))</f>
        <v>C</v>
      </c>
      <c r="F128" s="16" t="str">
        <f>IF($C128="B",VLOOKUP($A128,Bat!$A$4:$BD$2323,F$1,FALSE),VLOOKUP($A128,Pit!$A$4:$AZ$2261,F$2,FALSE))</f>
        <v>Gavin Schroeder</v>
      </c>
      <c r="G128" s="16">
        <f>IF($C128="B",VLOOKUP($A128,Bat!$A$4:$BD$2323,G$1,FALSE),VLOOKUP($A128,Pit!$A$4:$AZ$2261,G$2,FALSE))</f>
        <v>21</v>
      </c>
      <c r="H128" s="16" t="str">
        <f>IF($C128="B",VLOOKUP($A128,Bat!$A$4:$BD$2323,H$1,FALSE),VLOOKUP($A128,Pit!$A$4:$AZ$2261,H$2,FALSE))</f>
        <v>R</v>
      </c>
      <c r="I128" s="16" t="str">
        <f>IF($C128="B",VLOOKUP($A128,Bat!$A$4:$BD$2323,I$1,FALSE),VLOOKUP($A128,Pit!$A$4:$AZ$2261,I$2,FALSE))</f>
        <v>R</v>
      </c>
      <c r="J128" s="16" t="str">
        <f>IF($C128="B",VLOOKUP($A128,Bat!$A$4:$BD$2323,J$1,FALSE),VLOOKUP($A128,Pit!$A$4:$AZ$2261,J$2,FALSE))</f>
        <v>Very High</v>
      </c>
      <c r="K128" s="17" t="str">
        <f>IF($C128="B",VLOOKUP($A128,Bat!$A$4:$BD$2323,K$1,FALSE),VLOOKUP($A128,Pit!$A$4:$AZ$2261,K$2,FALSE))</f>
        <v>Very High</v>
      </c>
      <c r="L128" s="16">
        <f>IF($C128="B",VLOOKUP($A128,Bat!$A$4:$BD$2323,L$1,FALSE),VLOOKUP($A128,Pit!$A$4:$AZ$2261,L$2,FALSE))</f>
        <v>5</v>
      </c>
      <c r="M128" s="16">
        <f>IF($C128="B",VLOOKUP($A128,Bat!$A$4:$BD$2323,M$1,FALSE),VLOOKUP($A128,Pit!$A$4:$AZ$2261,M$2,FALSE))</f>
        <v>5</v>
      </c>
      <c r="N128" s="16">
        <f>IF($C128="B",VLOOKUP($A128,Bat!$A$4:$BD$2323,N$1,FALSE),VLOOKUP($A128,Pit!$A$4:$AZ$2261,N$2,FALSE))</f>
        <v>2</v>
      </c>
      <c r="O128" s="16">
        <f>IF($C128="B",VLOOKUP($A128,Bat!$A$4:$BD$2323,O$1,FALSE),VLOOKUP($A128,Pit!$A$4:$AZ$2261,O$2,FALSE))</f>
        <v>4</v>
      </c>
      <c r="P128" s="17">
        <f>IF($C128="B",VLOOKUP($A128,Bat!$A$4:$BD$2323,P$1,FALSE),VLOOKUP($A128,Pit!$A$4:$AZ$2261,P$2,FALSE))</f>
        <v>4</v>
      </c>
      <c r="Q128" s="18">
        <f>IF($C128="B",VLOOKUP($A128,Bat!$A$4:$BD$2323,Q$1,FALSE),VLOOKUP($A128,Pit!$A$4:$AZ$2261,Q$2,FALSE))</f>
        <v>10.01389804728931</v>
      </c>
      <c r="R128" s="19">
        <f>IF($C128="B",VLOOKUP($A128,Bat!$A$4:$BD$2323,R$1,FALSE),VLOOKUP($A128,Pit!$A$4:$AZ$2261,R$2,FALSE))</f>
        <v>-9.0663145780854507E-2</v>
      </c>
      <c r="S128" s="20" t="str">
        <f>IF($C128="B",VLOOKUP($A128,Bat!$A$4:$BD$2323,S$1,FALSE),VLOOKUP($A128,Pit!$A$4:$AZ$2261,S$2,FALSE))</f>
        <v>Slot</v>
      </c>
      <c r="T128" s="17" t="str">
        <f>IF(S128="Slot","",VLOOKUP(IF($C128="B",VLOOKUP($A128,Bat!$A$4:$AT$2323,T$1,FALSE),VLOOKUP($A128,Pit!$A$4:$BD$2261,T$2,FALSE)),COND!$A$34:$B$40,2,FALSE))</f>
        <v/>
      </c>
      <c r="U128" s="21" t="str">
        <f>IF($C128="B",VLOOKUP($A128,Bat!$A$4:$AR$1287,44,FALSE),VLOOKUP($A128,Pit!$A$4:$BB$1239,54,FALSE))</f>
        <v/>
      </c>
      <c r="W128" s="21" t="str">
        <f t="shared" si="6"/>
        <v/>
      </c>
      <c r="X128" s="22" t="e">
        <f t="shared" si="7"/>
        <v>#N/A</v>
      </c>
      <c r="Y128" s="16" t="str">
        <f>IF(ISERROR(VLOOKUP($E128&amp;$F128,Results!$A$2:$G$413,Y$1,FALSE)),"",VLOOKUP($E128&amp;$F128,Results!$A$2:$G$413,Y$1,FALSE))</f>
        <v/>
      </c>
      <c r="Z128" s="16" t="str">
        <f>IF(ISERROR(VLOOKUP($E128&amp;$F128,Results!$A$2:$G$413,Z$1,FALSE)),"",VLOOKUP($E128&amp;$F128,Results!$A$2:$G$413,Z$1,FALSE))</f>
        <v/>
      </c>
      <c r="AA128" s="16" t="str">
        <f>IF(ISERROR(VLOOKUP($E128&amp;$F128,Results!$A$2:$G$413,AA$1,FALSE)),"",VLOOKUP($E128&amp;$F128,Results!$A$2:$G$413,AA$1,FALSE))</f>
        <v/>
      </c>
      <c r="AB128" s="16" t="str">
        <f>IF(ISERROR(VLOOKUP($E128&amp;$F128,Results!$A$2:$G$413,AB$1,FALSE)),"",VLOOKUP($E128&amp;$F128,Results!$A$2:$G$413,AB$1,FALSE))</f>
        <v/>
      </c>
      <c r="AC128" s="16"/>
      <c r="AD128" s="20" t="str">
        <f>IF(ISERROR(VLOOKUP($AB128&amp;"-"&amp;$F128,Bonuses!$B$1:$G$1000,4,FALSE)),"",INT(VLOOKUP($AB128&amp;"-"&amp;$F128,Bonuses!$B$1:$G$1000,4,FALSE)))</f>
        <v/>
      </c>
      <c r="AE128" s="16" t="str">
        <f>IF(ISERROR(VLOOKUP($AB128&amp;"-"&amp;$F128,Bonuses!$B$1:$G$1000,5,FALSE)),"",IF(VLOOKUP($AB128&amp;"-"&amp;$F128,Bonuses!$B$1:$G$1000,5,FALSE)="","",VLOOKUP($AB128&amp;"-"&amp;$F128,Bonuses!$B$1:$G$1000,6,FALSE)&amp;" yrs, "&amp;VLOOKUP($AB128&amp;"-"&amp;$F128,Bonuses!$B$1:$G$1000,5,FALSE)))</f>
        <v/>
      </c>
    </row>
    <row r="129" spans="1:31" s="21" customFormat="1">
      <c r="A129" s="21" t="s">
        <v>830</v>
      </c>
      <c r="B129" s="21">
        <f t="shared" si="4"/>
        <v>1</v>
      </c>
      <c r="C129" s="21" t="str">
        <f t="shared" si="5"/>
        <v>B</v>
      </c>
      <c r="D129" s="17">
        <f>IF($C129="B",VLOOKUP($A129,Bat!$A$4:$BD$2323,D$1,FALSE),VLOOKUP($A129,Pit!$A$4:$AZ$2261,D$2,FALSE))</f>
        <v>6283</v>
      </c>
      <c r="E129" s="16" t="str">
        <f>IF($C129="B",VLOOKUP($A129,Bat!$A$4:$BD$2323,E$1,FALSE),VLOOKUP($A129,Pit!$A$4:$AZ$2261,E$2,FALSE))</f>
        <v>1B</v>
      </c>
      <c r="F129" s="16" t="str">
        <f>IF($C129="B",VLOOKUP($A129,Bat!$A$4:$BD$2323,F$1,FALSE),VLOOKUP($A129,Pit!$A$4:$AZ$2261,F$2,FALSE))</f>
        <v>Jim Justice</v>
      </c>
      <c r="G129" s="16">
        <f>IF($C129="B",VLOOKUP($A129,Bat!$A$4:$BD$2323,G$1,FALSE),VLOOKUP($A129,Pit!$A$4:$AZ$2261,G$2,FALSE))</f>
        <v>21</v>
      </c>
      <c r="H129" s="16" t="str">
        <f>IF($C129="B",VLOOKUP($A129,Bat!$A$4:$BD$2323,H$1,FALSE),VLOOKUP($A129,Pit!$A$4:$AZ$2261,H$2,FALSE))</f>
        <v>R</v>
      </c>
      <c r="I129" s="16" t="str">
        <f>IF($C129="B",VLOOKUP($A129,Bat!$A$4:$BD$2323,I$1,FALSE),VLOOKUP($A129,Pit!$A$4:$AZ$2261,I$2,FALSE))</f>
        <v>R</v>
      </c>
      <c r="J129" s="16" t="str">
        <f>IF($C129="B",VLOOKUP($A129,Bat!$A$4:$BD$2323,J$1,FALSE),VLOOKUP($A129,Pit!$A$4:$AZ$2261,J$2,FALSE))</f>
        <v>Low</v>
      </c>
      <c r="K129" s="17" t="str">
        <f>IF($C129="B",VLOOKUP($A129,Bat!$A$4:$BD$2323,K$1,FALSE),VLOOKUP($A129,Pit!$A$4:$AZ$2261,K$2,FALSE))</f>
        <v>Normal</v>
      </c>
      <c r="L129" s="16">
        <f>IF($C129="B",VLOOKUP($A129,Bat!$A$4:$BD$2323,L$1,FALSE),VLOOKUP($A129,Pit!$A$4:$AZ$2261,L$2,FALSE))</f>
        <v>5</v>
      </c>
      <c r="M129" s="16">
        <f>IF($C129="B",VLOOKUP($A129,Bat!$A$4:$BD$2323,M$1,FALSE),VLOOKUP($A129,Pit!$A$4:$AZ$2261,M$2,FALSE))</f>
        <v>6</v>
      </c>
      <c r="N129" s="16">
        <f>IF($C129="B",VLOOKUP($A129,Bat!$A$4:$BD$2323,N$1,FALSE),VLOOKUP($A129,Pit!$A$4:$AZ$2261,N$2,FALSE))</f>
        <v>3</v>
      </c>
      <c r="O129" s="16">
        <f>IF($C129="B",VLOOKUP($A129,Bat!$A$4:$BD$2323,O$1,FALSE),VLOOKUP($A129,Pit!$A$4:$AZ$2261,O$2,FALSE))</f>
        <v>4</v>
      </c>
      <c r="P129" s="17">
        <f>IF($C129="B",VLOOKUP($A129,Bat!$A$4:$BD$2323,P$1,FALSE),VLOOKUP($A129,Pit!$A$4:$AZ$2261,P$2,FALSE))</f>
        <v>4</v>
      </c>
      <c r="Q129" s="18">
        <f>IF($C129="B",VLOOKUP($A129,Bat!$A$4:$BD$2323,Q$1,FALSE),VLOOKUP($A129,Pit!$A$4:$AZ$2261,Q$2,FALSE))</f>
        <v>10.004511084744564</v>
      </c>
      <c r="R129" s="19">
        <f>IF($C129="B",VLOOKUP($A129,Bat!$A$4:$BD$2323,R$1,FALSE),VLOOKUP($A129,Pit!$A$4:$AZ$2261,R$2,FALSE))</f>
        <v>-9.1967216907095306E-2</v>
      </c>
      <c r="S129" s="20" t="str">
        <f>IF($C129="B",VLOOKUP($A129,Bat!$A$4:$BD$2323,S$1,FALSE),VLOOKUP($A129,Pit!$A$4:$AZ$2261,S$2,FALSE))</f>
        <v>Slot</v>
      </c>
      <c r="T129" s="17" t="str">
        <f>IF(S129="Slot","",VLOOKUP(IF($C129="B",VLOOKUP($A129,Bat!$A$4:$AT$2323,T$1,FALSE),VLOOKUP($A129,Pit!$A$4:$BD$2261,T$2,FALSE)),COND!$A$34:$B$40,2,FALSE))</f>
        <v/>
      </c>
      <c r="U129" s="21" t="str">
        <f>IF($C129="B",VLOOKUP($A129,Bat!$A$4:$AR$1287,44,FALSE),VLOOKUP($A129,Pit!$A$4:$BB$1239,54,FALSE))</f>
        <v/>
      </c>
      <c r="W129" s="21" t="str">
        <f t="shared" si="6"/>
        <v/>
      </c>
      <c r="X129" s="22" t="e">
        <f t="shared" si="7"/>
        <v>#N/A</v>
      </c>
      <c r="Y129" s="16" t="str">
        <f>IF(ISERROR(VLOOKUP($E129&amp;$F129,Results!$A$2:$G$413,Y$1,FALSE)),"",VLOOKUP($E129&amp;$F129,Results!$A$2:$G$413,Y$1,FALSE))</f>
        <v/>
      </c>
      <c r="Z129" s="16" t="str">
        <f>IF(ISERROR(VLOOKUP($E129&amp;$F129,Results!$A$2:$G$413,Z$1,FALSE)),"",VLOOKUP($E129&amp;$F129,Results!$A$2:$G$413,Z$1,FALSE))</f>
        <v/>
      </c>
      <c r="AA129" s="16" t="str">
        <f>IF(ISERROR(VLOOKUP($E129&amp;$F129,Results!$A$2:$G$413,AA$1,FALSE)),"",VLOOKUP($E129&amp;$F129,Results!$A$2:$G$413,AA$1,FALSE))</f>
        <v/>
      </c>
      <c r="AB129" s="16" t="str">
        <f>IF(ISERROR(VLOOKUP($E129&amp;$F129,Results!$A$2:$G$413,AB$1,FALSE)),"",VLOOKUP($E129&amp;$F129,Results!$A$2:$G$413,AB$1,FALSE))</f>
        <v/>
      </c>
      <c r="AC129" s="16"/>
      <c r="AD129" s="20" t="str">
        <f>IF(ISERROR(VLOOKUP($AB129&amp;"-"&amp;$F129,Bonuses!$B$1:$G$1000,4,FALSE)),"",INT(VLOOKUP($AB129&amp;"-"&amp;$F129,Bonuses!$B$1:$G$1000,4,FALSE)))</f>
        <v/>
      </c>
      <c r="AE129" s="16" t="str">
        <f>IF(ISERROR(VLOOKUP($AB129&amp;"-"&amp;$F129,Bonuses!$B$1:$G$1000,5,FALSE)),"",IF(VLOOKUP($AB129&amp;"-"&amp;$F129,Bonuses!$B$1:$G$1000,5,FALSE)="","",VLOOKUP($AB129&amp;"-"&amp;$F129,Bonuses!$B$1:$G$1000,6,FALSE)&amp;" yrs, "&amp;VLOOKUP($AB129&amp;"-"&amp;$F129,Bonuses!$B$1:$G$1000,5,FALSE)))</f>
        <v/>
      </c>
    </row>
    <row r="130" spans="1:31" s="21" customFormat="1">
      <c r="A130" s="21" t="s">
        <v>979</v>
      </c>
      <c r="B130" s="21">
        <f t="shared" si="4"/>
        <v>1</v>
      </c>
      <c r="C130" s="21" t="str">
        <f t="shared" si="5"/>
        <v>B</v>
      </c>
      <c r="D130" s="17">
        <f>IF($C130="B",VLOOKUP($A130,Bat!$A$4:$BD$2323,D$1,FALSE),VLOOKUP($A130,Pit!$A$4:$AZ$2261,D$2,FALSE))</f>
        <v>6103</v>
      </c>
      <c r="E130" s="16" t="str">
        <f>IF($C130="B",VLOOKUP($A130,Bat!$A$4:$BD$2323,E$1,FALSE),VLOOKUP($A130,Pit!$A$4:$AZ$2261,E$2,FALSE))</f>
        <v>2B</v>
      </c>
      <c r="F130" s="16" t="str">
        <f>IF($C130="B",VLOOKUP($A130,Bat!$A$4:$BD$2323,F$1,FALSE),VLOOKUP($A130,Pit!$A$4:$AZ$2261,F$2,FALSE))</f>
        <v>Bob Cowan</v>
      </c>
      <c r="G130" s="16">
        <f>IF($C130="B",VLOOKUP($A130,Bat!$A$4:$BD$2323,G$1,FALSE),VLOOKUP($A130,Pit!$A$4:$AZ$2261,G$2,FALSE))</f>
        <v>21</v>
      </c>
      <c r="H130" s="16" t="str">
        <f>IF($C130="B",VLOOKUP($A130,Bat!$A$4:$BD$2323,H$1,FALSE),VLOOKUP($A130,Pit!$A$4:$AZ$2261,H$2,FALSE))</f>
        <v>R</v>
      </c>
      <c r="I130" s="16" t="str">
        <f>IF($C130="B",VLOOKUP($A130,Bat!$A$4:$BD$2323,I$1,FALSE),VLOOKUP($A130,Pit!$A$4:$AZ$2261,I$2,FALSE))</f>
        <v>R</v>
      </c>
      <c r="J130" s="16" t="str">
        <f>IF($C130="B",VLOOKUP($A130,Bat!$A$4:$BD$2323,J$1,FALSE),VLOOKUP($A130,Pit!$A$4:$AZ$2261,J$2,FALSE))</f>
        <v>Very High</v>
      </c>
      <c r="K130" s="17" t="str">
        <f>IF($C130="B",VLOOKUP($A130,Bat!$A$4:$BD$2323,K$1,FALSE),VLOOKUP($A130,Pit!$A$4:$AZ$2261,K$2,FALSE))</f>
        <v>Normal</v>
      </c>
      <c r="L130" s="16">
        <f>IF($C130="B",VLOOKUP($A130,Bat!$A$4:$BD$2323,L$1,FALSE),VLOOKUP($A130,Pit!$A$4:$AZ$2261,L$2,FALSE))</f>
        <v>5</v>
      </c>
      <c r="M130" s="16">
        <f>IF($C130="B",VLOOKUP($A130,Bat!$A$4:$BD$2323,M$1,FALSE),VLOOKUP($A130,Pit!$A$4:$AZ$2261,M$2,FALSE))</f>
        <v>5</v>
      </c>
      <c r="N130" s="16">
        <f>IF($C130="B",VLOOKUP($A130,Bat!$A$4:$BD$2323,N$1,FALSE),VLOOKUP($A130,Pit!$A$4:$AZ$2261,N$2,FALSE))</f>
        <v>3</v>
      </c>
      <c r="O130" s="16">
        <f>IF($C130="B",VLOOKUP($A130,Bat!$A$4:$BD$2323,O$1,FALSE),VLOOKUP($A130,Pit!$A$4:$AZ$2261,O$2,FALSE))</f>
        <v>3</v>
      </c>
      <c r="P130" s="17">
        <f>IF($C130="B",VLOOKUP($A130,Bat!$A$4:$BD$2323,P$1,FALSE),VLOOKUP($A130,Pit!$A$4:$AZ$2261,P$2,FALSE))</f>
        <v>4</v>
      </c>
      <c r="Q130" s="18">
        <f>IF($C130="B",VLOOKUP($A130,Bat!$A$4:$BD$2323,Q$1,FALSE),VLOOKUP($A130,Pit!$A$4:$AZ$2261,Q$2,FALSE))</f>
        <v>9.9507880421278223</v>
      </c>
      <c r="R130" s="19">
        <f>IF($C130="B",VLOOKUP($A130,Bat!$A$4:$BD$2323,R$1,FALSE),VLOOKUP($A130,Pit!$A$4:$AZ$2261,R$2,FALSE))</f>
        <v>-9.943061823168188E-2</v>
      </c>
      <c r="S130" s="20" t="str">
        <f>IF($C130="B",VLOOKUP($A130,Bat!$A$4:$BD$2323,S$1,FALSE),VLOOKUP($A130,Pit!$A$4:$AZ$2261,S$2,FALSE))</f>
        <v>Slot</v>
      </c>
      <c r="T130" s="17" t="str">
        <f>IF(S130="Slot","",VLOOKUP(IF($C130="B",VLOOKUP($A130,Bat!$A$4:$AT$2323,T$1,FALSE),VLOOKUP($A130,Pit!$A$4:$BD$2261,T$2,FALSE)),COND!$A$34:$B$40,2,FALSE))</f>
        <v/>
      </c>
      <c r="U130" s="21" t="str">
        <f>IF($C130="B",VLOOKUP($A130,Bat!$A$4:$AR$1287,44,FALSE),VLOOKUP($A130,Pit!$A$4:$BB$1239,54,FALSE))</f>
        <v/>
      </c>
      <c r="W130" s="21" t="str">
        <f t="shared" si="6"/>
        <v/>
      </c>
      <c r="X130" s="22" t="e">
        <f t="shared" si="7"/>
        <v>#N/A</v>
      </c>
      <c r="Y130" s="16" t="str">
        <f>IF(ISERROR(VLOOKUP($E130&amp;$F130,Results!$A$2:$G$413,Y$1,FALSE)),"",VLOOKUP($E130&amp;$F130,Results!$A$2:$G$413,Y$1,FALSE))</f>
        <v/>
      </c>
      <c r="Z130" s="16" t="str">
        <f>IF(ISERROR(VLOOKUP($E130&amp;$F130,Results!$A$2:$G$413,Z$1,FALSE)),"",VLOOKUP($E130&amp;$F130,Results!$A$2:$G$413,Z$1,FALSE))</f>
        <v/>
      </c>
      <c r="AA130" s="16" t="str">
        <f>IF(ISERROR(VLOOKUP($E130&amp;$F130,Results!$A$2:$G$413,AA$1,FALSE)),"",VLOOKUP($E130&amp;$F130,Results!$A$2:$G$413,AA$1,FALSE))</f>
        <v/>
      </c>
      <c r="AB130" s="16" t="str">
        <f>IF(ISERROR(VLOOKUP($E130&amp;$F130,Results!$A$2:$G$413,AB$1,FALSE)),"",VLOOKUP($E130&amp;$F130,Results!$A$2:$G$413,AB$1,FALSE))</f>
        <v/>
      </c>
      <c r="AC130" s="16"/>
      <c r="AD130" s="20" t="str">
        <f>IF(ISERROR(VLOOKUP($AB130&amp;"-"&amp;$F130,Bonuses!$B$1:$G$1000,4,FALSE)),"",INT(VLOOKUP($AB130&amp;"-"&amp;$F130,Bonuses!$B$1:$G$1000,4,FALSE)))</f>
        <v/>
      </c>
      <c r="AE130" s="16" t="str">
        <f>IF(ISERROR(VLOOKUP($AB130&amp;"-"&amp;$F130,Bonuses!$B$1:$G$1000,5,FALSE)),"",IF(VLOOKUP($AB130&amp;"-"&amp;$F130,Bonuses!$B$1:$G$1000,5,FALSE)="","",VLOOKUP($AB130&amp;"-"&amp;$F130,Bonuses!$B$1:$G$1000,6,FALSE)&amp;" yrs, "&amp;VLOOKUP($AB130&amp;"-"&amp;$F130,Bonuses!$B$1:$G$1000,5,FALSE)))</f>
        <v/>
      </c>
    </row>
    <row r="131" spans="1:31" s="21" customFormat="1">
      <c r="A131" s="21" t="s">
        <v>834</v>
      </c>
      <c r="B131" s="21">
        <f t="shared" si="4"/>
        <v>1</v>
      </c>
      <c r="C131" s="21" t="str">
        <f t="shared" si="5"/>
        <v>B</v>
      </c>
      <c r="D131" s="17">
        <f>IF($C131="B",VLOOKUP($A131,Bat!$A$4:$BD$2323,D$1,FALSE),VLOOKUP($A131,Pit!$A$4:$AZ$2261,D$2,FALSE))</f>
        <v>13740</v>
      </c>
      <c r="E131" s="16" t="str">
        <f>IF($C131="B",VLOOKUP($A131,Bat!$A$4:$BD$2323,E$1,FALSE),VLOOKUP($A131,Pit!$A$4:$AZ$2261,E$2,FALSE))</f>
        <v>RF</v>
      </c>
      <c r="F131" s="16" t="str">
        <f>IF($C131="B",VLOOKUP($A131,Bat!$A$4:$BD$2323,F$1,FALSE),VLOOKUP($A131,Pit!$A$4:$AZ$2261,F$2,FALSE))</f>
        <v>Chris Strong</v>
      </c>
      <c r="G131" s="16">
        <f>IF($C131="B",VLOOKUP($A131,Bat!$A$4:$BD$2323,G$1,FALSE),VLOOKUP($A131,Pit!$A$4:$AZ$2261,G$2,FALSE))</f>
        <v>18</v>
      </c>
      <c r="H131" s="16" t="str">
        <f>IF($C131="B",VLOOKUP($A131,Bat!$A$4:$BD$2323,H$1,FALSE),VLOOKUP($A131,Pit!$A$4:$AZ$2261,H$2,FALSE))</f>
        <v>R</v>
      </c>
      <c r="I131" s="16" t="str">
        <f>IF($C131="B",VLOOKUP($A131,Bat!$A$4:$BD$2323,I$1,FALSE),VLOOKUP($A131,Pit!$A$4:$AZ$2261,I$2,FALSE))</f>
        <v>R</v>
      </c>
      <c r="J131" s="16" t="str">
        <f>IF($C131="B",VLOOKUP($A131,Bat!$A$4:$BD$2323,J$1,FALSE),VLOOKUP($A131,Pit!$A$4:$AZ$2261,J$2,FALSE))</f>
        <v>Very Low</v>
      </c>
      <c r="K131" s="17" t="str">
        <f>IF($C131="B",VLOOKUP($A131,Bat!$A$4:$BD$2323,K$1,FALSE),VLOOKUP($A131,Pit!$A$4:$AZ$2261,K$2,FALSE))</f>
        <v>High</v>
      </c>
      <c r="L131" s="16">
        <f>IF($C131="B",VLOOKUP($A131,Bat!$A$4:$BD$2323,L$1,FALSE),VLOOKUP($A131,Pit!$A$4:$AZ$2261,L$2,FALSE))</f>
        <v>5</v>
      </c>
      <c r="M131" s="16">
        <f>IF($C131="B",VLOOKUP($A131,Bat!$A$4:$BD$2323,M$1,FALSE),VLOOKUP($A131,Pit!$A$4:$AZ$2261,M$2,FALSE))</f>
        <v>4</v>
      </c>
      <c r="N131" s="16">
        <f>IF($C131="B",VLOOKUP($A131,Bat!$A$4:$BD$2323,N$1,FALSE),VLOOKUP($A131,Pit!$A$4:$AZ$2261,N$2,FALSE))</f>
        <v>5</v>
      </c>
      <c r="O131" s="16">
        <f>IF($C131="B",VLOOKUP($A131,Bat!$A$4:$BD$2323,O$1,FALSE),VLOOKUP($A131,Pit!$A$4:$AZ$2261,O$2,FALSE))</f>
        <v>3</v>
      </c>
      <c r="P131" s="17">
        <f>IF($C131="B",VLOOKUP($A131,Bat!$A$4:$BD$2323,P$1,FALSE),VLOOKUP($A131,Pit!$A$4:$AZ$2261,P$2,FALSE))</f>
        <v>5</v>
      </c>
      <c r="Q131" s="18">
        <f>IF($C131="B",VLOOKUP($A131,Bat!$A$4:$BD$2323,Q$1,FALSE),VLOOKUP($A131,Pit!$A$4:$AZ$2261,Q$2,FALSE))</f>
        <v>9.9328191503138505</v>
      </c>
      <c r="R131" s="19">
        <f>IF($C131="B",VLOOKUP($A131,Bat!$A$4:$BD$2323,R$1,FALSE),VLOOKUP($A131,Pit!$A$4:$AZ$2261,R$2,FALSE))</f>
        <v>-0.10192692232083182</v>
      </c>
      <c r="S131" s="20">
        <f>IF($C131="B",VLOOKUP($A131,Bat!$A$4:$BD$2323,S$1,FALSE),VLOOKUP($A131,Pit!$A$4:$AZ$2261,S$2,FALSE))</f>
        <v>2400000</v>
      </c>
      <c r="T131" s="17" t="str">
        <f>IF(S131="Slot","",VLOOKUP(IF($C131="B",VLOOKUP($A131,Bat!$A$4:$AT$2323,T$1,FALSE),VLOOKUP($A131,Pit!$A$4:$BD$2261,T$2,FALSE)),COND!$A$34:$B$40,2,FALSE))</f>
        <v>EH</v>
      </c>
      <c r="U131" s="21" t="str">
        <f>IF($C131="B",VLOOKUP($A131,Bat!$A$4:$AR$1287,44,FALSE),VLOOKUP($A131,Pit!$A$4:$BB$1239,54,FALSE))</f>
        <v/>
      </c>
      <c r="W131" s="21" t="str">
        <f t="shared" si="6"/>
        <v/>
      </c>
      <c r="X131" s="22" t="e">
        <f t="shared" si="7"/>
        <v>#N/A</v>
      </c>
      <c r="Y131" s="16" t="str">
        <f>IF(ISERROR(VLOOKUP($E131&amp;$F131,Results!$A$2:$G$413,Y$1,FALSE)),"",VLOOKUP($E131&amp;$F131,Results!$A$2:$G$413,Y$1,FALSE))</f>
        <v/>
      </c>
      <c r="Z131" s="16" t="str">
        <f>IF(ISERROR(VLOOKUP($E131&amp;$F131,Results!$A$2:$G$413,Z$1,FALSE)),"",VLOOKUP($E131&amp;$F131,Results!$A$2:$G$413,Z$1,FALSE))</f>
        <v/>
      </c>
      <c r="AA131" s="16" t="str">
        <f>IF(ISERROR(VLOOKUP($E131&amp;$F131,Results!$A$2:$G$413,AA$1,FALSE)),"",VLOOKUP($E131&amp;$F131,Results!$A$2:$G$413,AA$1,FALSE))</f>
        <v/>
      </c>
      <c r="AB131" s="16" t="str">
        <f>IF(ISERROR(VLOOKUP($E131&amp;$F131,Results!$A$2:$G$413,AB$1,FALSE)),"",VLOOKUP($E131&amp;$F131,Results!$A$2:$G$413,AB$1,FALSE))</f>
        <v/>
      </c>
      <c r="AC131" s="16"/>
      <c r="AD131" s="20" t="str">
        <f>IF(ISERROR(VLOOKUP($AB131&amp;"-"&amp;$F131,Bonuses!$B$1:$G$1000,4,FALSE)),"",INT(VLOOKUP($AB131&amp;"-"&amp;$F131,Bonuses!$B$1:$G$1000,4,FALSE)))</f>
        <v/>
      </c>
      <c r="AE131" s="16" t="str">
        <f>IF(ISERROR(VLOOKUP($AB131&amp;"-"&amp;$F131,Bonuses!$B$1:$G$1000,5,FALSE)),"",IF(VLOOKUP($AB131&amp;"-"&amp;$F131,Bonuses!$B$1:$G$1000,5,FALSE)="","",VLOOKUP($AB131&amp;"-"&amp;$F131,Bonuses!$B$1:$G$1000,6,FALSE)&amp;" yrs, "&amp;VLOOKUP($AB131&amp;"-"&amp;$F131,Bonuses!$B$1:$G$1000,5,FALSE)))</f>
        <v/>
      </c>
    </row>
    <row r="132" spans="1:31" s="21" customFormat="1">
      <c r="A132" s="21" t="s">
        <v>985</v>
      </c>
      <c r="B132" s="21">
        <f t="shared" si="4"/>
        <v>1</v>
      </c>
      <c r="C132" s="21" t="str">
        <f t="shared" si="5"/>
        <v>B</v>
      </c>
      <c r="D132" s="17">
        <f>IF($C132="B",VLOOKUP($A132,Bat!$A$4:$BD$2323,D$1,FALSE),VLOOKUP($A132,Pit!$A$4:$AZ$2261,D$2,FALSE))</f>
        <v>5602</v>
      </c>
      <c r="E132" s="16" t="str">
        <f>IF($C132="B",VLOOKUP($A132,Bat!$A$4:$BD$2323,E$1,FALSE),VLOOKUP($A132,Pit!$A$4:$AZ$2261,E$2,FALSE))</f>
        <v>RF</v>
      </c>
      <c r="F132" s="16" t="str">
        <f>IF($C132="B",VLOOKUP($A132,Bat!$A$4:$BD$2323,F$1,FALSE),VLOOKUP($A132,Pit!$A$4:$AZ$2261,F$2,FALSE))</f>
        <v>Miguel Baraja</v>
      </c>
      <c r="G132" s="16">
        <f>IF($C132="B",VLOOKUP($A132,Bat!$A$4:$BD$2323,G$1,FALSE),VLOOKUP($A132,Pit!$A$4:$AZ$2261,G$2,FALSE))</f>
        <v>21</v>
      </c>
      <c r="H132" s="16" t="str">
        <f>IF($C132="B",VLOOKUP($A132,Bat!$A$4:$BD$2323,H$1,FALSE),VLOOKUP($A132,Pit!$A$4:$AZ$2261,H$2,FALSE))</f>
        <v>R</v>
      </c>
      <c r="I132" s="16" t="str">
        <f>IF($C132="B",VLOOKUP($A132,Bat!$A$4:$BD$2323,I$1,FALSE),VLOOKUP($A132,Pit!$A$4:$AZ$2261,I$2,FALSE))</f>
        <v>R</v>
      </c>
      <c r="J132" s="16" t="str">
        <f>IF($C132="B",VLOOKUP($A132,Bat!$A$4:$BD$2323,J$1,FALSE),VLOOKUP($A132,Pit!$A$4:$AZ$2261,J$2,FALSE))</f>
        <v>Very Low</v>
      </c>
      <c r="K132" s="17" t="str">
        <f>IF($C132="B",VLOOKUP($A132,Bat!$A$4:$BD$2323,K$1,FALSE),VLOOKUP($A132,Pit!$A$4:$AZ$2261,K$2,FALSE))</f>
        <v>Low</v>
      </c>
      <c r="L132" s="16">
        <f>IF($C132="B",VLOOKUP($A132,Bat!$A$4:$BD$2323,L$1,FALSE),VLOOKUP($A132,Pit!$A$4:$AZ$2261,L$2,FALSE))</f>
        <v>5</v>
      </c>
      <c r="M132" s="16">
        <f>IF($C132="B",VLOOKUP($A132,Bat!$A$4:$BD$2323,M$1,FALSE),VLOOKUP($A132,Pit!$A$4:$AZ$2261,M$2,FALSE))</f>
        <v>6</v>
      </c>
      <c r="N132" s="16">
        <f>IF($C132="B",VLOOKUP($A132,Bat!$A$4:$BD$2323,N$1,FALSE),VLOOKUP($A132,Pit!$A$4:$AZ$2261,N$2,FALSE))</f>
        <v>3</v>
      </c>
      <c r="O132" s="16">
        <f>IF($C132="B",VLOOKUP($A132,Bat!$A$4:$BD$2323,O$1,FALSE),VLOOKUP($A132,Pit!$A$4:$AZ$2261,O$2,FALSE))</f>
        <v>3</v>
      </c>
      <c r="P132" s="17">
        <f>IF($C132="B",VLOOKUP($A132,Bat!$A$4:$BD$2323,P$1,FALSE),VLOOKUP($A132,Pit!$A$4:$AZ$2261,P$2,FALSE))</f>
        <v>4</v>
      </c>
      <c r="Q132" s="18">
        <f>IF($C132="B",VLOOKUP($A132,Bat!$A$4:$BD$2323,Q$1,FALSE),VLOOKUP($A132,Pit!$A$4:$AZ$2261,Q$2,FALSE))</f>
        <v>9.9295084586203632</v>
      </c>
      <c r="R132" s="19">
        <f>IF($C132="B",VLOOKUP($A132,Bat!$A$4:$BD$2323,R$1,FALSE),VLOOKUP($A132,Pit!$A$4:$AZ$2261,R$2,FALSE))</f>
        <v>-0.10238685570447772</v>
      </c>
      <c r="S132" s="20" t="str">
        <f>IF($C132="B",VLOOKUP($A132,Bat!$A$4:$BD$2323,S$1,FALSE),VLOOKUP($A132,Pit!$A$4:$AZ$2261,S$2,FALSE))</f>
        <v>Slot</v>
      </c>
      <c r="T132" s="17" t="str">
        <f>IF(S132="Slot","",VLOOKUP(IF($C132="B",VLOOKUP($A132,Bat!$A$4:$AT$2323,T$1,FALSE),VLOOKUP($A132,Pit!$A$4:$BD$2261,T$2,FALSE)),COND!$A$34:$B$40,2,FALSE))</f>
        <v/>
      </c>
      <c r="U132" s="21" t="str">
        <f>IF($C132="B",VLOOKUP($A132,Bat!$A$4:$AR$1287,44,FALSE),VLOOKUP($A132,Pit!$A$4:$BB$1239,54,FALSE))</f>
        <v/>
      </c>
      <c r="W132" s="21" t="str">
        <f t="shared" si="6"/>
        <v/>
      </c>
      <c r="X132" s="22" t="e">
        <f t="shared" si="7"/>
        <v>#N/A</v>
      </c>
      <c r="Y132" s="16" t="str">
        <f>IF(ISERROR(VLOOKUP($E132&amp;$F132,Results!$A$2:$G$413,Y$1,FALSE)),"",VLOOKUP($E132&amp;$F132,Results!$A$2:$G$413,Y$1,FALSE))</f>
        <v/>
      </c>
      <c r="Z132" s="16" t="str">
        <f>IF(ISERROR(VLOOKUP($E132&amp;$F132,Results!$A$2:$G$413,Z$1,FALSE)),"",VLOOKUP($E132&amp;$F132,Results!$A$2:$G$413,Z$1,FALSE))</f>
        <v/>
      </c>
      <c r="AA132" s="16" t="str">
        <f>IF(ISERROR(VLOOKUP($E132&amp;$F132,Results!$A$2:$G$413,AA$1,FALSE)),"",VLOOKUP($E132&amp;$F132,Results!$A$2:$G$413,AA$1,FALSE))</f>
        <v/>
      </c>
      <c r="AB132" s="16" t="str">
        <f>IF(ISERROR(VLOOKUP($E132&amp;$F132,Results!$A$2:$G$413,AB$1,FALSE)),"",VLOOKUP($E132&amp;$F132,Results!$A$2:$G$413,AB$1,FALSE))</f>
        <v/>
      </c>
      <c r="AC132" s="16"/>
      <c r="AD132" s="20" t="str">
        <f>IF(ISERROR(VLOOKUP($AB132&amp;"-"&amp;$F132,Bonuses!$B$1:$G$1000,4,FALSE)),"",INT(VLOOKUP($AB132&amp;"-"&amp;$F132,Bonuses!$B$1:$G$1000,4,FALSE)))</f>
        <v/>
      </c>
      <c r="AE132" s="16" t="str">
        <f>IF(ISERROR(VLOOKUP($AB132&amp;"-"&amp;$F132,Bonuses!$B$1:$G$1000,5,FALSE)),"",IF(VLOOKUP($AB132&amp;"-"&amp;$F132,Bonuses!$B$1:$G$1000,5,FALSE)="","",VLOOKUP($AB132&amp;"-"&amp;$F132,Bonuses!$B$1:$G$1000,6,FALSE)&amp;" yrs, "&amp;VLOOKUP($AB132&amp;"-"&amp;$F132,Bonuses!$B$1:$G$1000,5,FALSE)))</f>
        <v/>
      </c>
    </row>
    <row r="133" spans="1:31" s="21" customFormat="1">
      <c r="A133" s="21" t="s">
        <v>641</v>
      </c>
      <c r="B133" s="21">
        <f t="shared" ref="B133:B196" si="8">COUNTIF($A$5:$A$598,A133)</f>
        <v>1</v>
      </c>
      <c r="C133" s="21" t="str">
        <f t="shared" ref="C133:C196" si="9">IF(OR(MID(A133,1,2)="SP",MID(A133,1,2)="MR",MID(A133,1,2)="CL",MID(A133,1,2)="RP"),"P","B")</f>
        <v>B</v>
      </c>
      <c r="D133" s="17">
        <f>IF($C133="B",VLOOKUP($A133,Bat!$A$4:$BD$2323,D$1,FALSE),VLOOKUP($A133,Pit!$A$4:$AZ$2261,D$2,FALSE))</f>
        <v>3789</v>
      </c>
      <c r="E133" s="16" t="str">
        <f>IF($C133="B",VLOOKUP($A133,Bat!$A$4:$BD$2323,E$1,FALSE),VLOOKUP($A133,Pit!$A$4:$AZ$2261,E$2,FALSE))</f>
        <v>C</v>
      </c>
      <c r="F133" s="16" t="str">
        <f>IF($C133="B",VLOOKUP($A133,Bat!$A$4:$BD$2323,F$1,FALSE),VLOOKUP($A133,Pit!$A$4:$AZ$2261,F$2,FALSE))</f>
        <v>Lewis Jones</v>
      </c>
      <c r="G133" s="16">
        <f>IF($C133="B",VLOOKUP($A133,Bat!$A$4:$BD$2323,G$1,FALSE),VLOOKUP($A133,Pit!$A$4:$AZ$2261,G$2,FALSE))</f>
        <v>21</v>
      </c>
      <c r="H133" s="16" t="str">
        <f>IF($C133="B",VLOOKUP($A133,Bat!$A$4:$BD$2323,H$1,FALSE),VLOOKUP($A133,Pit!$A$4:$AZ$2261,H$2,FALSE))</f>
        <v>S</v>
      </c>
      <c r="I133" s="16" t="str">
        <f>IF($C133="B",VLOOKUP($A133,Bat!$A$4:$BD$2323,I$1,FALSE),VLOOKUP($A133,Pit!$A$4:$AZ$2261,I$2,FALSE))</f>
        <v>R</v>
      </c>
      <c r="J133" s="16" t="str">
        <f>IF($C133="B",VLOOKUP($A133,Bat!$A$4:$BD$2323,J$1,FALSE),VLOOKUP($A133,Pit!$A$4:$AZ$2261,J$2,FALSE))</f>
        <v>Normal</v>
      </c>
      <c r="K133" s="17" t="str">
        <f>IF($C133="B",VLOOKUP($A133,Bat!$A$4:$BD$2323,K$1,FALSE),VLOOKUP($A133,Pit!$A$4:$AZ$2261,K$2,FALSE))</f>
        <v>Low</v>
      </c>
      <c r="L133" s="16">
        <f>IF($C133="B",VLOOKUP($A133,Bat!$A$4:$BD$2323,L$1,FALSE),VLOOKUP($A133,Pit!$A$4:$AZ$2261,L$2,FALSE))</f>
        <v>5</v>
      </c>
      <c r="M133" s="16">
        <f>IF($C133="B",VLOOKUP($A133,Bat!$A$4:$BD$2323,M$1,FALSE),VLOOKUP($A133,Pit!$A$4:$AZ$2261,M$2,FALSE))</f>
        <v>5</v>
      </c>
      <c r="N133" s="16">
        <f>IF($C133="B",VLOOKUP($A133,Bat!$A$4:$BD$2323,N$1,FALSE),VLOOKUP($A133,Pit!$A$4:$AZ$2261,N$2,FALSE))</f>
        <v>3</v>
      </c>
      <c r="O133" s="16">
        <f>IF($C133="B",VLOOKUP($A133,Bat!$A$4:$BD$2323,O$1,FALSE),VLOOKUP($A133,Pit!$A$4:$AZ$2261,O$2,FALSE))</f>
        <v>3</v>
      </c>
      <c r="P133" s="17">
        <f>IF($C133="B",VLOOKUP($A133,Bat!$A$4:$BD$2323,P$1,FALSE),VLOOKUP($A133,Pit!$A$4:$AZ$2261,P$2,FALSE))</f>
        <v>4</v>
      </c>
      <c r="Q133" s="18">
        <f>IF($C133="B",VLOOKUP($A133,Bat!$A$4:$BD$2323,Q$1,FALSE),VLOOKUP($A133,Pit!$A$4:$AZ$2261,Q$2,FALSE))</f>
        <v>9.847533512825418</v>
      </c>
      <c r="R133" s="19">
        <f>IF($C133="B",VLOOKUP($A133,Bat!$A$4:$BD$2323,R$1,FALSE),VLOOKUP($A133,Pit!$A$4:$AZ$2261,R$2,FALSE))</f>
        <v>-0.11377511461962422</v>
      </c>
      <c r="S133" s="20" t="str">
        <f>IF($C133="B",VLOOKUP($A133,Bat!$A$4:$BD$2323,S$1,FALSE),VLOOKUP($A133,Pit!$A$4:$AZ$2261,S$2,FALSE))</f>
        <v>Slot</v>
      </c>
      <c r="T133" s="17" t="str">
        <f>IF(S133="Slot","",VLOOKUP(IF($C133="B",VLOOKUP($A133,Bat!$A$4:$AT$2323,T$1,FALSE),VLOOKUP($A133,Pit!$A$4:$BD$2261,T$2,FALSE)),COND!$A$34:$B$40,2,FALSE))</f>
        <v/>
      </c>
      <c r="U133" s="21" t="str">
        <f>IF($C133="B",VLOOKUP($A133,Bat!$A$4:$AR$1287,44,FALSE),VLOOKUP($A133,Pit!$A$4:$BB$1239,54,FALSE))</f>
        <v/>
      </c>
      <c r="W133" s="21" t="str">
        <f t="shared" ref="W133:W196" si="10">IF(OR(U133=999,AND(S133&gt;$S$3,S133&lt;&gt;"Slot")),"",U133)</f>
        <v/>
      </c>
      <c r="X133" s="22" t="e">
        <f t="shared" ref="X133:X196" si="11">RANK(R133,$R$5:$R$1469)</f>
        <v>#N/A</v>
      </c>
      <c r="Y133" s="16" t="str">
        <f>IF(ISERROR(VLOOKUP($E133&amp;$F133,Results!$A$2:$G$413,Y$1,FALSE)),"",VLOOKUP($E133&amp;$F133,Results!$A$2:$G$413,Y$1,FALSE))</f>
        <v/>
      </c>
      <c r="Z133" s="16" t="str">
        <f>IF(ISERROR(VLOOKUP($E133&amp;$F133,Results!$A$2:$G$413,Z$1,FALSE)),"",VLOOKUP($E133&amp;$F133,Results!$A$2:$G$413,Z$1,FALSE))</f>
        <v/>
      </c>
      <c r="AA133" s="16" t="str">
        <f>IF(ISERROR(VLOOKUP($E133&amp;$F133,Results!$A$2:$G$413,AA$1,FALSE)),"",VLOOKUP($E133&amp;$F133,Results!$A$2:$G$413,AA$1,FALSE))</f>
        <v/>
      </c>
      <c r="AB133" s="16" t="str">
        <f>IF(ISERROR(VLOOKUP($E133&amp;$F133,Results!$A$2:$G$413,AB$1,FALSE)),"",VLOOKUP($E133&amp;$F133,Results!$A$2:$G$413,AB$1,FALSE))</f>
        <v/>
      </c>
      <c r="AC133" s="16"/>
      <c r="AD133" s="20" t="str">
        <f>IF(ISERROR(VLOOKUP($AB133&amp;"-"&amp;$F133,Bonuses!$B$1:$G$1000,4,FALSE)),"",INT(VLOOKUP($AB133&amp;"-"&amp;$F133,Bonuses!$B$1:$G$1000,4,FALSE)))</f>
        <v/>
      </c>
      <c r="AE133" s="16" t="str">
        <f>IF(ISERROR(VLOOKUP($AB133&amp;"-"&amp;$F133,Bonuses!$B$1:$G$1000,5,FALSE)),"",IF(VLOOKUP($AB133&amp;"-"&amp;$F133,Bonuses!$B$1:$G$1000,5,FALSE)="","",VLOOKUP($AB133&amp;"-"&amp;$F133,Bonuses!$B$1:$G$1000,6,FALSE)&amp;" yrs, "&amp;VLOOKUP($AB133&amp;"-"&amp;$F133,Bonuses!$B$1:$G$1000,5,FALSE)))</f>
        <v/>
      </c>
    </row>
    <row r="134" spans="1:31" s="21" customFormat="1">
      <c r="A134" s="21" t="s">
        <v>822</v>
      </c>
      <c r="B134" s="21">
        <f t="shared" si="8"/>
        <v>1</v>
      </c>
      <c r="C134" s="21" t="str">
        <f t="shared" si="9"/>
        <v>B</v>
      </c>
      <c r="D134" s="17">
        <f>IF($C134="B",VLOOKUP($A134,Bat!$A$4:$BD$2323,D$1,FALSE),VLOOKUP($A134,Pit!$A$4:$AZ$2261,D$2,FALSE))</f>
        <v>34</v>
      </c>
      <c r="E134" s="16" t="str">
        <f>IF($C134="B",VLOOKUP($A134,Bat!$A$4:$BD$2323,E$1,FALSE),VLOOKUP($A134,Pit!$A$4:$AZ$2261,E$2,FALSE))</f>
        <v>2B</v>
      </c>
      <c r="F134" s="16" t="str">
        <f>IF($C134="B",VLOOKUP($A134,Bat!$A$4:$BD$2323,F$1,FALSE),VLOOKUP($A134,Pit!$A$4:$AZ$2261,F$2,FALSE))</f>
        <v>Will Ellis</v>
      </c>
      <c r="G134" s="16">
        <f>IF($C134="B",VLOOKUP($A134,Bat!$A$4:$BD$2323,G$1,FALSE),VLOOKUP($A134,Pit!$A$4:$AZ$2261,G$2,FALSE))</f>
        <v>18</v>
      </c>
      <c r="H134" s="16" t="str">
        <f>IF($C134="B",VLOOKUP($A134,Bat!$A$4:$BD$2323,H$1,FALSE),VLOOKUP($A134,Pit!$A$4:$AZ$2261,H$2,FALSE))</f>
        <v>R</v>
      </c>
      <c r="I134" s="16" t="str">
        <f>IF($C134="B",VLOOKUP($A134,Bat!$A$4:$BD$2323,I$1,FALSE),VLOOKUP($A134,Pit!$A$4:$AZ$2261,I$2,FALSE))</f>
        <v>R</v>
      </c>
      <c r="J134" s="16" t="str">
        <f>IF($C134="B",VLOOKUP($A134,Bat!$A$4:$BD$2323,J$1,FALSE),VLOOKUP($A134,Pit!$A$4:$AZ$2261,J$2,FALSE))</f>
        <v>Normal</v>
      </c>
      <c r="K134" s="17" t="str">
        <f>IF($C134="B",VLOOKUP($A134,Bat!$A$4:$BD$2323,K$1,FALSE),VLOOKUP($A134,Pit!$A$4:$AZ$2261,K$2,FALSE))</f>
        <v>Normal</v>
      </c>
      <c r="L134" s="16">
        <f>IF($C134="B",VLOOKUP($A134,Bat!$A$4:$BD$2323,L$1,FALSE),VLOOKUP($A134,Pit!$A$4:$AZ$2261,L$2,FALSE))</f>
        <v>5</v>
      </c>
      <c r="M134" s="16">
        <f>IF($C134="B",VLOOKUP($A134,Bat!$A$4:$BD$2323,M$1,FALSE),VLOOKUP($A134,Pit!$A$4:$AZ$2261,M$2,FALSE))</f>
        <v>6</v>
      </c>
      <c r="N134" s="16">
        <f>IF($C134="B",VLOOKUP($A134,Bat!$A$4:$BD$2323,N$1,FALSE),VLOOKUP($A134,Pit!$A$4:$AZ$2261,N$2,FALSE))</f>
        <v>2</v>
      </c>
      <c r="O134" s="16">
        <f>IF($C134="B",VLOOKUP($A134,Bat!$A$4:$BD$2323,O$1,FALSE),VLOOKUP($A134,Pit!$A$4:$AZ$2261,O$2,FALSE))</f>
        <v>4</v>
      </c>
      <c r="P134" s="17">
        <f>IF($C134="B",VLOOKUP($A134,Bat!$A$4:$BD$2323,P$1,FALSE),VLOOKUP($A134,Pit!$A$4:$AZ$2261,P$2,FALSE))</f>
        <v>4</v>
      </c>
      <c r="Q134" s="18">
        <f>IF($C134="B",VLOOKUP($A134,Bat!$A$4:$BD$2323,Q$1,FALSE),VLOOKUP($A134,Pit!$A$4:$AZ$2261,Q$2,FALSE))</f>
        <v>9.839998620279875</v>
      </c>
      <c r="R134" s="19">
        <f>IF($C134="B",VLOOKUP($A134,Bat!$A$4:$BD$2323,R$1,FALSE),VLOOKUP($A134,Pit!$A$4:$AZ$2261,R$2,FALSE))</f>
        <v>-0.11482188941617116</v>
      </c>
      <c r="S134" s="20" t="str">
        <f>IF($C134="B",VLOOKUP($A134,Bat!$A$4:$BD$2323,S$1,FALSE),VLOOKUP($A134,Pit!$A$4:$AZ$2261,S$2,FALSE))</f>
        <v>Slot</v>
      </c>
      <c r="T134" s="17" t="str">
        <f>IF(S134="Slot","",VLOOKUP(IF($C134="B",VLOOKUP($A134,Bat!$A$4:$AT$2323,T$1,FALSE),VLOOKUP($A134,Pit!$A$4:$BD$2261,T$2,FALSE)),COND!$A$34:$B$40,2,FALSE))</f>
        <v/>
      </c>
      <c r="U134" s="21" t="str">
        <f>IF($C134="B",VLOOKUP($A134,Bat!$A$4:$AR$1287,44,FALSE),VLOOKUP($A134,Pit!$A$4:$BB$1239,54,FALSE))</f>
        <v/>
      </c>
      <c r="W134" s="21" t="str">
        <f t="shared" si="10"/>
        <v/>
      </c>
      <c r="X134" s="22" t="e">
        <f t="shared" si="11"/>
        <v>#N/A</v>
      </c>
      <c r="Y134" s="16" t="str">
        <f>IF(ISERROR(VLOOKUP($E134&amp;$F134,Results!$A$2:$G$413,Y$1,FALSE)),"",VLOOKUP($E134&amp;$F134,Results!$A$2:$G$413,Y$1,FALSE))</f>
        <v/>
      </c>
      <c r="Z134" s="16" t="str">
        <f>IF(ISERROR(VLOOKUP($E134&amp;$F134,Results!$A$2:$G$413,Z$1,FALSE)),"",VLOOKUP($E134&amp;$F134,Results!$A$2:$G$413,Z$1,FALSE))</f>
        <v/>
      </c>
      <c r="AA134" s="16" t="str">
        <f>IF(ISERROR(VLOOKUP($E134&amp;$F134,Results!$A$2:$G$413,AA$1,FALSE)),"",VLOOKUP($E134&amp;$F134,Results!$A$2:$G$413,AA$1,FALSE))</f>
        <v/>
      </c>
      <c r="AB134" s="16" t="str">
        <f>IF(ISERROR(VLOOKUP($E134&amp;$F134,Results!$A$2:$G$413,AB$1,FALSE)),"",VLOOKUP($E134&amp;$F134,Results!$A$2:$G$413,AB$1,FALSE))</f>
        <v/>
      </c>
      <c r="AC134" s="16"/>
      <c r="AD134" s="20" t="str">
        <f>IF(ISERROR(VLOOKUP($AB134&amp;"-"&amp;$F134,Bonuses!$B$1:$G$1000,4,FALSE)),"",INT(VLOOKUP($AB134&amp;"-"&amp;$F134,Bonuses!$B$1:$G$1000,4,FALSE)))</f>
        <v/>
      </c>
      <c r="AE134" s="16" t="str">
        <f>IF(ISERROR(VLOOKUP($AB134&amp;"-"&amp;$F134,Bonuses!$B$1:$G$1000,5,FALSE)),"",IF(VLOOKUP($AB134&amp;"-"&amp;$F134,Bonuses!$B$1:$G$1000,5,FALSE)="","",VLOOKUP($AB134&amp;"-"&amp;$F134,Bonuses!$B$1:$G$1000,6,FALSE)&amp;" yrs, "&amp;VLOOKUP($AB134&amp;"-"&amp;$F134,Bonuses!$B$1:$G$1000,5,FALSE)))</f>
        <v/>
      </c>
    </row>
    <row r="135" spans="1:31" s="21" customFormat="1">
      <c r="A135" s="21" t="s">
        <v>844</v>
      </c>
      <c r="B135" s="21">
        <f t="shared" si="8"/>
        <v>1</v>
      </c>
      <c r="C135" s="21" t="str">
        <f t="shared" si="9"/>
        <v>B</v>
      </c>
      <c r="D135" s="17">
        <f>IF($C135="B",VLOOKUP($A135,Bat!$A$4:$BD$2323,D$1,FALSE),VLOOKUP($A135,Pit!$A$4:$AZ$2261,D$2,FALSE))</f>
        <v>9060</v>
      </c>
      <c r="E135" s="16" t="str">
        <f>IF($C135="B",VLOOKUP($A135,Bat!$A$4:$BD$2323,E$1,FALSE),VLOOKUP($A135,Pit!$A$4:$AZ$2261,E$2,FALSE))</f>
        <v>RF</v>
      </c>
      <c r="F135" s="16" t="str">
        <f>IF($C135="B",VLOOKUP($A135,Bat!$A$4:$BD$2323,F$1,FALSE),VLOOKUP($A135,Pit!$A$4:$AZ$2261,F$2,FALSE))</f>
        <v>Ronald Wheeler</v>
      </c>
      <c r="G135" s="16">
        <f>IF($C135="B",VLOOKUP($A135,Bat!$A$4:$BD$2323,G$1,FALSE),VLOOKUP($A135,Pit!$A$4:$AZ$2261,G$2,FALSE))</f>
        <v>21</v>
      </c>
      <c r="H135" s="16" t="str">
        <f>IF($C135="B",VLOOKUP($A135,Bat!$A$4:$BD$2323,H$1,FALSE),VLOOKUP($A135,Pit!$A$4:$AZ$2261,H$2,FALSE))</f>
        <v>L</v>
      </c>
      <c r="I135" s="16" t="str">
        <f>IF($C135="B",VLOOKUP($A135,Bat!$A$4:$BD$2323,I$1,FALSE),VLOOKUP($A135,Pit!$A$4:$AZ$2261,I$2,FALSE))</f>
        <v>L</v>
      </c>
      <c r="J135" s="16" t="str">
        <f>IF($C135="B",VLOOKUP($A135,Bat!$A$4:$BD$2323,J$1,FALSE),VLOOKUP($A135,Pit!$A$4:$AZ$2261,J$2,FALSE))</f>
        <v>Very Low</v>
      </c>
      <c r="K135" s="17" t="str">
        <f>IF($C135="B",VLOOKUP($A135,Bat!$A$4:$BD$2323,K$1,FALSE),VLOOKUP($A135,Pit!$A$4:$AZ$2261,K$2,FALSE))</f>
        <v>Low</v>
      </c>
      <c r="L135" s="16">
        <f>IF($C135="B",VLOOKUP($A135,Bat!$A$4:$BD$2323,L$1,FALSE),VLOOKUP($A135,Pit!$A$4:$AZ$2261,L$2,FALSE))</f>
        <v>5</v>
      </c>
      <c r="M135" s="16">
        <f>IF($C135="B",VLOOKUP($A135,Bat!$A$4:$BD$2323,M$1,FALSE),VLOOKUP($A135,Pit!$A$4:$AZ$2261,M$2,FALSE))</f>
        <v>5</v>
      </c>
      <c r="N135" s="16">
        <f>IF($C135="B",VLOOKUP($A135,Bat!$A$4:$BD$2323,N$1,FALSE),VLOOKUP($A135,Pit!$A$4:$AZ$2261,N$2,FALSE))</f>
        <v>4</v>
      </c>
      <c r="O135" s="16">
        <f>IF($C135="B",VLOOKUP($A135,Bat!$A$4:$BD$2323,O$1,FALSE),VLOOKUP($A135,Pit!$A$4:$AZ$2261,O$2,FALSE))</f>
        <v>3</v>
      </c>
      <c r="P135" s="17">
        <f>IF($C135="B",VLOOKUP($A135,Bat!$A$4:$BD$2323,P$1,FALSE),VLOOKUP($A135,Pit!$A$4:$AZ$2261,P$2,FALSE))</f>
        <v>6</v>
      </c>
      <c r="Q135" s="18">
        <f>IF($C135="B",VLOOKUP($A135,Bat!$A$4:$BD$2323,Q$1,FALSE),VLOOKUP($A135,Pit!$A$4:$AZ$2261,Q$2,FALSE))</f>
        <v>9.7992547273213937</v>
      </c>
      <c r="R135" s="19">
        <f>IF($C135="B",VLOOKUP($A135,Bat!$A$4:$BD$2323,R$1,FALSE),VLOOKUP($A135,Pit!$A$4:$AZ$2261,R$2,FALSE))</f>
        <v>-0.12048217985884947</v>
      </c>
      <c r="S135" s="20" t="str">
        <f>IF($C135="B",VLOOKUP($A135,Bat!$A$4:$BD$2323,S$1,FALSE),VLOOKUP($A135,Pit!$A$4:$AZ$2261,S$2,FALSE))</f>
        <v>Slot</v>
      </c>
      <c r="T135" s="17" t="str">
        <f>IF(S135="Slot","",VLOOKUP(IF($C135="B",VLOOKUP($A135,Bat!$A$4:$AT$2323,T$1,FALSE),VLOOKUP($A135,Pit!$A$4:$BD$2261,T$2,FALSE)),COND!$A$34:$B$40,2,FALSE))</f>
        <v/>
      </c>
      <c r="U135" s="21" t="str">
        <f>IF($C135="B",VLOOKUP($A135,Bat!$A$4:$AR$1287,44,FALSE),VLOOKUP($A135,Pit!$A$4:$BB$1239,54,FALSE))</f>
        <v/>
      </c>
      <c r="W135" s="21" t="str">
        <f t="shared" si="10"/>
        <v/>
      </c>
      <c r="X135" s="22" t="e">
        <f t="shared" si="11"/>
        <v>#N/A</v>
      </c>
      <c r="Y135" s="16" t="str">
        <f>IF(ISERROR(VLOOKUP($E135&amp;$F135,Results!$A$2:$G$413,Y$1,FALSE)),"",VLOOKUP($E135&amp;$F135,Results!$A$2:$G$413,Y$1,FALSE))</f>
        <v/>
      </c>
      <c r="Z135" s="16" t="str">
        <f>IF(ISERROR(VLOOKUP($E135&amp;$F135,Results!$A$2:$G$413,Z$1,FALSE)),"",VLOOKUP($E135&amp;$F135,Results!$A$2:$G$413,Z$1,FALSE))</f>
        <v/>
      </c>
      <c r="AA135" s="16" t="str">
        <f>IF(ISERROR(VLOOKUP($E135&amp;$F135,Results!$A$2:$G$413,AA$1,FALSE)),"",VLOOKUP($E135&amp;$F135,Results!$A$2:$G$413,AA$1,FALSE))</f>
        <v/>
      </c>
      <c r="AB135" s="16" t="str">
        <f>IF(ISERROR(VLOOKUP($E135&amp;$F135,Results!$A$2:$G$413,AB$1,FALSE)),"",VLOOKUP($E135&amp;$F135,Results!$A$2:$G$413,AB$1,FALSE))</f>
        <v/>
      </c>
      <c r="AC135" s="16"/>
      <c r="AD135" s="20" t="str">
        <f>IF(ISERROR(VLOOKUP($AB135&amp;"-"&amp;$F135,Bonuses!$B$1:$G$1000,4,FALSE)),"",INT(VLOOKUP($AB135&amp;"-"&amp;$F135,Bonuses!$B$1:$G$1000,4,FALSE)))</f>
        <v/>
      </c>
      <c r="AE135" s="16" t="str">
        <f>IF(ISERROR(VLOOKUP($AB135&amp;"-"&amp;$F135,Bonuses!$B$1:$G$1000,5,FALSE)),"",IF(VLOOKUP($AB135&amp;"-"&amp;$F135,Bonuses!$B$1:$G$1000,5,FALSE)="","",VLOOKUP($AB135&amp;"-"&amp;$F135,Bonuses!$B$1:$G$1000,6,FALSE)&amp;" yrs, "&amp;VLOOKUP($AB135&amp;"-"&amp;$F135,Bonuses!$B$1:$G$1000,5,FALSE)))</f>
        <v/>
      </c>
    </row>
    <row r="136" spans="1:31" s="21" customFormat="1">
      <c r="A136" s="21" t="s">
        <v>824</v>
      </c>
      <c r="B136" s="21">
        <f t="shared" si="8"/>
        <v>1</v>
      </c>
      <c r="C136" s="21" t="str">
        <f t="shared" si="9"/>
        <v>B</v>
      </c>
      <c r="D136" s="17">
        <f>IF($C136="B",VLOOKUP($A136,Bat!$A$4:$BD$2323,D$1,FALSE),VLOOKUP($A136,Pit!$A$4:$AZ$2261,D$2,FALSE))</f>
        <v>13779</v>
      </c>
      <c r="E136" s="16" t="str">
        <f>IF($C136="B",VLOOKUP($A136,Bat!$A$4:$BD$2323,E$1,FALSE),VLOOKUP($A136,Pit!$A$4:$AZ$2261,E$2,FALSE))</f>
        <v>RF</v>
      </c>
      <c r="F136" s="16" t="str">
        <f>IF($C136="B",VLOOKUP($A136,Bat!$A$4:$BD$2323,F$1,FALSE),VLOOKUP($A136,Pit!$A$4:$AZ$2261,F$2,FALSE))</f>
        <v>Michael Smith</v>
      </c>
      <c r="G136" s="16">
        <f>IF($C136="B",VLOOKUP($A136,Bat!$A$4:$BD$2323,G$1,FALSE),VLOOKUP($A136,Pit!$A$4:$AZ$2261,G$2,FALSE))</f>
        <v>18</v>
      </c>
      <c r="H136" s="16" t="str">
        <f>IF($C136="B",VLOOKUP($A136,Bat!$A$4:$BD$2323,H$1,FALSE),VLOOKUP($A136,Pit!$A$4:$AZ$2261,H$2,FALSE))</f>
        <v>L</v>
      </c>
      <c r="I136" s="16" t="str">
        <f>IF($C136="B",VLOOKUP($A136,Bat!$A$4:$BD$2323,I$1,FALSE),VLOOKUP($A136,Pit!$A$4:$AZ$2261,I$2,FALSE))</f>
        <v>L</v>
      </c>
      <c r="J136" s="16" t="str">
        <f>IF($C136="B",VLOOKUP($A136,Bat!$A$4:$BD$2323,J$1,FALSE),VLOOKUP($A136,Pit!$A$4:$AZ$2261,J$2,FALSE))</f>
        <v>High</v>
      </c>
      <c r="K136" s="17" t="str">
        <f>IF($C136="B",VLOOKUP($A136,Bat!$A$4:$BD$2323,K$1,FALSE),VLOOKUP($A136,Pit!$A$4:$AZ$2261,K$2,FALSE))</f>
        <v>Very High</v>
      </c>
      <c r="L136" s="16">
        <f>IF($C136="B",VLOOKUP($A136,Bat!$A$4:$BD$2323,L$1,FALSE),VLOOKUP($A136,Pit!$A$4:$AZ$2261,L$2,FALSE))</f>
        <v>5</v>
      </c>
      <c r="M136" s="16">
        <f>IF($C136="B",VLOOKUP($A136,Bat!$A$4:$BD$2323,M$1,FALSE),VLOOKUP($A136,Pit!$A$4:$AZ$2261,M$2,FALSE))</f>
        <v>5</v>
      </c>
      <c r="N136" s="16">
        <f>IF($C136="B",VLOOKUP($A136,Bat!$A$4:$BD$2323,N$1,FALSE),VLOOKUP($A136,Pit!$A$4:$AZ$2261,N$2,FALSE))</f>
        <v>3</v>
      </c>
      <c r="O136" s="16">
        <f>IF($C136="B",VLOOKUP($A136,Bat!$A$4:$BD$2323,O$1,FALSE),VLOOKUP($A136,Pit!$A$4:$AZ$2261,O$2,FALSE))</f>
        <v>3</v>
      </c>
      <c r="P136" s="17">
        <f>IF($C136="B",VLOOKUP($A136,Bat!$A$4:$BD$2323,P$1,FALSE),VLOOKUP($A136,Pit!$A$4:$AZ$2261,P$2,FALSE))</f>
        <v>6</v>
      </c>
      <c r="Q136" s="18">
        <f>IF($C136="B",VLOOKUP($A136,Bat!$A$4:$BD$2323,Q$1,FALSE),VLOOKUP($A136,Pit!$A$4:$AZ$2261,Q$2,FALSE))</f>
        <v>9.7873639149315288</v>
      </c>
      <c r="R136" s="19">
        <f>IF($C136="B",VLOOKUP($A136,Bat!$A$4:$BD$2323,R$1,FALSE),VLOOKUP($A136,Pit!$A$4:$AZ$2261,R$2,FALSE))</f>
        <v>-0.12213409495185784</v>
      </c>
      <c r="S136" s="20" t="str">
        <f>IF($C136="B",VLOOKUP($A136,Bat!$A$4:$BD$2323,S$1,FALSE),VLOOKUP($A136,Pit!$A$4:$AZ$2261,S$2,FALSE))</f>
        <v>Slot</v>
      </c>
      <c r="T136" s="17" t="str">
        <f>IF(S136="Slot","",VLOOKUP(IF($C136="B",VLOOKUP($A136,Bat!$A$4:$AT$2323,T$1,FALSE),VLOOKUP($A136,Pit!$A$4:$BD$2261,T$2,FALSE)),COND!$A$34:$B$40,2,FALSE))</f>
        <v/>
      </c>
      <c r="U136" s="21" t="str">
        <f>IF($C136="B",VLOOKUP($A136,Bat!$A$4:$AR$1287,44,FALSE),VLOOKUP($A136,Pit!$A$4:$BB$1239,54,FALSE))</f>
        <v/>
      </c>
      <c r="W136" s="21" t="str">
        <f t="shared" si="10"/>
        <v/>
      </c>
      <c r="X136" s="22" t="e">
        <f t="shared" si="11"/>
        <v>#N/A</v>
      </c>
      <c r="Y136" s="16" t="str">
        <f>IF(ISERROR(VLOOKUP($E136&amp;$F136,Results!$A$2:$G$413,Y$1,FALSE)),"",VLOOKUP($E136&amp;$F136,Results!$A$2:$G$413,Y$1,FALSE))</f>
        <v/>
      </c>
      <c r="Z136" s="16" t="str">
        <f>IF(ISERROR(VLOOKUP($E136&amp;$F136,Results!$A$2:$G$413,Z$1,FALSE)),"",VLOOKUP($E136&amp;$F136,Results!$A$2:$G$413,Z$1,FALSE))</f>
        <v/>
      </c>
      <c r="AA136" s="16" t="str">
        <f>IF(ISERROR(VLOOKUP($E136&amp;$F136,Results!$A$2:$G$413,AA$1,FALSE)),"",VLOOKUP($E136&amp;$F136,Results!$A$2:$G$413,AA$1,FALSE))</f>
        <v/>
      </c>
      <c r="AB136" s="16" t="str">
        <f>IF(ISERROR(VLOOKUP($E136&amp;$F136,Results!$A$2:$G$413,AB$1,FALSE)),"",VLOOKUP($E136&amp;$F136,Results!$A$2:$G$413,AB$1,FALSE))</f>
        <v/>
      </c>
      <c r="AC136" s="16"/>
      <c r="AD136" s="20" t="str">
        <f>IF(ISERROR(VLOOKUP($AB136&amp;"-"&amp;$F136,Bonuses!$B$1:$G$1000,4,FALSE)),"",INT(VLOOKUP($AB136&amp;"-"&amp;$F136,Bonuses!$B$1:$G$1000,4,FALSE)))</f>
        <v/>
      </c>
      <c r="AE136" s="16" t="str">
        <f>IF(ISERROR(VLOOKUP($AB136&amp;"-"&amp;$F136,Bonuses!$B$1:$G$1000,5,FALSE)),"",IF(VLOOKUP($AB136&amp;"-"&amp;$F136,Bonuses!$B$1:$G$1000,5,FALSE)="","",VLOOKUP($AB136&amp;"-"&amp;$F136,Bonuses!$B$1:$G$1000,6,FALSE)&amp;" yrs, "&amp;VLOOKUP($AB136&amp;"-"&amp;$F136,Bonuses!$B$1:$G$1000,5,FALSE)))</f>
        <v/>
      </c>
    </row>
    <row r="137" spans="1:31" s="21" customFormat="1">
      <c r="A137" s="21" t="s">
        <v>853</v>
      </c>
      <c r="B137" s="21">
        <f t="shared" si="8"/>
        <v>1</v>
      </c>
      <c r="C137" s="21" t="str">
        <f t="shared" si="9"/>
        <v>B</v>
      </c>
      <c r="D137" s="17">
        <f>IF($C137="B",VLOOKUP($A137,Bat!$A$4:$BD$2323,D$1,FALSE),VLOOKUP($A137,Pit!$A$4:$AZ$2261,D$2,FALSE))</f>
        <v>1137</v>
      </c>
      <c r="E137" s="16" t="str">
        <f>IF($C137="B",VLOOKUP($A137,Bat!$A$4:$BD$2323,E$1,FALSE),VLOOKUP($A137,Pit!$A$4:$AZ$2261,E$2,FALSE))</f>
        <v>2B</v>
      </c>
      <c r="F137" s="16" t="str">
        <f>IF($C137="B",VLOOKUP($A137,Bat!$A$4:$BD$2323,F$1,FALSE),VLOOKUP($A137,Pit!$A$4:$AZ$2261,F$2,FALSE))</f>
        <v>Rob Steele</v>
      </c>
      <c r="G137" s="16">
        <f>IF($C137="B",VLOOKUP($A137,Bat!$A$4:$BD$2323,G$1,FALSE),VLOOKUP($A137,Pit!$A$4:$AZ$2261,G$2,FALSE))</f>
        <v>18</v>
      </c>
      <c r="H137" s="16" t="str">
        <f>IF($C137="B",VLOOKUP($A137,Bat!$A$4:$BD$2323,H$1,FALSE),VLOOKUP($A137,Pit!$A$4:$AZ$2261,H$2,FALSE))</f>
        <v>S</v>
      </c>
      <c r="I137" s="16" t="str">
        <f>IF($C137="B",VLOOKUP($A137,Bat!$A$4:$BD$2323,I$1,FALSE),VLOOKUP($A137,Pit!$A$4:$AZ$2261,I$2,FALSE))</f>
        <v>R</v>
      </c>
      <c r="J137" s="16" t="str">
        <f>IF($C137="B",VLOOKUP($A137,Bat!$A$4:$BD$2323,J$1,FALSE),VLOOKUP($A137,Pit!$A$4:$AZ$2261,J$2,FALSE))</f>
        <v>Very Low</v>
      </c>
      <c r="K137" s="17" t="str">
        <f>IF($C137="B",VLOOKUP($A137,Bat!$A$4:$BD$2323,K$1,FALSE),VLOOKUP($A137,Pit!$A$4:$AZ$2261,K$2,FALSE))</f>
        <v>Low</v>
      </c>
      <c r="L137" s="16">
        <f>IF($C137="B",VLOOKUP($A137,Bat!$A$4:$BD$2323,L$1,FALSE),VLOOKUP($A137,Pit!$A$4:$AZ$2261,L$2,FALSE))</f>
        <v>5</v>
      </c>
      <c r="M137" s="16">
        <f>IF($C137="B",VLOOKUP($A137,Bat!$A$4:$BD$2323,M$1,FALSE),VLOOKUP($A137,Pit!$A$4:$AZ$2261,M$2,FALSE))</f>
        <v>5</v>
      </c>
      <c r="N137" s="16">
        <f>IF($C137="B",VLOOKUP($A137,Bat!$A$4:$BD$2323,N$1,FALSE),VLOOKUP($A137,Pit!$A$4:$AZ$2261,N$2,FALSE))</f>
        <v>1</v>
      </c>
      <c r="O137" s="16">
        <f>IF($C137="B",VLOOKUP($A137,Bat!$A$4:$BD$2323,O$1,FALSE),VLOOKUP($A137,Pit!$A$4:$AZ$2261,O$2,FALSE))</f>
        <v>6</v>
      </c>
      <c r="P137" s="17">
        <f>IF($C137="B",VLOOKUP($A137,Bat!$A$4:$BD$2323,P$1,FALSE),VLOOKUP($A137,Pit!$A$4:$AZ$2261,P$2,FALSE))</f>
        <v>5</v>
      </c>
      <c r="Q137" s="18">
        <f>IF($C137="B",VLOOKUP($A137,Bat!$A$4:$BD$2323,Q$1,FALSE),VLOOKUP($A137,Pit!$A$4:$AZ$2261,Q$2,FALSE))</f>
        <v>9.7586614266416927</v>
      </c>
      <c r="R137" s="19">
        <f>IF($C137="B",VLOOKUP($A137,Bat!$A$4:$BD$2323,R$1,FALSE),VLOOKUP($A137,Pit!$A$4:$AZ$2261,R$2,FALSE))</f>
        <v>-0.12612154947206286</v>
      </c>
      <c r="S137" s="20">
        <f>IF($C137="B",VLOOKUP($A137,Bat!$A$4:$BD$2323,S$1,FALSE),VLOOKUP($A137,Pit!$A$4:$AZ$2261,S$2,FALSE))</f>
        <v>2100000</v>
      </c>
      <c r="T137" s="17" t="str">
        <f>IF(S137="Slot","",VLOOKUP(IF($C137="B",VLOOKUP($A137,Bat!$A$4:$AT$2323,T$1,FALSE),VLOOKUP($A137,Pit!$A$4:$BD$2261,T$2,FALSE)),COND!$A$34:$B$40,2,FALSE))</f>
        <v>EH</v>
      </c>
      <c r="U137" s="21" t="str">
        <f>IF($C137="B",VLOOKUP($A137,Bat!$A$4:$AR$1287,44,FALSE),VLOOKUP($A137,Pit!$A$4:$BB$1239,54,FALSE))</f>
        <v/>
      </c>
      <c r="W137" s="21" t="str">
        <f t="shared" si="10"/>
        <v/>
      </c>
      <c r="X137" s="22" t="e">
        <f t="shared" si="11"/>
        <v>#N/A</v>
      </c>
      <c r="Y137" s="16" t="str">
        <f>IF(ISERROR(VLOOKUP($E137&amp;$F137,Results!$A$2:$G$413,Y$1,FALSE)),"",VLOOKUP($E137&amp;$F137,Results!$A$2:$G$413,Y$1,FALSE))</f>
        <v/>
      </c>
      <c r="Z137" s="16" t="str">
        <f>IF(ISERROR(VLOOKUP($E137&amp;$F137,Results!$A$2:$G$413,Z$1,FALSE)),"",VLOOKUP($E137&amp;$F137,Results!$A$2:$G$413,Z$1,FALSE))</f>
        <v/>
      </c>
      <c r="AA137" s="16" t="str">
        <f>IF(ISERROR(VLOOKUP($E137&amp;$F137,Results!$A$2:$G$413,AA$1,FALSE)),"",VLOOKUP($E137&amp;$F137,Results!$A$2:$G$413,AA$1,FALSE))</f>
        <v/>
      </c>
      <c r="AB137" s="16" t="str">
        <f>IF(ISERROR(VLOOKUP($E137&amp;$F137,Results!$A$2:$G$413,AB$1,FALSE)),"",VLOOKUP($E137&amp;$F137,Results!$A$2:$G$413,AB$1,FALSE))</f>
        <v/>
      </c>
      <c r="AC137" s="16"/>
      <c r="AD137" s="20" t="str">
        <f>IF(ISERROR(VLOOKUP($AB137&amp;"-"&amp;$F137,Bonuses!$B$1:$G$1000,4,FALSE)),"",INT(VLOOKUP($AB137&amp;"-"&amp;$F137,Bonuses!$B$1:$G$1000,4,FALSE)))</f>
        <v/>
      </c>
      <c r="AE137" s="16" t="str">
        <f>IF(ISERROR(VLOOKUP($AB137&amp;"-"&amp;$F137,Bonuses!$B$1:$G$1000,5,FALSE)),"",IF(VLOOKUP($AB137&amp;"-"&amp;$F137,Bonuses!$B$1:$G$1000,5,FALSE)="","",VLOOKUP($AB137&amp;"-"&amp;$F137,Bonuses!$B$1:$G$1000,6,FALSE)&amp;" yrs, "&amp;VLOOKUP($AB137&amp;"-"&amp;$F137,Bonuses!$B$1:$G$1000,5,FALSE)))</f>
        <v/>
      </c>
    </row>
    <row r="138" spans="1:31" s="21" customFormat="1">
      <c r="A138" s="21" t="s">
        <v>76</v>
      </c>
      <c r="B138" s="21">
        <f t="shared" si="8"/>
        <v>1</v>
      </c>
      <c r="C138" s="21" t="str">
        <f t="shared" si="9"/>
        <v>B</v>
      </c>
      <c r="D138" s="17" t="e">
        <f>IF($C138="B",VLOOKUP($A138,Bat!$A$4:$BD$2323,D$1,FALSE),VLOOKUP($A138,Pit!$A$4:$AZ$2261,D$2,FALSE))</f>
        <v>#N/A</v>
      </c>
      <c r="E138" s="16" t="e">
        <f>IF($C138="B",VLOOKUP($A138,Bat!$A$4:$BD$2323,E$1,FALSE),VLOOKUP($A138,Pit!$A$4:$AZ$2261,E$2,FALSE))</f>
        <v>#N/A</v>
      </c>
      <c r="F138" s="16" t="e">
        <f>IF($C138="B",VLOOKUP($A138,Bat!$A$4:$BD$2323,F$1,FALSE),VLOOKUP($A138,Pit!$A$4:$AZ$2261,F$2,FALSE))</f>
        <v>#N/A</v>
      </c>
      <c r="G138" s="16" t="e">
        <f>IF($C138="B",VLOOKUP($A138,Bat!$A$4:$BD$2323,G$1,FALSE),VLOOKUP($A138,Pit!$A$4:$AZ$2261,G$2,FALSE))</f>
        <v>#N/A</v>
      </c>
      <c r="H138" s="16" t="e">
        <f>IF($C138="B",VLOOKUP($A138,Bat!$A$4:$BD$2323,H$1,FALSE),VLOOKUP($A138,Pit!$A$4:$AZ$2261,H$2,FALSE))</f>
        <v>#N/A</v>
      </c>
      <c r="I138" s="16" t="e">
        <f>IF($C138="B",VLOOKUP($A138,Bat!$A$4:$BD$2323,I$1,FALSE),VLOOKUP($A138,Pit!$A$4:$AZ$2261,I$2,FALSE))</f>
        <v>#N/A</v>
      </c>
      <c r="J138" s="16" t="e">
        <f>IF($C138="B",VLOOKUP($A138,Bat!$A$4:$BD$2323,J$1,FALSE),VLOOKUP($A138,Pit!$A$4:$AZ$2261,J$2,FALSE))</f>
        <v>#N/A</v>
      </c>
      <c r="K138" s="17" t="e">
        <f>IF($C138="B",VLOOKUP($A138,Bat!$A$4:$BD$2323,K$1,FALSE),VLOOKUP($A138,Pit!$A$4:$AZ$2261,K$2,FALSE))</f>
        <v>#N/A</v>
      </c>
      <c r="L138" s="16" t="e">
        <f>IF($C138="B",VLOOKUP($A138,Bat!$A$4:$BD$2323,L$1,FALSE),VLOOKUP($A138,Pit!$A$4:$AZ$2261,L$2,FALSE))</f>
        <v>#N/A</v>
      </c>
      <c r="M138" s="16" t="e">
        <f>IF($C138="B",VLOOKUP($A138,Bat!$A$4:$BD$2323,M$1,FALSE),VLOOKUP($A138,Pit!$A$4:$AZ$2261,M$2,FALSE))</f>
        <v>#N/A</v>
      </c>
      <c r="N138" s="16" t="e">
        <f>IF($C138="B",VLOOKUP($A138,Bat!$A$4:$BD$2323,N$1,FALSE),VLOOKUP($A138,Pit!$A$4:$AZ$2261,N$2,FALSE))</f>
        <v>#N/A</v>
      </c>
      <c r="O138" s="16" t="e">
        <f>IF($C138="B",VLOOKUP($A138,Bat!$A$4:$BD$2323,O$1,FALSE),VLOOKUP($A138,Pit!$A$4:$AZ$2261,O$2,FALSE))</f>
        <v>#N/A</v>
      </c>
      <c r="P138" s="17" t="e">
        <f>IF($C138="B",VLOOKUP($A138,Bat!$A$4:$BD$2323,P$1,FALSE),VLOOKUP($A138,Pit!$A$4:$AZ$2261,P$2,FALSE))</f>
        <v>#N/A</v>
      </c>
      <c r="Q138" s="18" t="e">
        <f>IF($C138="B",VLOOKUP($A138,Bat!$A$4:$BD$2323,Q$1,FALSE),VLOOKUP($A138,Pit!$A$4:$AZ$2261,Q$2,FALSE))</f>
        <v>#N/A</v>
      </c>
      <c r="R138" s="19" t="e">
        <f>IF($C138="B",VLOOKUP($A138,Bat!$A$4:$BD$2323,R$1,FALSE),VLOOKUP($A138,Pit!$A$4:$AZ$2261,R$2,FALSE))</f>
        <v>#N/A</v>
      </c>
      <c r="S138" s="20" t="e">
        <f>IF($C138="B",VLOOKUP($A138,Bat!$A$4:$BD$2323,S$1,FALSE),VLOOKUP($A138,Pit!$A$4:$AZ$2261,S$2,FALSE))</f>
        <v>#N/A</v>
      </c>
      <c r="T138" s="17" t="e">
        <f>IF(S138="Slot","",VLOOKUP(IF($C138="B",VLOOKUP($A138,Bat!$A$4:$AT$2323,T$1,FALSE),VLOOKUP($A138,Pit!$A$4:$BD$2261,T$2,FALSE)),COND!$A$34:$B$40,2,FALSE))</f>
        <v>#N/A</v>
      </c>
      <c r="U138" s="21" t="e">
        <f>IF($C138="B",VLOOKUP($A138,Bat!$A$4:$AR$1287,44,FALSE),VLOOKUP($A138,Pit!$A$4:$BB$1239,54,FALSE))</f>
        <v>#N/A</v>
      </c>
      <c r="W138" s="21" t="e">
        <f t="shared" si="10"/>
        <v>#N/A</v>
      </c>
      <c r="X138" s="22" t="e">
        <f t="shared" si="11"/>
        <v>#N/A</v>
      </c>
      <c r="Y138" s="16" t="str">
        <f>IF(ISERROR(VLOOKUP($E138&amp;$F138,Results!$A$2:$G$413,Y$1,FALSE)),"",VLOOKUP($E138&amp;$F138,Results!$A$2:$G$413,Y$1,FALSE))</f>
        <v/>
      </c>
      <c r="Z138" s="16" t="str">
        <f>IF(ISERROR(VLOOKUP($E138&amp;$F138,Results!$A$2:$G$413,Z$1,FALSE)),"",VLOOKUP($E138&amp;$F138,Results!$A$2:$G$413,Z$1,FALSE))</f>
        <v/>
      </c>
      <c r="AA138" s="16" t="str">
        <f>IF(ISERROR(VLOOKUP($E138&amp;$F138,Results!$A$2:$G$413,AA$1,FALSE)),"",VLOOKUP($E138&amp;$F138,Results!$A$2:$G$413,AA$1,FALSE))</f>
        <v/>
      </c>
      <c r="AB138" s="16" t="str">
        <f>IF(ISERROR(VLOOKUP($E138&amp;$F138,Results!$A$2:$G$413,AB$1,FALSE)),"",VLOOKUP($E138&amp;$F138,Results!$A$2:$G$413,AB$1,FALSE))</f>
        <v/>
      </c>
      <c r="AC138" s="16"/>
      <c r="AD138" s="20" t="str">
        <f>IF(ISERROR(VLOOKUP($AB138&amp;"-"&amp;$F138,Bonuses!$B$1:$G$1000,4,FALSE)),"",INT(VLOOKUP($AB138&amp;"-"&amp;$F138,Bonuses!$B$1:$G$1000,4,FALSE)))</f>
        <v/>
      </c>
      <c r="AE138" s="16" t="str">
        <f>IF(ISERROR(VLOOKUP($AB138&amp;"-"&amp;$F138,Bonuses!$B$1:$G$1000,5,FALSE)),"",IF(VLOOKUP($AB138&amp;"-"&amp;$F138,Bonuses!$B$1:$G$1000,5,FALSE)="","",VLOOKUP($AB138&amp;"-"&amp;$F138,Bonuses!$B$1:$G$1000,6,FALSE)&amp;" yrs, "&amp;VLOOKUP($AB138&amp;"-"&amp;$F138,Bonuses!$B$1:$G$1000,5,FALSE)))</f>
        <v/>
      </c>
    </row>
    <row r="139" spans="1:31" s="21" customFormat="1">
      <c r="A139" s="21" t="s">
        <v>840</v>
      </c>
      <c r="B139" s="21">
        <f t="shared" si="8"/>
        <v>1</v>
      </c>
      <c r="C139" s="21" t="str">
        <f t="shared" si="9"/>
        <v>B</v>
      </c>
      <c r="D139" s="17" t="e">
        <f>IF($C139="B",VLOOKUP($A139,Bat!$A$4:$BD$2323,D$1,FALSE),VLOOKUP($A139,Pit!$A$4:$AZ$2261,D$2,FALSE))</f>
        <v>#N/A</v>
      </c>
      <c r="E139" s="16" t="e">
        <f>IF($C139="B",VLOOKUP($A139,Bat!$A$4:$BD$2323,E$1,FALSE),VLOOKUP($A139,Pit!$A$4:$AZ$2261,E$2,FALSE))</f>
        <v>#N/A</v>
      </c>
      <c r="F139" s="16" t="e">
        <f>IF($C139="B",VLOOKUP($A139,Bat!$A$4:$BD$2323,F$1,FALSE),VLOOKUP($A139,Pit!$A$4:$AZ$2261,F$2,FALSE))</f>
        <v>#N/A</v>
      </c>
      <c r="G139" s="16" t="e">
        <f>IF($C139="B",VLOOKUP($A139,Bat!$A$4:$BD$2323,G$1,FALSE),VLOOKUP($A139,Pit!$A$4:$AZ$2261,G$2,FALSE))</f>
        <v>#N/A</v>
      </c>
      <c r="H139" s="16" t="e">
        <f>IF($C139="B",VLOOKUP($A139,Bat!$A$4:$BD$2323,H$1,FALSE),VLOOKUP($A139,Pit!$A$4:$AZ$2261,H$2,FALSE))</f>
        <v>#N/A</v>
      </c>
      <c r="I139" s="16" t="e">
        <f>IF($C139="B",VLOOKUP($A139,Bat!$A$4:$BD$2323,I$1,FALSE),VLOOKUP($A139,Pit!$A$4:$AZ$2261,I$2,FALSE))</f>
        <v>#N/A</v>
      </c>
      <c r="J139" s="16" t="e">
        <f>IF($C139="B",VLOOKUP($A139,Bat!$A$4:$BD$2323,J$1,FALSE),VLOOKUP($A139,Pit!$A$4:$AZ$2261,J$2,FALSE))</f>
        <v>#N/A</v>
      </c>
      <c r="K139" s="17" t="e">
        <f>IF($C139="B",VLOOKUP($A139,Bat!$A$4:$BD$2323,K$1,FALSE),VLOOKUP($A139,Pit!$A$4:$AZ$2261,K$2,FALSE))</f>
        <v>#N/A</v>
      </c>
      <c r="L139" s="16" t="e">
        <f>IF($C139="B",VLOOKUP($A139,Bat!$A$4:$BD$2323,L$1,FALSE),VLOOKUP($A139,Pit!$A$4:$AZ$2261,L$2,FALSE))</f>
        <v>#N/A</v>
      </c>
      <c r="M139" s="16" t="e">
        <f>IF($C139="B",VLOOKUP($A139,Bat!$A$4:$BD$2323,M$1,FALSE),VLOOKUP($A139,Pit!$A$4:$AZ$2261,M$2,FALSE))</f>
        <v>#N/A</v>
      </c>
      <c r="N139" s="16" t="e">
        <f>IF($C139="B",VLOOKUP($A139,Bat!$A$4:$BD$2323,N$1,FALSE),VLOOKUP($A139,Pit!$A$4:$AZ$2261,N$2,FALSE))</f>
        <v>#N/A</v>
      </c>
      <c r="O139" s="16" t="e">
        <f>IF($C139="B",VLOOKUP($A139,Bat!$A$4:$BD$2323,O$1,FALSE),VLOOKUP($A139,Pit!$A$4:$AZ$2261,O$2,FALSE))</f>
        <v>#N/A</v>
      </c>
      <c r="P139" s="17" t="e">
        <f>IF($C139="B",VLOOKUP($A139,Bat!$A$4:$BD$2323,P$1,FALSE),VLOOKUP($A139,Pit!$A$4:$AZ$2261,P$2,FALSE))</f>
        <v>#N/A</v>
      </c>
      <c r="Q139" s="18" t="e">
        <f>IF($C139="B",VLOOKUP($A139,Bat!$A$4:$BD$2323,Q$1,FALSE),VLOOKUP($A139,Pit!$A$4:$AZ$2261,Q$2,FALSE))</f>
        <v>#N/A</v>
      </c>
      <c r="R139" s="19" t="e">
        <f>IF($C139="B",VLOOKUP($A139,Bat!$A$4:$BD$2323,R$1,FALSE),VLOOKUP($A139,Pit!$A$4:$AZ$2261,R$2,FALSE))</f>
        <v>#N/A</v>
      </c>
      <c r="S139" s="20" t="e">
        <f>IF($C139="B",VLOOKUP($A139,Bat!$A$4:$BD$2323,S$1,FALSE),VLOOKUP($A139,Pit!$A$4:$AZ$2261,S$2,FALSE))</f>
        <v>#N/A</v>
      </c>
      <c r="T139" s="17" t="e">
        <f>IF(S139="Slot","",VLOOKUP(IF($C139="B",VLOOKUP($A139,Bat!$A$4:$AT$2323,T$1,FALSE),VLOOKUP($A139,Pit!$A$4:$BD$2261,T$2,FALSE)),COND!$A$34:$B$40,2,FALSE))</f>
        <v>#N/A</v>
      </c>
      <c r="U139" s="21" t="e">
        <f>IF($C139="B",VLOOKUP($A139,Bat!$A$4:$AR$1287,44,FALSE),VLOOKUP($A139,Pit!$A$4:$BB$1239,54,FALSE))</f>
        <v>#N/A</v>
      </c>
      <c r="W139" s="21" t="e">
        <f t="shared" si="10"/>
        <v>#N/A</v>
      </c>
      <c r="X139" s="22" t="e">
        <f t="shared" si="11"/>
        <v>#N/A</v>
      </c>
      <c r="Y139" s="16" t="str">
        <f>IF(ISERROR(VLOOKUP($E139&amp;$F139,Results!$A$2:$G$413,Y$1,FALSE)),"",VLOOKUP($E139&amp;$F139,Results!$A$2:$G$413,Y$1,FALSE))</f>
        <v/>
      </c>
      <c r="Z139" s="16" t="str">
        <f>IF(ISERROR(VLOOKUP($E139&amp;$F139,Results!$A$2:$G$413,Z$1,FALSE)),"",VLOOKUP($E139&amp;$F139,Results!$A$2:$G$413,Z$1,FALSE))</f>
        <v/>
      </c>
      <c r="AA139" s="16" t="str">
        <f>IF(ISERROR(VLOOKUP($E139&amp;$F139,Results!$A$2:$G$413,AA$1,FALSE)),"",VLOOKUP($E139&amp;$F139,Results!$A$2:$G$413,AA$1,FALSE))</f>
        <v/>
      </c>
      <c r="AB139" s="16" t="str">
        <f>IF(ISERROR(VLOOKUP($E139&amp;$F139,Results!$A$2:$G$413,AB$1,FALSE)),"",VLOOKUP($E139&amp;$F139,Results!$A$2:$G$413,AB$1,FALSE))</f>
        <v/>
      </c>
      <c r="AC139" s="16"/>
      <c r="AD139" s="20" t="str">
        <f>IF(ISERROR(VLOOKUP($AB139&amp;"-"&amp;$F139,Bonuses!$B$1:$G$1000,4,FALSE)),"",INT(VLOOKUP($AB139&amp;"-"&amp;$F139,Bonuses!$B$1:$G$1000,4,FALSE)))</f>
        <v/>
      </c>
      <c r="AE139" s="16" t="str">
        <f>IF(ISERROR(VLOOKUP($AB139&amp;"-"&amp;$F139,Bonuses!$B$1:$G$1000,5,FALSE)),"",IF(VLOOKUP($AB139&amp;"-"&amp;$F139,Bonuses!$B$1:$G$1000,5,FALSE)="","",VLOOKUP($AB139&amp;"-"&amp;$F139,Bonuses!$B$1:$G$1000,6,FALSE)&amp;" yrs, "&amp;VLOOKUP($AB139&amp;"-"&amp;$F139,Bonuses!$B$1:$G$1000,5,FALSE)))</f>
        <v/>
      </c>
    </row>
    <row r="140" spans="1:31" s="21" customFormat="1">
      <c r="A140" s="21" t="s">
        <v>827</v>
      </c>
      <c r="B140" s="21">
        <f t="shared" si="8"/>
        <v>1</v>
      </c>
      <c r="C140" s="21" t="str">
        <f t="shared" si="9"/>
        <v>B</v>
      </c>
      <c r="D140" s="17">
        <f>IF($C140="B",VLOOKUP($A140,Bat!$A$4:$BD$2323,D$1,FALSE),VLOOKUP($A140,Pit!$A$4:$AZ$2261,D$2,FALSE))</f>
        <v>3703</v>
      </c>
      <c r="E140" s="16" t="str">
        <f>IF($C140="B",VLOOKUP($A140,Bat!$A$4:$BD$2323,E$1,FALSE),VLOOKUP($A140,Pit!$A$4:$AZ$2261,E$2,FALSE))</f>
        <v>CF</v>
      </c>
      <c r="F140" s="16" t="str">
        <f>IF($C140="B",VLOOKUP($A140,Bat!$A$4:$BD$2323,F$1,FALSE),VLOOKUP($A140,Pit!$A$4:$AZ$2261,F$2,FALSE))</f>
        <v>Evan Snyder</v>
      </c>
      <c r="G140" s="16">
        <f>IF($C140="B",VLOOKUP($A140,Bat!$A$4:$BD$2323,G$1,FALSE),VLOOKUP($A140,Pit!$A$4:$AZ$2261,G$2,FALSE))</f>
        <v>21</v>
      </c>
      <c r="H140" s="16" t="str">
        <f>IF($C140="B",VLOOKUP($A140,Bat!$A$4:$BD$2323,H$1,FALSE),VLOOKUP($A140,Pit!$A$4:$AZ$2261,H$2,FALSE))</f>
        <v>R</v>
      </c>
      <c r="I140" s="16" t="str">
        <f>IF($C140="B",VLOOKUP($A140,Bat!$A$4:$BD$2323,I$1,FALSE),VLOOKUP($A140,Pit!$A$4:$AZ$2261,I$2,FALSE))</f>
        <v>R</v>
      </c>
      <c r="J140" s="16" t="str">
        <f>IF($C140="B",VLOOKUP($A140,Bat!$A$4:$BD$2323,J$1,FALSE),VLOOKUP($A140,Pit!$A$4:$AZ$2261,J$2,FALSE))</f>
        <v>Very Low</v>
      </c>
      <c r="K140" s="17" t="str">
        <f>IF($C140="B",VLOOKUP($A140,Bat!$A$4:$BD$2323,K$1,FALSE),VLOOKUP($A140,Pit!$A$4:$AZ$2261,K$2,FALSE))</f>
        <v>Very Low</v>
      </c>
      <c r="L140" s="16">
        <f>IF($C140="B",VLOOKUP($A140,Bat!$A$4:$BD$2323,L$1,FALSE),VLOOKUP($A140,Pit!$A$4:$AZ$2261,L$2,FALSE))</f>
        <v>5</v>
      </c>
      <c r="M140" s="16">
        <f>IF($C140="B",VLOOKUP($A140,Bat!$A$4:$BD$2323,M$1,FALSE),VLOOKUP($A140,Pit!$A$4:$AZ$2261,M$2,FALSE))</f>
        <v>6</v>
      </c>
      <c r="N140" s="16">
        <f>IF($C140="B",VLOOKUP($A140,Bat!$A$4:$BD$2323,N$1,FALSE),VLOOKUP($A140,Pit!$A$4:$AZ$2261,N$2,FALSE))</f>
        <v>2</v>
      </c>
      <c r="O140" s="16">
        <f>IF($C140="B",VLOOKUP($A140,Bat!$A$4:$BD$2323,O$1,FALSE),VLOOKUP($A140,Pit!$A$4:$AZ$2261,O$2,FALSE))</f>
        <v>4</v>
      </c>
      <c r="P140" s="17">
        <f>IF($C140="B",VLOOKUP($A140,Bat!$A$4:$BD$2323,P$1,FALSE),VLOOKUP($A140,Pit!$A$4:$AZ$2261,P$2,FALSE))</f>
        <v>4</v>
      </c>
      <c r="Q140" s="18">
        <f>IF($C140="B",VLOOKUP($A140,Bat!$A$4:$BD$2323,Q$1,FALSE),VLOOKUP($A140,Pit!$A$4:$AZ$2261,Q$2,FALSE))</f>
        <v>9.6636174094639902</v>
      </c>
      <c r="R140" s="19">
        <f>IF($C140="B",VLOOKUP($A140,Bat!$A$4:$BD$2323,R$1,FALSE),VLOOKUP($A140,Pit!$A$4:$AZ$2261,R$2,FALSE))</f>
        <v>-0.13932541152355871</v>
      </c>
      <c r="S140" s="20" t="str">
        <f>IF($C140="B",VLOOKUP($A140,Bat!$A$4:$BD$2323,S$1,FALSE),VLOOKUP($A140,Pit!$A$4:$AZ$2261,S$2,FALSE))</f>
        <v>Slot</v>
      </c>
      <c r="T140" s="17" t="str">
        <f>IF(S140="Slot","",VLOOKUP(IF($C140="B",VLOOKUP($A140,Bat!$A$4:$AT$2323,T$1,FALSE),VLOOKUP($A140,Pit!$A$4:$BD$2261,T$2,FALSE)),COND!$A$34:$B$40,2,FALSE))</f>
        <v/>
      </c>
      <c r="U140" s="21" t="str">
        <f>IF($C140="B",VLOOKUP($A140,Bat!$A$4:$AR$1287,44,FALSE),VLOOKUP($A140,Pit!$A$4:$BB$1239,54,FALSE))</f>
        <v/>
      </c>
      <c r="W140" s="21" t="str">
        <f t="shared" si="10"/>
        <v/>
      </c>
      <c r="X140" s="22" t="e">
        <f t="shared" si="11"/>
        <v>#N/A</v>
      </c>
      <c r="Y140" s="16" t="str">
        <f>IF(ISERROR(VLOOKUP($E140&amp;$F140,Results!$A$2:$G$413,Y$1,FALSE)),"",VLOOKUP($E140&amp;$F140,Results!$A$2:$G$413,Y$1,FALSE))</f>
        <v/>
      </c>
      <c r="Z140" s="16" t="str">
        <f>IF(ISERROR(VLOOKUP($E140&amp;$F140,Results!$A$2:$G$413,Z$1,FALSE)),"",VLOOKUP($E140&amp;$F140,Results!$A$2:$G$413,Z$1,FALSE))</f>
        <v/>
      </c>
      <c r="AA140" s="16" t="str">
        <f>IF(ISERROR(VLOOKUP($E140&amp;$F140,Results!$A$2:$G$413,AA$1,FALSE)),"",VLOOKUP($E140&amp;$F140,Results!$A$2:$G$413,AA$1,FALSE))</f>
        <v/>
      </c>
      <c r="AB140" s="16" t="str">
        <f>IF(ISERROR(VLOOKUP($E140&amp;$F140,Results!$A$2:$G$413,AB$1,FALSE)),"",VLOOKUP($E140&amp;$F140,Results!$A$2:$G$413,AB$1,FALSE))</f>
        <v/>
      </c>
      <c r="AC140" s="16"/>
      <c r="AD140" s="20" t="str">
        <f>IF(ISERROR(VLOOKUP($AB140&amp;"-"&amp;$F140,Bonuses!$B$1:$G$1000,4,FALSE)),"",INT(VLOOKUP($AB140&amp;"-"&amp;$F140,Bonuses!$B$1:$G$1000,4,FALSE)))</f>
        <v/>
      </c>
      <c r="AE140" s="16" t="str">
        <f>IF(ISERROR(VLOOKUP($AB140&amp;"-"&amp;$F140,Bonuses!$B$1:$G$1000,5,FALSE)),"",IF(VLOOKUP($AB140&amp;"-"&amp;$F140,Bonuses!$B$1:$G$1000,5,FALSE)="","",VLOOKUP($AB140&amp;"-"&amp;$F140,Bonuses!$B$1:$G$1000,6,FALSE)&amp;" yrs, "&amp;VLOOKUP($AB140&amp;"-"&amp;$F140,Bonuses!$B$1:$G$1000,5,FALSE)))</f>
        <v/>
      </c>
    </row>
    <row r="141" spans="1:31" s="21" customFormat="1">
      <c r="A141" s="21" t="s">
        <v>826</v>
      </c>
      <c r="B141" s="21">
        <f t="shared" si="8"/>
        <v>1</v>
      </c>
      <c r="C141" s="21" t="str">
        <f t="shared" si="9"/>
        <v>B</v>
      </c>
      <c r="D141" s="17">
        <f>IF($C141="B",VLOOKUP($A141,Bat!$A$4:$BD$2323,D$1,FALSE),VLOOKUP($A141,Pit!$A$4:$AZ$2261,D$2,FALSE))</f>
        <v>3087</v>
      </c>
      <c r="E141" s="16" t="str">
        <f>IF($C141="B",VLOOKUP($A141,Bat!$A$4:$BD$2323,E$1,FALSE),VLOOKUP($A141,Pit!$A$4:$AZ$2261,E$2,FALSE))</f>
        <v>LF</v>
      </c>
      <c r="F141" s="16" t="str">
        <f>IF($C141="B",VLOOKUP($A141,Bat!$A$4:$BD$2323,F$1,FALSE),VLOOKUP($A141,Pit!$A$4:$AZ$2261,F$2,FALSE))</f>
        <v>Ed Lindquist</v>
      </c>
      <c r="G141" s="16">
        <f>IF($C141="B",VLOOKUP($A141,Bat!$A$4:$BD$2323,G$1,FALSE),VLOOKUP($A141,Pit!$A$4:$AZ$2261,G$2,FALSE))</f>
        <v>21</v>
      </c>
      <c r="H141" s="16" t="str">
        <f>IF($C141="B",VLOOKUP($A141,Bat!$A$4:$BD$2323,H$1,FALSE),VLOOKUP($A141,Pit!$A$4:$AZ$2261,H$2,FALSE))</f>
        <v>L</v>
      </c>
      <c r="I141" s="16" t="str">
        <f>IF($C141="B",VLOOKUP($A141,Bat!$A$4:$BD$2323,I$1,FALSE),VLOOKUP($A141,Pit!$A$4:$AZ$2261,I$2,FALSE))</f>
        <v>L</v>
      </c>
      <c r="J141" s="16" t="str">
        <f>IF($C141="B",VLOOKUP($A141,Bat!$A$4:$BD$2323,J$1,FALSE),VLOOKUP($A141,Pit!$A$4:$AZ$2261,J$2,FALSE))</f>
        <v>High</v>
      </c>
      <c r="K141" s="17" t="str">
        <f>IF($C141="B",VLOOKUP($A141,Bat!$A$4:$BD$2323,K$1,FALSE),VLOOKUP($A141,Pit!$A$4:$AZ$2261,K$2,FALSE))</f>
        <v>High</v>
      </c>
      <c r="L141" s="16">
        <f>IF($C141="B",VLOOKUP($A141,Bat!$A$4:$BD$2323,L$1,FALSE),VLOOKUP($A141,Pit!$A$4:$AZ$2261,L$2,FALSE))</f>
        <v>5</v>
      </c>
      <c r="M141" s="16">
        <f>IF($C141="B",VLOOKUP($A141,Bat!$A$4:$BD$2323,M$1,FALSE),VLOOKUP($A141,Pit!$A$4:$AZ$2261,M$2,FALSE))</f>
        <v>5</v>
      </c>
      <c r="N141" s="16">
        <f>IF($C141="B",VLOOKUP($A141,Bat!$A$4:$BD$2323,N$1,FALSE),VLOOKUP($A141,Pit!$A$4:$AZ$2261,N$2,FALSE))</f>
        <v>4</v>
      </c>
      <c r="O141" s="16">
        <f>IF($C141="B",VLOOKUP($A141,Bat!$A$4:$BD$2323,O$1,FALSE),VLOOKUP($A141,Pit!$A$4:$AZ$2261,O$2,FALSE))</f>
        <v>3</v>
      </c>
      <c r="P141" s="17">
        <f>IF($C141="B",VLOOKUP($A141,Bat!$A$4:$BD$2323,P$1,FALSE),VLOOKUP($A141,Pit!$A$4:$AZ$2261,P$2,FALSE))</f>
        <v>4</v>
      </c>
      <c r="Q141" s="18">
        <f>IF($C141="B",VLOOKUP($A141,Bat!$A$4:$BD$2323,Q$1,FALSE),VLOOKUP($A141,Pit!$A$4:$AZ$2261,Q$2,FALSE))</f>
        <v>9.6436066355136667</v>
      </c>
      <c r="R141" s="19">
        <f>IF($C141="B",VLOOKUP($A141,Bat!$A$4:$BD$2323,R$1,FALSE),VLOOKUP($A141,Pit!$A$4:$AZ$2261,R$2,FALSE))</f>
        <v>-0.14210538133785783</v>
      </c>
      <c r="S141" s="20" t="str">
        <f>IF($C141="B",VLOOKUP($A141,Bat!$A$4:$BD$2323,S$1,FALSE),VLOOKUP($A141,Pit!$A$4:$AZ$2261,S$2,FALSE))</f>
        <v>Slot</v>
      </c>
      <c r="T141" s="17" t="str">
        <f>IF(S141="Slot","",VLOOKUP(IF($C141="B",VLOOKUP($A141,Bat!$A$4:$AT$2323,T$1,FALSE),VLOOKUP($A141,Pit!$A$4:$BD$2261,T$2,FALSE)),COND!$A$34:$B$40,2,FALSE))</f>
        <v/>
      </c>
      <c r="U141" s="21" t="str">
        <f>IF($C141="B",VLOOKUP($A141,Bat!$A$4:$AR$1287,44,FALSE),VLOOKUP($A141,Pit!$A$4:$BB$1239,54,FALSE))</f>
        <v/>
      </c>
      <c r="W141" s="21" t="str">
        <f t="shared" si="10"/>
        <v/>
      </c>
      <c r="X141" s="22" t="e">
        <f t="shared" si="11"/>
        <v>#N/A</v>
      </c>
      <c r="Y141" s="16" t="str">
        <f>IF(ISERROR(VLOOKUP($E141&amp;$F141,Results!$A$2:$G$413,Y$1,FALSE)),"",VLOOKUP($E141&amp;$F141,Results!$A$2:$G$413,Y$1,FALSE))</f>
        <v/>
      </c>
      <c r="Z141" s="16" t="str">
        <f>IF(ISERROR(VLOOKUP($E141&amp;$F141,Results!$A$2:$G$413,Z$1,FALSE)),"",VLOOKUP($E141&amp;$F141,Results!$A$2:$G$413,Z$1,FALSE))</f>
        <v/>
      </c>
      <c r="AA141" s="16" t="str">
        <f>IF(ISERROR(VLOOKUP($E141&amp;$F141,Results!$A$2:$G$413,AA$1,FALSE)),"",VLOOKUP($E141&amp;$F141,Results!$A$2:$G$413,AA$1,FALSE))</f>
        <v/>
      </c>
      <c r="AB141" s="16" t="str">
        <f>IF(ISERROR(VLOOKUP($E141&amp;$F141,Results!$A$2:$G$413,AB$1,FALSE)),"",VLOOKUP($E141&amp;$F141,Results!$A$2:$G$413,AB$1,FALSE))</f>
        <v/>
      </c>
      <c r="AC141" s="16"/>
      <c r="AD141" s="20" t="str">
        <f>IF(ISERROR(VLOOKUP($AB141&amp;"-"&amp;$F141,Bonuses!$B$1:$G$1000,4,FALSE)),"",INT(VLOOKUP($AB141&amp;"-"&amp;$F141,Bonuses!$B$1:$G$1000,4,FALSE)))</f>
        <v/>
      </c>
      <c r="AE141" s="16" t="str">
        <f>IF(ISERROR(VLOOKUP($AB141&amp;"-"&amp;$F141,Bonuses!$B$1:$G$1000,5,FALSE)),"",IF(VLOOKUP($AB141&amp;"-"&amp;$F141,Bonuses!$B$1:$G$1000,5,FALSE)="","",VLOOKUP($AB141&amp;"-"&amp;$F141,Bonuses!$B$1:$G$1000,6,FALSE)&amp;" yrs, "&amp;VLOOKUP($AB141&amp;"-"&amp;$F141,Bonuses!$B$1:$G$1000,5,FALSE)))</f>
        <v/>
      </c>
    </row>
    <row r="142" spans="1:31" s="21" customFormat="1">
      <c r="A142" s="21" t="s">
        <v>823</v>
      </c>
      <c r="B142" s="21">
        <f t="shared" si="8"/>
        <v>1</v>
      </c>
      <c r="C142" s="21" t="str">
        <f t="shared" si="9"/>
        <v>B</v>
      </c>
      <c r="D142" s="17">
        <f>IF($C142="B",VLOOKUP($A142,Bat!$A$4:$BD$2323,D$1,FALSE),VLOOKUP($A142,Pit!$A$4:$AZ$2261,D$2,FALSE))</f>
        <v>3521</v>
      </c>
      <c r="E142" s="16" t="str">
        <f>IF($C142="B",VLOOKUP($A142,Bat!$A$4:$BD$2323,E$1,FALSE),VLOOKUP($A142,Pit!$A$4:$AZ$2261,E$2,FALSE))</f>
        <v>LF</v>
      </c>
      <c r="F142" s="16" t="str">
        <f>IF($C142="B",VLOOKUP($A142,Bat!$A$4:$BD$2323,F$1,FALSE),VLOOKUP($A142,Pit!$A$4:$AZ$2261,F$2,FALSE))</f>
        <v>Noritoshi Rin</v>
      </c>
      <c r="G142" s="16">
        <f>IF($C142="B",VLOOKUP($A142,Bat!$A$4:$BD$2323,G$1,FALSE),VLOOKUP($A142,Pit!$A$4:$AZ$2261,G$2,FALSE))</f>
        <v>21</v>
      </c>
      <c r="H142" s="16" t="str">
        <f>IF($C142="B",VLOOKUP($A142,Bat!$A$4:$BD$2323,H$1,FALSE),VLOOKUP($A142,Pit!$A$4:$AZ$2261,H$2,FALSE))</f>
        <v>L</v>
      </c>
      <c r="I142" s="16" t="str">
        <f>IF($C142="B",VLOOKUP($A142,Bat!$A$4:$BD$2323,I$1,FALSE),VLOOKUP($A142,Pit!$A$4:$AZ$2261,I$2,FALSE))</f>
        <v>R</v>
      </c>
      <c r="J142" s="16" t="str">
        <f>IF($C142="B",VLOOKUP($A142,Bat!$A$4:$BD$2323,J$1,FALSE),VLOOKUP($A142,Pit!$A$4:$AZ$2261,J$2,FALSE))</f>
        <v>Normal</v>
      </c>
      <c r="K142" s="17" t="str">
        <f>IF($C142="B",VLOOKUP($A142,Bat!$A$4:$BD$2323,K$1,FALSE),VLOOKUP($A142,Pit!$A$4:$AZ$2261,K$2,FALSE))</f>
        <v>Normal</v>
      </c>
      <c r="L142" s="16">
        <f>IF($C142="B",VLOOKUP($A142,Bat!$A$4:$BD$2323,L$1,FALSE),VLOOKUP($A142,Pit!$A$4:$AZ$2261,L$2,FALSE))</f>
        <v>5</v>
      </c>
      <c r="M142" s="16">
        <f>IF($C142="B",VLOOKUP($A142,Bat!$A$4:$BD$2323,M$1,FALSE),VLOOKUP($A142,Pit!$A$4:$AZ$2261,M$2,FALSE))</f>
        <v>7</v>
      </c>
      <c r="N142" s="16">
        <f>IF($C142="B",VLOOKUP($A142,Bat!$A$4:$BD$2323,N$1,FALSE),VLOOKUP($A142,Pit!$A$4:$AZ$2261,N$2,FALSE))</f>
        <v>2</v>
      </c>
      <c r="O142" s="16">
        <f>IF($C142="B",VLOOKUP($A142,Bat!$A$4:$BD$2323,O$1,FALSE),VLOOKUP($A142,Pit!$A$4:$AZ$2261,O$2,FALSE))</f>
        <v>3</v>
      </c>
      <c r="P142" s="17">
        <f>IF($C142="B",VLOOKUP($A142,Bat!$A$4:$BD$2323,P$1,FALSE),VLOOKUP($A142,Pit!$A$4:$AZ$2261,P$2,FALSE))</f>
        <v>5</v>
      </c>
      <c r="Q142" s="18">
        <f>IF($C142="B",VLOOKUP($A142,Bat!$A$4:$BD$2323,Q$1,FALSE),VLOOKUP($A142,Pit!$A$4:$AZ$2261,Q$2,FALSE))</f>
        <v>9.6423518302296554</v>
      </c>
      <c r="R142" s="19">
        <f>IF($C142="B",VLOOKUP($A142,Bat!$A$4:$BD$2323,R$1,FALSE),VLOOKUP($A142,Pit!$A$4:$AZ$2261,R$2,FALSE))</f>
        <v>-0.14227970347157609</v>
      </c>
      <c r="S142" s="20" t="str">
        <f>IF($C142="B",VLOOKUP($A142,Bat!$A$4:$BD$2323,S$1,FALSE),VLOOKUP($A142,Pit!$A$4:$AZ$2261,S$2,FALSE))</f>
        <v>Slot</v>
      </c>
      <c r="T142" s="17" t="str">
        <f>IF(S142="Slot","",VLOOKUP(IF($C142="B",VLOOKUP($A142,Bat!$A$4:$AT$2323,T$1,FALSE),VLOOKUP($A142,Pit!$A$4:$BD$2261,T$2,FALSE)),COND!$A$34:$B$40,2,FALSE))</f>
        <v/>
      </c>
      <c r="U142" s="21" t="str">
        <f>IF($C142="B",VLOOKUP($A142,Bat!$A$4:$AR$1287,44,FALSE),VLOOKUP($A142,Pit!$A$4:$BB$1239,54,FALSE))</f>
        <v/>
      </c>
      <c r="W142" s="21" t="str">
        <f t="shared" si="10"/>
        <v/>
      </c>
      <c r="X142" s="22" t="e">
        <f t="shared" si="11"/>
        <v>#N/A</v>
      </c>
      <c r="Y142" s="16" t="str">
        <f>IF(ISERROR(VLOOKUP($E142&amp;$F142,Results!$A$2:$G$413,Y$1,FALSE)),"",VLOOKUP($E142&amp;$F142,Results!$A$2:$G$413,Y$1,FALSE))</f>
        <v/>
      </c>
      <c r="Z142" s="16" t="str">
        <f>IF(ISERROR(VLOOKUP($E142&amp;$F142,Results!$A$2:$G$413,Z$1,FALSE)),"",VLOOKUP($E142&amp;$F142,Results!$A$2:$G$413,Z$1,FALSE))</f>
        <v/>
      </c>
      <c r="AA142" s="16" t="str">
        <f>IF(ISERROR(VLOOKUP($E142&amp;$F142,Results!$A$2:$G$413,AA$1,FALSE)),"",VLOOKUP($E142&amp;$F142,Results!$A$2:$G$413,AA$1,FALSE))</f>
        <v/>
      </c>
      <c r="AB142" s="16" t="str">
        <f>IF(ISERROR(VLOOKUP($E142&amp;$F142,Results!$A$2:$G$413,AB$1,FALSE)),"",VLOOKUP($E142&amp;$F142,Results!$A$2:$G$413,AB$1,FALSE))</f>
        <v/>
      </c>
      <c r="AC142" s="16"/>
      <c r="AD142" s="20" t="str">
        <f>IF(ISERROR(VLOOKUP($AB142&amp;"-"&amp;$F142,Bonuses!$B$1:$G$1000,4,FALSE)),"",INT(VLOOKUP($AB142&amp;"-"&amp;$F142,Bonuses!$B$1:$G$1000,4,FALSE)))</f>
        <v/>
      </c>
      <c r="AE142" s="16" t="str">
        <f>IF(ISERROR(VLOOKUP($AB142&amp;"-"&amp;$F142,Bonuses!$B$1:$G$1000,5,FALSE)),"",IF(VLOOKUP($AB142&amp;"-"&amp;$F142,Bonuses!$B$1:$G$1000,5,FALSE)="","",VLOOKUP($AB142&amp;"-"&amp;$F142,Bonuses!$B$1:$G$1000,6,FALSE)&amp;" yrs, "&amp;VLOOKUP($AB142&amp;"-"&amp;$F142,Bonuses!$B$1:$G$1000,5,FALSE)))</f>
        <v/>
      </c>
    </row>
    <row r="143" spans="1:31" s="21" customFormat="1">
      <c r="A143" s="21" t="s">
        <v>833</v>
      </c>
      <c r="B143" s="21">
        <f t="shared" si="8"/>
        <v>1</v>
      </c>
      <c r="C143" s="21" t="str">
        <f t="shared" si="9"/>
        <v>B</v>
      </c>
      <c r="D143" s="17">
        <f>IF($C143="B",VLOOKUP($A143,Bat!$A$4:$BD$2323,D$1,FALSE),VLOOKUP($A143,Pit!$A$4:$AZ$2261,D$2,FALSE))</f>
        <v>6975</v>
      </c>
      <c r="E143" s="16" t="str">
        <f>IF($C143="B",VLOOKUP($A143,Bat!$A$4:$BD$2323,E$1,FALSE),VLOOKUP($A143,Pit!$A$4:$AZ$2261,E$2,FALSE))</f>
        <v>1B</v>
      </c>
      <c r="F143" s="16" t="str">
        <f>IF($C143="B",VLOOKUP($A143,Bat!$A$4:$BD$2323,F$1,FALSE),VLOOKUP($A143,Pit!$A$4:$AZ$2261,F$2,FALSE))</f>
        <v>Larry McIntosh</v>
      </c>
      <c r="G143" s="16">
        <f>IF($C143="B",VLOOKUP($A143,Bat!$A$4:$BD$2323,G$1,FALSE),VLOOKUP($A143,Pit!$A$4:$AZ$2261,G$2,FALSE))</f>
        <v>21</v>
      </c>
      <c r="H143" s="16" t="str">
        <f>IF($C143="B",VLOOKUP($A143,Bat!$A$4:$BD$2323,H$1,FALSE),VLOOKUP($A143,Pit!$A$4:$AZ$2261,H$2,FALSE))</f>
        <v>R</v>
      </c>
      <c r="I143" s="16" t="str">
        <f>IF($C143="B",VLOOKUP($A143,Bat!$A$4:$BD$2323,I$1,FALSE),VLOOKUP($A143,Pit!$A$4:$AZ$2261,I$2,FALSE))</f>
        <v>R</v>
      </c>
      <c r="J143" s="16" t="str">
        <f>IF($C143="B",VLOOKUP($A143,Bat!$A$4:$BD$2323,J$1,FALSE),VLOOKUP($A143,Pit!$A$4:$AZ$2261,J$2,FALSE))</f>
        <v>Low</v>
      </c>
      <c r="K143" s="17" t="str">
        <f>IF($C143="B",VLOOKUP($A143,Bat!$A$4:$BD$2323,K$1,FALSE),VLOOKUP($A143,Pit!$A$4:$AZ$2261,K$2,FALSE))</f>
        <v>Low</v>
      </c>
      <c r="L143" s="16">
        <f>IF($C143="B",VLOOKUP($A143,Bat!$A$4:$BD$2323,L$1,FALSE),VLOOKUP($A143,Pit!$A$4:$AZ$2261,L$2,FALSE))</f>
        <v>5</v>
      </c>
      <c r="M143" s="16">
        <f>IF($C143="B",VLOOKUP($A143,Bat!$A$4:$BD$2323,M$1,FALSE),VLOOKUP($A143,Pit!$A$4:$AZ$2261,M$2,FALSE))</f>
        <v>4</v>
      </c>
      <c r="N143" s="16">
        <f>IF($C143="B",VLOOKUP($A143,Bat!$A$4:$BD$2323,N$1,FALSE),VLOOKUP($A143,Pit!$A$4:$AZ$2261,N$2,FALSE))</f>
        <v>5</v>
      </c>
      <c r="O143" s="16">
        <f>IF($C143="B",VLOOKUP($A143,Bat!$A$4:$BD$2323,O$1,FALSE),VLOOKUP($A143,Pit!$A$4:$AZ$2261,O$2,FALSE))</f>
        <v>3</v>
      </c>
      <c r="P143" s="17">
        <f>IF($C143="B",VLOOKUP($A143,Bat!$A$4:$BD$2323,P$1,FALSE),VLOOKUP($A143,Pit!$A$4:$AZ$2261,P$2,FALSE))</f>
        <v>4</v>
      </c>
      <c r="Q143" s="18">
        <f>IF($C143="B",VLOOKUP($A143,Bat!$A$4:$BD$2323,Q$1,FALSE),VLOOKUP($A143,Pit!$A$4:$AZ$2261,Q$2,FALSE))</f>
        <v>9.6214156664340109</v>
      </c>
      <c r="R143" s="19">
        <f>IF($C143="B",VLOOKUP($A143,Bat!$A$4:$BD$2323,R$1,FALSE),VLOOKUP($A143,Pit!$A$4:$AZ$2261,R$2,FALSE))</f>
        <v>-0.14518823182353283</v>
      </c>
      <c r="S143" s="20" t="str">
        <f>IF($C143="B",VLOOKUP($A143,Bat!$A$4:$BD$2323,S$1,FALSE),VLOOKUP($A143,Pit!$A$4:$AZ$2261,S$2,FALSE))</f>
        <v>Slot</v>
      </c>
      <c r="T143" s="17" t="str">
        <f>IF(S143="Slot","",VLOOKUP(IF($C143="B",VLOOKUP($A143,Bat!$A$4:$AT$2323,T$1,FALSE),VLOOKUP($A143,Pit!$A$4:$BD$2261,T$2,FALSE)),COND!$A$34:$B$40,2,FALSE))</f>
        <v/>
      </c>
      <c r="U143" s="21" t="str">
        <f>IF($C143="B",VLOOKUP($A143,Bat!$A$4:$AR$1287,44,FALSE),VLOOKUP($A143,Pit!$A$4:$BB$1239,54,FALSE))</f>
        <v/>
      </c>
      <c r="W143" s="21" t="str">
        <f t="shared" si="10"/>
        <v/>
      </c>
      <c r="X143" s="22" t="e">
        <f t="shared" si="11"/>
        <v>#N/A</v>
      </c>
      <c r="Y143" s="16" t="str">
        <f>IF(ISERROR(VLOOKUP($E143&amp;$F143,Results!$A$2:$G$413,Y$1,FALSE)),"",VLOOKUP($E143&amp;$F143,Results!$A$2:$G$413,Y$1,FALSE))</f>
        <v/>
      </c>
      <c r="Z143" s="16" t="str">
        <f>IF(ISERROR(VLOOKUP($E143&amp;$F143,Results!$A$2:$G$413,Z$1,FALSE)),"",VLOOKUP($E143&amp;$F143,Results!$A$2:$G$413,Z$1,FALSE))</f>
        <v/>
      </c>
      <c r="AA143" s="16" t="str">
        <f>IF(ISERROR(VLOOKUP($E143&amp;$F143,Results!$A$2:$G$413,AA$1,FALSE)),"",VLOOKUP($E143&amp;$F143,Results!$A$2:$G$413,AA$1,FALSE))</f>
        <v/>
      </c>
      <c r="AB143" s="16" t="str">
        <f>IF(ISERROR(VLOOKUP($E143&amp;$F143,Results!$A$2:$G$413,AB$1,FALSE)),"",VLOOKUP($E143&amp;$F143,Results!$A$2:$G$413,AB$1,FALSE))</f>
        <v/>
      </c>
      <c r="AC143" s="16"/>
      <c r="AD143" s="20" t="str">
        <f>IF(ISERROR(VLOOKUP($AB143&amp;"-"&amp;$F143,Bonuses!$B$1:$G$1000,4,FALSE)),"",INT(VLOOKUP($AB143&amp;"-"&amp;$F143,Bonuses!$B$1:$G$1000,4,FALSE)))</f>
        <v/>
      </c>
      <c r="AE143" s="16" t="str">
        <f>IF(ISERROR(VLOOKUP($AB143&amp;"-"&amp;$F143,Bonuses!$B$1:$G$1000,5,FALSE)),"",IF(VLOOKUP($AB143&amp;"-"&amp;$F143,Bonuses!$B$1:$G$1000,5,FALSE)="","",VLOOKUP($AB143&amp;"-"&amp;$F143,Bonuses!$B$1:$G$1000,6,FALSE)&amp;" yrs, "&amp;VLOOKUP($AB143&amp;"-"&amp;$F143,Bonuses!$B$1:$G$1000,5,FALSE)))</f>
        <v/>
      </c>
    </row>
    <row r="144" spans="1:31" s="21" customFormat="1">
      <c r="A144" s="21" t="s">
        <v>829</v>
      </c>
      <c r="B144" s="21">
        <f t="shared" si="8"/>
        <v>1</v>
      </c>
      <c r="C144" s="21" t="str">
        <f t="shared" si="9"/>
        <v>B</v>
      </c>
      <c r="D144" s="17" t="e">
        <f>IF($C144="B",VLOOKUP($A144,Bat!$A$4:$BD$2323,D$1,FALSE),VLOOKUP($A144,Pit!$A$4:$AZ$2261,D$2,FALSE))</f>
        <v>#N/A</v>
      </c>
      <c r="E144" s="16" t="str">
        <f>IF($C144="B",VLOOKUP($A144,Bat!$A$4:$BD$2323,E$1,FALSE),VLOOKUP($A144,Pit!$A$4:$AZ$2261,E$2,FALSE))</f>
        <v>RF</v>
      </c>
      <c r="F144" s="16" t="str">
        <f>IF($C144="B",VLOOKUP($A144,Bat!$A$4:$BD$2323,F$1,FALSE),VLOOKUP($A144,Pit!$A$4:$AZ$2261,F$2,FALSE))</f>
        <v>Jorge Román</v>
      </c>
      <c r="G144" s="16">
        <f>IF($C144="B",VLOOKUP($A144,Bat!$A$4:$BD$2323,G$1,FALSE),VLOOKUP($A144,Pit!$A$4:$AZ$2261,G$2,FALSE))</f>
        <v>18</v>
      </c>
      <c r="H144" s="16" t="str">
        <f>IF($C144="B",VLOOKUP($A144,Bat!$A$4:$BD$2323,H$1,FALSE),VLOOKUP($A144,Pit!$A$4:$AZ$2261,H$2,FALSE))</f>
        <v>L</v>
      </c>
      <c r="I144" s="16" t="str">
        <f>IF($C144="B",VLOOKUP($A144,Bat!$A$4:$BD$2323,I$1,FALSE),VLOOKUP($A144,Pit!$A$4:$AZ$2261,I$2,FALSE))</f>
        <v>L</v>
      </c>
      <c r="J144" s="16" t="str">
        <f>IF($C144="B",VLOOKUP($A144,Bat!$A$4:$BD$2323,J$1,FALSE),VLOOKUP($A144,Pit!$A$4:$AZ$2261,J$2,FALSE))</f>
        <v>Very Low</v>
      </c>
      <c r="K144" s="17" t="str">
        <f>IF($C144="B",VLOOKUP($A144,Bat!$A$4:$BD$2323,K$1,FALSE),VLOOKUP($A144,Pit!$A$4:$AZ$2261,K$2,FALSE))</f>
        <v>Very High</v>
      </c>
      <c r="L144" s="16">
        <f>IF($C144="B",VLOOKUP($A144,Bat!$A$4:$BD$2323,L$1,FALSE),VLOOKUP($A144,Pit!$A$4:$AZ$2261,L$2,FALSE))</f>
        <v>5</v>
      </c>
      <c r="M144" s="16">
        <f>IF($C144="B",VLOOKUP($A144,Bat!$A$4:$BD$2323,M$1,FALSE),VLOOKUP($A144,Pit!$A$4:$AZ$2261,M$2,FALSE))</f>
        <v>6</v>
      </c>
      <c r="N144" s="16">
        <f>IF($C144="B",VLOOKUP($A144,Bat!$A$4:$BD$2323,N$1,FALSE),VLOOKUP($A144,Pit!$A$4:$AZ$2261,N$2,FALSE))</f>
        <v>3</v>
      </c>
      <c r="O144" s="16">
        <f>IF($C144="B",VLOOKUP($A144,Bat!$A$4:$BD$2323,O$1,FALSE),VLOOKUP($A144,Pit!$A$4:$AZ$2261,O$2,FALSE))</f>
        <v>3</v>
      </c>
      <c r="P144" s="17">
        <f>IF($C144="B",VLOOKUP($A144,Bat!$A$4:$BD$2323,P$1,FALSE),VLOOKUP($A144,Pit!$A$4:$AZ$2261,P$2,FALSE))</f>
        <v>4</v>
      </c>
      <c r="Q144" s="18">
        <f>IF($C144="B",VLOOKUP($A144,Bat!$A$4:$BD$2323,Q$1,FALSE),VLOOKUP($A144,Pit!$A$4:$AZ$2261,Q$2,FALSE))</f>
        <v>9.5012509934507641</v>
      </c>
      <c r="R144" s="19">
        <f>IF($C144="B",VLOOKUP($A144,Bat!$A$4:$BD$2323,R$1,FALSE),VLOOKUP($A144,Pit!$A$4:$AZ$2261,R$2,FALSE))</f>
        <v>-0.16188194714248225</v>
      </c>
      <c r="S144" s="20" t="str">
        <f>IF($C144="B",VLOOKUP($A144,Bat!$A$4:$BD$2323,S$1,FALSE),VLOOKUP($A144,Pit!$A$4:$AZ$2261,S$2,FALSE))</f>
        <v>Slot</v>
      </c>
      <c r="T144" s="17" t="str">
        <f>IF(S144="Slot","",VLOOKUP(IF($C144="B",VLOOKUP($A144,Bat!$A$4:$AT$2323,T$1,FALSE),VLOOKUP($A144,Pit!$A$4:$BD$2261,T$2,FALSE)),COND!$A$34:$B$40,2,FALSE))</f>
        <v/>
      </c>
      <c r="U144" s="21" t="str">
        <f>IF($C144="B",VLOOKUP($A144,Bat!$A$4:$AR$1287,44,FALSE),VLOOKUP($A144,Pit!$A$4:$BB$1239,54,FALSE))</f>
        <v/>
      </c>
      <c r="W144" s="21" t="str">
        <f t="shared" si="10"/>
        <v/>
      </c>
      <c r="X144" s="22" t="e">
        <f t="shared" si="11"/>
        <v>#N/A</v>
      </c>
      <c r="Y144" s="16" t="str">
        <f>IF(ISERROR(VLOOKUP($E144&amp;$F144,Results!$A$2:$G$413,Y$1,FALSE)),"",VLOOKUP($E144&amp;$F144,Results!$A$2:$G$413,Y$1,FALSE))</f>
        <v/>
      </c>
      <c r="Z144" s="16" t="str">
        <f>IF(ISERROR(VLOOKUP($E144&amp;$F144,Results!$A$2:$G$413,Z$1,FALSE)),"",VLOOKUP($E144&amp;$F144,Results!$A$2:$G$413,Z$1,FALSE))</f>
        <v/>
      </c>
      <c r="AA144" s="16" t="str">
        <f>IF(ISERROR(VLOOKUP($E144&amp;$F144,Results!$A$2:$G$413,AA$1,FALSE)),"",VLOOKUP($E144&amp;$F144,Results!$A$2:$G$413,AA$1,FALSE))</f>
        <v/>
      </c>
      <c r="AB144" s="16" t="str">
        <f>IF(ISERROR(VLOOKUP($E144&amp;$F144,Results!$A$2:$G$413,AB$1,FALSE)),"",VLOOKUP($E144&amp;$F144,Results!$A$2:$G$413,AB$1,FALSE))</f>
        <v/>
      </c>
      <c r="AC144" s="16"/>
      <c r="AD144" s="20" t="str">
        <f>IF(ISERROR(VLOOKUP($AB144&amp;"-"&amp;$F144,Bonuses!$B$1:$G$1000,4,FALSE)),"",INT(VLOOKUP($AB144&amp;"-"&amp;$F144,Bonuses!$B$1:$G$1000,4,FALSE)))</f>
        <v/>
      </c>
      <c r="AE144" s="16" t="str">
        <f>IF(ISERROR(VLOOKUP($AB144&amp;"-"&amp;$F144,Bonuses!$B$1:$G$1000,5,FALSE)),"",IF(VLOOKUP($AB144&amp;"-"&amp;$F144,Bonuses!$B$1:$G$1000,5,FALSE)="","",VLOOKUP($AB144&amp;"-"&amp;$F144,Bonuses!$B$1:$G$1000,6,FALSE)&amp;" yrs, "&amp;VLOOKUP($AB144&amp;"-"&amp;$F144,Bonuses!$B$1:$G$1000,5,FALSE)))</f>
        <v/>
      </c>
    </row>
    <row r="145" spans="1:31" s="21" customFormat="1">
      <c r="A145" s="21" t="s">
        <v>831</v>
      </c>
      <c r="B145" s="21">
        <f t="shared" si="8"/>
        <v>1</v>
      </c>
      <c r="C145" s="21" t="str">
        <f t="shared" si="9"/>
        <v>B</v>
      </c>
      <c r="D145" s="17">
        <f>IF($C145="B",VLOOKUP($A145,Bat!$A$4:$BD$2323,D$1,FALSE),VLOOKUP($A145,Pit!$A$4:$AZ$2261,D$2,FALSE))</f>
        <v>5633</v>
      </c>
      <c r="E145" s="16" t="str">
        <f>IF($C145="B",VLOOKUP($A145,Bat!$A$4:$BD$2323,E$1,FALSE),VLOOKUP($A145,Pit!$A$4:$AZ$2261,E$2,FALSE))</f>
        <v>LF</v>
      </c>
      <c r="F145" s="16" t="str">
        <f>IF($C145="B",VLOOKUP($A145,Bat!$A$4:$BD$2323,F$1,FALSE),VLOOKUP($A145,Pit!$A$4:$AZ$2261,F$2,FALSE))</f>
        <v>Ricardo Cruz</v>
      </c>
      <c r="G145" s="16">
        <f>IF($C145="B",VLOOKUP($A145,Bat!$A$4:$BD$2323,G$1,FALSE),VLOOKUP($A145,Pit!$A$4:$AZ$2261,G$2,FALSE))</f>
        <v>21</v>
      </c>
      <c r="H145" s="16" t="str">
        <f>IF($C145="B",VLOOKUP($A145,Bat!$A$4:$BD$2323,H$1,FALSE),VLOOKUP($A145,Pit!$A$4:$AZ$2261,H$2,FALSE))</f>
        <v>L</v>
      </c>
      <c r="I145" s="16" t="str">
        <f>IF($C145="B",VLOOKUP($A145,Bat!$A$4:$BD$2323,I$1,FALSE),VLOOKUP($A145,Pit!$A$4:$AZ$2261,I$2,FALSE))</f>
        <v>L</v>
      </c>
      <c r="J145" s="16" t="str">
        <f>IF($C145="B",VLOOKUP($A145,Bat!$A$4:$BD$2323,J$1,FALSE),VLOOKUP($A145,Pit!$A$4:$AZ$2261,J$2,FALSE))</f>
        <v>Very Low</v>
      </c>
      <c r="K145" s="17" t="str">
        <f>IF($C145="B",VLOOKUP($A145,Bat!$A$4:$BD$2323,K$1,FALSE),VLOOKUP($A145,Pit!$A$4:$AZ$2261,K$2,FALSE))</f>
        <v>Normal</v>
      </c>
      <c r="L145" s="16">
        <f>IF($C145="B",VLOOKUP($A145,Bat!$A$4:$BD$2323,L$1,FALSE),VLOOKUP($A145,Pit!$A$4:$AZ$2261,L$2,FALSE))</f>
        <v>5</v>
      </c>
      <c r="M145" s="16">
        <f>IF($C145="B",VLOOKUP($A145,Bat!$A$4:$BD$2323,M$1,FALSE),VLOOKUP($A145,Pit!$A$4:$AZ$2261,M$2,FALSE))</f>
        <v>4</v>
      </c>
      <c r="N145" s="16">
        <f>IF($C145="B",VLOOKUP($A145,Bat!$A$4:$BD$2323,N$1,FALSE),VLOOKUP($A145,Pit!$A$4:$AZ$2261,N$2,FALSE))</f>
        <v>4</v>
      </c>
      <c r="O145" s="16">
        <f>IF($C145="B",VLOOKUP($A145,Bat!$A$4:$BD$2323,O$1,FALSE),VLOOKUP($A145,Pit!$A$4:$AZ$2261,O$2,FALSE))</f>
        <v>3</v>
      </c>
      <c r="P145" s="17">
        <f>IF($C145="B",VLOOKUP($A145,Bat!$A$4:$BD$2323,P$1,FALSE),VLOOKUP($A145,Pit!$A$4:$AZ$2261,P$2,FALSE))</f>
        <v>5</v>
      </c>
      <c r="Q145" s="18">
        <f>IF($C145="B",VLOOKUP($A145,Bat!$A$4:$BD$2323,Q$1,FALSE),VLOOKUP($A145,Pit!$A$4:$AZ$2261,Q$2,FALSE))</f>
        <v>9.4632343332164695</v>
      </c>
      <c r="R145" s="19">
        <f>IF($C145="B",VLOOKUP($A145,Bat!$A$4:$BD$2323,R$1,FALSE),VLOOKUP($A145,Pit!$A$4:$AZ$2261,R$2,FALSE))</f>
        <v>-0.16716336045284028</v>
      </c>
      <c r="S145" s="20" t="str">
        <f>IF($C145="B",VLOOKUP($A145,Bat!$A$4:$BD$2323,S$1,FALSE),VLOOKUP($A145,Pit!$A$4:$AZ$2261,S$2,FALSE))</f>
        <v>Slot</v>
      </c>
      <c r="T145" s="17" t="str">
        <f>IF(S145="Slot","",VLOOKUP(IF($C145="B",VLOOKUP($A145,Bat!$A$4:$AT$2323,T$1,FALSE),VLOOKUP($A145,Pit!$A$4:$BD$2261,T$2,FALSE)),COND!$A$34:$B$40,2,FALSE))</f>
        <v/>
      </c>
      <c r="U145" s="21" t="str">
        <f>IF($C145="B",VLOOKUP($A145,Bat!$A$4:$AR$1287,44,FALSE),VLOOKUP($A145,Pit!$A$4:$BB$1239,54,FALSE))</f>
        <v/>
      </c>
      <c r="W145" s="21" t="str">
        <f t="shared" si="10"/>
        <v/>
      </c>
      <c r="X145" s="22" t="e">
        <f t="shared" si="11"/>
        <v>#N/A</v>
      </c>
      <c r="Y145" s="16" t="str">
        <f>IF(ISERROR(VLOOKUP($E145&amp;$F145,Results!$A$2:$G$413,Y$1,FALSE)),"",VLOOKUP($E145&amp;$F145,Results!$A$2:$G$413,Y$1,FALSE))</f>
        <v/>
      </c>
      <c r="Z145" s="16" t="str">
        <f>IF(ISERROR(VLOOKUP($E145&amp;$F145,Results!$A$2:$G$413,Z$1,FALSE)),"",VLOOKUP($E145&amp;$F145,Results!$A$2:$G$413,Z$1,FALSE))</f>
        <v/>
      </c>
      <c r="AA145" s="16" t="str">
        <f>IF(ISERROR(VLOOKUP($E145&amp;$F145,Results!$A$2:$G$413,AA$1,FALSE)),"",VLOOKUP($E145&amp;$F145,Results!$A$2:$G$413,AA$1,FALSE))</f>
        <v/>
      </c>
      <c r="AB145" s="16" t="str">
        <f>IF(ISERROR(VLOOKUP($E145&amp;$F145,Results!$A$2:$G$413,AB$1,FALSE)),"",VLOOKUP($E145&amp;$F145,Results!$A$2:$G$413,AB$1,FALSE))</f>
        <v/>
      </c>
      <c r="AC145" s="16"/>
      <c r="AD145" s="20" t="str">
        <f>IF(ISERROR(VLOOKUP($AB145&amp;"-"&amp;$F145,Bonuses!$B$1:$G$1000,4,FALSE)),"",INT(VLOOKUP($AB145&amp;"-"&amp;$F145,Bonuses!$B$1:$G$1000,4,FALSE)))</f>
        <v/>
      </c>
      <c r="AE145" s="16" t="str">
        <f>IF(ISERROR(VLOOKUP($AB145&amp;"-"&amp;$F145,Bonuses!$B$1:$G$1000,5,FALSE)),"",IF(VLOOKUP($AB145&amp;"-"&amp;$F145,Bonuses!$B$1:$G$1000,5,FALSE)="","",VLOOKUP($AB145&amp;"-"&amp;$F145,Bonuses!$B$1:$G$1000,6,FALSE)&amp;" yrs, "&amp;VLOOKUP($AB145&amp;"-"&amp;$F145,Bonuses!$B$1:$G$1000,5,FALSE)))</f>
        <v/>
      </c>
    </row>
    <row r="146" spans="1:31" s="21" customFormat="1">
      <c r="A146" s="21" t="s">
        <v>841</v>
      </c>
      <c r="B146" s="21">
        <f t="shared" si="8"/>
        <v>1</v>
      </c>
      <c r="C146" s="21" t="str">
        <f t="shared" si="9"/>
        <v>B</v>
      </c>
      <c r="D146" s="17">
        <f>IF($C146="B",VLOOKUP($A146,Bat!$A$4:$BD$2323,D$1,FALSE),VLOOKUP($A146,Pit!$A$4:$AZ$2261,D$2,FALSE))</f>
        <v>7747</v>
      </c>
      <c r="E146" s="16" t="str">
        <f>IF($C146="B",VLOOKUP($A146,Bat!$A$4:$BD$2323,E$1,FALSE),VLOOKUP($A146,Pit!$A$4:$AZ$2261,E$2,FALSE))</f>
        <v>1B</v>
      </c>
      <c r="F146" s="16" t="str">
        <f>IF($C146="B",VLOOKUP($A146,Bat!$A$4:$BD$2323,F$1,FALSE),VLOOKUP($A146,Pit!$A$4:$AZ$2261,F$2,FALSE))</f>
        <v>Rens Ricksen</v>
      </c>
      <c r="G146" s="16">
        <f>IF($C146="B",VLOOKUP($A146,Bat!$A$4:$BD$2323,G$1,FALSE),VLOOKUP($A146,Pit!$A$4:$AZ$2261,G$2,FALSE))</f>
        <v>21</v>
      </c>
      <c r="H146" s="16" t="str">
        <f>IF($C146="B",VLOOKUP($A146,Bat!$A$4:$BD$2323,H$1,FALSE),VLOOKUP($A146,Pit!$A$4:$AZ$2261,H$2,FALSE))</f>
        <v>L</v>
      </c>
      <c r="I146" s="16" t="str">
        <f>IF($C146="B",VLOOKUP($A146,Bat!$A$4:$BD$2323,I$1,FALSE),VLOOKUP($A146,Pit!$A$4:$AZ$2261,I$2,FALSE))</f>
        <v>L</v>
      </c>
      <c r="J146" s="16" t="str">
        <f>IF($C146="B",VLOOKUP($A146,Bat!$A$4:$BD$2323,J$1,FALSE),VLOOKUP($A146,Pit!$A$4:$AZ$2261,J$2,FALSE))</f>
        <v>Low</v>
      </c>
      <c r="K146" s="17" t="str">
        <f>IF($C146="B",VLOOKUP($A146,Bat!$A$4:$BD$2323,K$1,FALSE),VLOOKUP($A146,Pit!$A$4:$AZ$2261,K$2,FALSE))</f>
        <v>High</v>
      </c>
      <c r="L146" s="16">
        <f>IF($C146="B",VLOOKUP($A146,Bat!$A$4:$BD$2323,L$1,FALSE),VLOOKUP($A146,Pit!$A$4:$AZ$2261,L$2,FALSE))</f>
        <v>5</v>
      </c>
      <c r="M146" s="16">
        <f>IF($C146="B",VLOOKUP($A146,Bat!$A$4:$BD$2323,M$1,FALSE),VLOOKUP($A146,Pit!$A$4:$AZ$2261,M$2,FALSE))</f>
        <v>5</v>
      </c>
      <c r="N146" s="16">
        <f>IF($C146="B",VLOOKUP($A146,Bat!$A$4:$BD$2323,N$1,FALSE),VLOOKUP($A146,Pit!$A$4:$AZ$2261,N$2,FALSE))</f>
        <v>4</v>
      </c>
      <c r="O146" s="16">
        <f>IF($C146="B",VLOOKUP($A146,Bat!$A$4:$BD$2323,O$1,FALSE),VLOOKUP($A146,Pit!$A$4:$AZ$2261,O$2,FALSE))</f>
        <v>3</v>
      </c>
      <c r="P146" s="17">
        <f>IF($C146="B",VLOOKUP($A146,Bat!$A$4:$BD$2323,P$1,FALSE),VLOOKUP($A146,Pit!$A$4:$AZ$2261,P$2,FALSE))</f>
        <v>4</v>
      </c>
      <c r="Q146" s="18">
        <f>IF($C146="B",VLOOKUP($A146,Bat!$A$4:$BD$2323,Q$1,FALSE),VLOOKUP($A146,Pit!$A$4:$AZ$2261,Q$2,FALSE))</f>
        <v>9.3928329265672694</v>
      </c>
      <c r="R146" s="19">
        <f>IF($C146="B",VLOOKUP($A146,Bat!$A$4:$BD$2323,R$1,FALSE),VLOOKUP($A146,Pit!$A$4:$AZ$2261,R$2,FALSE))</f>
        <v>-0.17694378103301522</v>
      </c>
      <c r="S146" s="20" t="str">
        <f>IF($C146="B",VLOOKUP($A146,Bat!$A$4:$BD$2323,S$1,FALSE),VLOOKUP($A146,Pit!$A$4:$AZ$2261,S$2,FALSE))</f>
        <v>Slot</v>
      </c>
      <c r="T146" s="17" t="str">
        <f>IF(S146="Slot","",VLOOKUP(IF($C146="B",VLOOKUP($A146,Bat!$A$4:$AT$2323,T$1,FALSE),VLOOKUP($A146,Pit!$A$4:$BD$2261,T$2,FALSE)),COND!$A$34:$B$40,2,FALSE))</f>
        <v/>
      </c>
      <c r="U146" s="21" t="str">
        <f>IF($C146="B",VLOOKUP($A146,Bat!$A$4:$AR$1287,44,FALSE),VLOOKUP($A146,Pit!$A$4:$BB$1239,54,FALSE))</f>
        <v/>
      </c>
      <c r="W146" s="21" t="str">
        <f t="shared" si="10"/>
        <v/>
      </c>
      <c r="X146" s="22" t="e">
        <f t="shared" si="11"/>
        <v>#N/A</v>
      </c>
      <c r="Y146" s="16" t="str">
        <f>IF(ISERROR(VLOOKUP($E146&amp;$F146,Results!$A$2:$G$413,Y$1,FALSE)),"",VLOOKUP($E146&amp;$F146,Results!$A$2:$G$413,Y$1,FALSE))</f>
        <v/>
      </c>
      <c r="Z146" s="16" t="str">
        <f>IF(ISERROR(VLOOKUP($E146&amp;$F146,Results!$A$2:$G$413,Z$1,FALSE)),"",VLOOKUP($E146&amp;$F146,Results!$A$2:$G$413,Z$1,FALSE))</f>
        <v/>
      </c>
      <c r="AA146" s="16" t="str">
        <f>IF(ISERROR(VLOOKUP($E146&amp;$F146,Results!$A$2:$G$413,AA$1,FALSE)),"",VLOOKUP($E146&amp;$F146,Results!$A$2:$G$413,AA$1,FALSE))</f>
        <v/>
      </c>
      <c r="AB146" s="16" t="str">
        <f>IF(ISERROR(VLOOKUP($E146&amp;$F146,Results!$A$2:$G$413,AB$1,FALSE)),"",VLOOKUP($E146&amp;$F146,Results!$A$2:$G$413,AB$1,FALSE))</f>
        <v/>
      </c>
      <c r="AC146" s="16"/>
      <c r="AD146" s="20" t="str">
        <f>IF(ISERROR(VLOOKUP($AB146&amp;"-"&amp;$F146,Bonuses!$B$1:$G$1000,4,FALSE)),"",INT(VLOOKUP($AB146&amp;"-"&amp;$F146,Bonuses!$B$1:$G$1000,4,FALSE)))</f>
        <v/>
      </c>
      <c r="AE146" s="16" t="str">
        <f>IF(ISERROR(VLOOKUP($AB146&amp;"-"&amp;$F146,Bonuses!$B$1:$G$1000,5,FALSE)),"",IF(VLOOKUP($AB146&amp;"-"&amp;$F146,Bonuses!$B$1:$G$1000,5,FALSE)="","",VLOOKUP($AB146&amp;"-"&amp;$F146,Bonuses!$B$1:$G$1000,6,FALSE)&amp;" yrs, "&amp;VLOOKUP($AB146&amp;"-"&amp;$F146,Bonuses!$B$1:$G$1000,5,FALSE)))</f>
        <v/>
      </c>
    </row>
    <row r="147" spans="1:31" s="21" customFormat="1">
      <c r="A147" s="21" t="s">
        <v>846</v>
      </c>
      <c r="B147" s="21">
        <f t="shared" si="8"/>
        <v>1</v>
      </c>
      <c r="C147" s="21" t="str">
        <f t="shared" si="9"/>
        <v>B</v>
      </c>
      <c r="D147" s="17" t="e">
        <f>IF($C147="B",VLOOKUP($A147,Bat!$A$4:$BD$2323,D$1,FALSE),VLOOKUP($A147,Pit!$A$4:$AZ$2261,D$2,FALSE))</f>
        <v>#N/A</v>
      </c>
      <c r="E147" s="16" t="str">
        <f>IF($C147="B",VLOOKUP($A147,Bat!$A$4:$BD$2323,E$1,FALSE),VLOOKUP($A147,Pit!$A$4:$AZ$2261,E$2,FALSE))</f>
        <v>SS</v>
      </c>
      <c r="F147" s="16" t="str">
        <f>IF($C147="B",VLOOKUP($A147,Bat!$A$4:$BD$2323,F$1,FALSE),VLOOKUP($A147,Pit!$A$4:$AZ$2261,F$2,FALSE))</f>
        <v>Máximo Medina</v>
      </c>
      <c r="G147" s="16">
        <f>IF($C147="B",VLOOKUP($A147,Bat!$A$4:$BD$2323,G$1,FALSE),VLOOKUP($A147,Pit!$A$4:$AZ$2261,G$2,FALSE))</f>
        <v>18</v>
      </c>
      <c r="H147" s="16" t="str">
        <f>IF($C147="B",VLOOKUP($A147,Bat!$A$4:$BD$2323,H$1,FALSE),VLOOKUP($A147,Pit!$A$4:$AZ$2261,H$2,FALSE))</f>
        <v>R</v>
      </c>
      <c r="I147" s="16" t="str">
        <f>IF($C147="B",VLOOKUP($A147,Bat!$A$4:$BD$2323,I$1,FALSE),VLOOKUP($A147,Pit!$A$4:$AZ$2261,I$2,FALSE))</f>
        <v>R</v>
      </c>
      <c r="J147" s="16" t="str">
        <f>IF($C147="B",VLOOKUP($A147,Bat!$A$4:$BD$2323,J$1,FALSE),VLOOKUP($A147,Pit!$A$4:$AZ$2261,J$2,FALSE))</f>
        <v>Very High</v>
      </c>
      <c r="K147" s="17" t="str">
        <f>IF($C147="B",VLOOKUP($A147,Bat!$A$4:$BD$2323,K$1,FALSE),VLOOKUP($A147,Pit!$A$4:$AZ$2261,K$2,FALSE))</f>
        <v>Normal</v>
      </c>
      <c r="L147" s="16">
        <f>IF($C147="B",VLOOKUP($A147,Bat!$A$4:$BD$2323,L$1,FALSE),VLOOKUP($A147,Pit!$A$4:$AZ$2261,L$2,FALSE))</f>
        <v>5</v>
      </c>
      <c r="M147" s="16">
        <f>IF($C147="B",VLOOKUP($A147,Bat!$A$4:$BD$2323,M$1,FALSE),VLOOKUP($A147,Pit!$A$4:$AZ$2261,M$2,FALSE))</f>
        <v>5</v>
      </c>
      <c r="N147" s="16">
        <f>IF($C147="B",VLOOKUP($A147,Bat!$A$4:$BD$2323,N$1,FALSE),VLOOKUP($A147,Pit!$A$4:$AZ$2261,N$2,FALSE))</f>
        <v>1</v>
      </c>
      <c r="O147" s="16">
        <f>IF($C147="B",VLOOKUP($A147,Bat!$A$4:$BD$2323,O$1,FALSE),VLOOKUP($A147,Pit!$A$4:$AZ$2261,O$2,FALSE))</f>
        <v>5</v>
      </c>
      <c r="P147" s="17">
        <f>IF($C147="B",VLOOKUP($A147,Bat!$A$4:$BD$2323,P$1,FALSE),VLOOKUP($A147,Pit!$A$4:$AZ$2261,P$2,FALSE))</f>
        <v>5</v>
      </c>
      <c r="Q147" s="18">
        <f>IF($C147="B",VLOOKUP($A147,Bat!$A$4:$BD$2323,Q$1,FALSE),VLOOKUP($A147,Pit!$A$4:$AZ$2261,Q$2,FALSE))</f>
        <v>9.3616151928209668</v>
      </c>
      <c r="R147" s="19">
        <f>IF($C147="B",VLOOKUP($A147,Bat!$A$4:$BD$2323,R$1,FALSE),VLOOKUP($A147,Pit!$A$4:$AZ$2261,R$2,FALSE))</f>
        <v>-0.181280662639943</v>
      </c>
      <c r="S147" s="20">
        <f>IF($C147="B",VLOOKUP($A147,Bat!$A$4:$BD$2323,S$1,FALSE),VLOOKUP($A147,Pit!$A$4:$AZ$2261,S$2,FALSE))</f>
        <v>2600000</v>
      </c>
      <c r="T147" s="17" t="str">
        <f>IF(S147="Slot","",VLOOKUP(IF($C147="B",VLOOKUP($A147,Bat!$A$4:$AT$2323,T$1,FALSE),VLOOKUP($A147,Pit!$A$4:$BD$2261,T$2,FALSE)),COND!$A$34:$B$40,2,FALSE))</f>
        <v>EH</v>
      </c>
      <c r="U147" s="21" t="str">
        <f>IF($C147="B",VLOOKUP($A147,Bat!$A$4:$AR$1287,44,FALSE),VLOOKUP($A147,Pit!$A$4:$BB$1239,54,FALSE))</f>
        <v/>
      </c>
      <c r="W147" s="21" t="str">
        <f t="shared" si="10"/>
        <v/>
      </c>
      <c r="X147" s="22" t="e">
        <f t="shared" si="11"/>
        <v>#N/A</v>
      </c>
      <c r="Y147" s="16" t="str">
        <f>IF(ISERROR(VLOOKUP($E147&amp;$F147,Results!$A$2:$G$413,Y$1,FALSE)),"",VLOOKUP($E147&amp;$F147,Results!$A$2:$G$413,Y$1,FALSE))</f>
        <v/>
      </c>
      <c r="Z147" s="16" t="str">
        <f>IF(ISERROR(VLOOKUP($E147&amp;$F147,Results!$A$2:$G$413,Z$1,FALSE)),"",VLOOKUP($E147&amp;$F147,Results!$A$2:$G$413,Z$1,FALSE))</f>
        <v/>
      </c>
      <c r="AA147" s="16" t="str">
        <f>IF(ISERROR(VLOOKUP($E147&amp;$F147,Results!$A$2:$G$413,AA$1,FALSE)),"",VLOOKUP($E147&amp;$F147,Results!$A$2:$G$413,AA$1,FALSE))</f>
        <v/>
      </c>
      <c r="AB147" s="16" t="str">
        <f>IF(ISERROR(VLOOKUP($E147&amp;$F147,Results!$A$2:$G$413,AB$1,FALSE)),"",VLOOKUP($E147&amp;$F147,Results!$A$2:$G$413,AB$1,FALSE))</f>
        <v/>
      </c>
      <c r="AC147" s="16"/>
      <c r="AD147" s="20" t="str">
        <f>IF(ISERROR(VLOOKUP($AB147&amp;"-"&amp;$F147,Bonuses!$B$1:$G$1000,4,FALSE)),"",INT(VLOOKUP($AB147&amp;"-"&amp;$F147,Bonuses!$B$1:$G$1000,4,FALSE)))</f>
        <v/>
      </c>
      <c r="AE147" s="16" t="str">
        <f>IF(ISERROR(VLOOKUP($AB147&amp;"-"&amp;$F147,Bonuses!$B$1:$G$1000,5,FALSE)),"",IF(VLOOKUP($AB147&amp;"-"&amp;$F147,Bonuses!$B$1:$G$1000,5,FALSE)="","",VLOOKUP($AB147&amp;"-"&amp;$F147,Bonuses!$B$1:$G$1000,6,FALSE)&amp;" yrs, "&amp;VLOOKUP($AB147&amp;"-"&amp;$F147,Bonuses!$B$1:$G$1000,5,FALSE)))</f>
        <v/>
      </c>
    </row>
    <row r="148" spans="1:31" s="21" customFormat="1">
      <c r="A148" s="21" t="s">
        <v>987</v>
      </c>
      <c r="B148" s="21">
        <f t="shared" si="8"/>
        <v>1</v>
      </c>
      <c r="C148" s="21" t="str">
        <f t="shared" si="9"/>
        <v>B</v>
      </c>
      <c r="D148" s="17">
        <f>IF($C148="B",VLOOKUP($A148,Bat!$A$4:$BD$2323,D$1,FALSE),VLOOKUP($A148,Pit!$A$4:$AZ$2261,D$2,FALSE))</f>
        <v>6111</v>
      </c>
      <c r="E148" s="16" t="str">
        <f>IF($C148="B",VLOOKUP($A148,Bat!$A$4:$BD$2323,E$1,FALSE),VLOOKUP($A148,Pit!$A$4:$AZ$2261,E$2,FALSE))</f>
        <v>CF</v>
      </c>
      <c r="F148" s="16" t="str">
        <f>IF($C148="B",VLOOKUP($A148,Bat!$A$4:$BD$2323,F$1,FALSE),VLOOKUP($A148,Pit!$A$4:$AZ$2261,F$2,FALSE))</f>
        <v>Ryan Thomas</v>
      </c>
      <c r="G148" s="16">
        <f>IF($C148="B",VLOOKUP($A148,Bat!$A$4:$BD$2323,G$1,FALSE),VLOOKUP($A148,Pit!$A$4:$AZ$2261,G$2,FALSE))</f>
        <v>21</v>
      </c>
      <c r="H148" s="16" t="str">
        <f>IF($C148="B",VLOOKUP($A148,Bat!$A$4:$BD$2323,H$1,FALSE),VLOOKUP($A148,Pit!$A$4:$AZ$2261,H$2,FALSE))</f>
        <v>R</v>
      </c>
      <c r="I148" s="16" t="str">
        <f>IF($C148="B",VLOOKUP($A148,Bat!$A$4:$BD$2323,I$1,FALSE),VLOOKUP($A148,Pit!$A$4:$AZ$2261,I$2,FALSE))</f>
        <v>R</v>
      </c>
      <c r="J148" s="16" t="str">
        <f>IF($C148="B",VLOOKUP($A148,Bat!$A$4:$BD$2323,J$1,FALSE),VLOOKUP($A148,Pit!$A$4:$AZ$2261,J$2,FALSE))</f>
        <v>Very Low</v>
      </c>
      <c r="K148" s="17" t="str">
        <f>IF($C148="B",VLOOKUP($A148,Bat!$A$4:$BD$2323,K$1,FALSE),VLOOKUP($A148,Pit!$A$4:$AZ$2261,K$2,FALSE))</f>
        <v>Normal</v>
      </c>
      <c r="L148" s="16">
        <f>IF($C148="B",VLOOKUP($A148,Bat!$A$4:$BD$2323,L$1,FALSE),VLOOKUP($A148,Pit!$A$4:$AZ$2261,L$2,FALSE))</f>
        <v>5</v>
      </c>
      <c r="M148" s="16">
        <f>IF($C148="B",VLOOKUP($A148,Bat!$A$4:$BD$2323,M$1,FALSE),VLOOKUP($A148,Pit!$A$4:$AZ$2261,M$2,FALSE))</f>
        <v>4</v>
      </c>
      <c r="N148" s="16">
        <f>IF($C148="B",VLOOKUP($A148,Bat!$A$4:$BD$2323,N$1,FALSE),VLOOKUP($A148,Pit!$A$4:$AZ$2261,N$2,FALSE))</f>
        <v>2</v>
      </c>
      <c r="O148" s="16">
        <f>IF($C148="B",VLOOKUP($A148,Bat!$A$4:$BD$2323,O$1,FALSE),VLOOKUP($A148,Pit!$A$4:$AZ$2261,O$2,FALSE))</f>
        <v>3</v>
      </c>
      <c r="P148" s="17">
        <f>IF($C148="B",VLOOKUP($A148,Bat!$A$4:$BD$2323,P$1,FALSE),VLOOKUP($A148,Pit!$A$4:$AZ$2261,P$2,FALSE))</f>
        <v>6</v>
      </c>
      <c r="Q148" s="18">
        <f>IF($C148="B",VLOOKUP($A148,Bat!$A$4:$BD$2323,Q$1,FALSE),VLOOKUP($A148,Pit!$A$4:$AZ$2261,Q$2,FALSE))</f>
        <v>9.3231622080902987</v>
      </c>
      <c r="R148" s="19">
        <f>IF($C148="B",VLOOKUP($A148,Bat!$A$4:$BD$2323,R$1,FALSE),VLOOKUP($A148,Pit!$A$4:$AZ$2261,R$2,FALSE))</f>
        <v>-0.18662269174318183</v>
      </c>
      <c r="S148" s="20" t="str">
        <f>IF($C148="B",VLOOKUP($A148,Bat!$A$4:$BD$2323,S$1,FALSE),VLOOKUP($A148,Pit!$A$4:$AZ$2261,S$2,FALSE))</f>
        <v>Slot</v>
      </c>
      <c r="T148" s="17" t="str">
        <f>IF(S148="Slot","",VLOOKUP(IF($C148="B",VLOOKUP($A148,Bat!$A$4:$AT$2323,T$1,FALSE),VLOOKUP($A148,Pit!$A$4:$BD$2261,T$2,FALSE)),COND!$A$34:$B$40,2,FALSE))</f>
        <v/>
      </c>
      <c r="U148" s="21" t="str">
        <f>IF($C148="B",VLOOKUP($A148,Bat!$A$4:$AR$1287,44,FALSE),VLOOKUP($A148,Pit!$A$4:$BB$1239,54,FALSE))</f>
        <v/>
      </c>
      <c r="W148" s="21" t="str">
        <f t="shared" si="10"/>
        <v/>
      </c>
      <c r="X148" s="22" t="e">
        <f t="shared" si="11"/>
        <v>#N/A</v>
      </c>
      <c r="Y148" s="16" t="str">
        <f>IF(ISERROR(VLOOKUP($E148&amp;$F148,Results!$A$2:$G$413,Y$1,FALSE)),"",VLOOKUP($E148&amp;$F148,Results!$A$2:$G$413,Y$1,FALSE))</f>
        <v/>
      </c>
      <c r="Z148" s="16" t="str">
        <f>IF(ISERROR(VLOOKUP($E148&amp;$F148,Results!$A$2:$G$413,Z$1,FALSE)),"",VLOOKUP($E148&amp;$F148,Results!$A$2:$G$413,Z$1,FALSE))</f>
        <v/>
      </c>
      <c r="AA148" s="16" t="str">
        <f>IF(ISERROR(VLOOKUP($E148&amp;$F148,Results!$A$2:$G$413,AA$1,FALSE)),"",VLOOKUP($E148&amp;$F148,Results!$A$2:$G$413,AA$1,FALSE))</f>
        <v/>
      </c>
      <c r="AB148" s="16" t="str">
        <f>IF(ISERROR(VLOOKUP($E148&amp;$F148,Results!$A$2:$G$413,AB$1,FALSE)),"",VLOOKUP($E148&amp;$F148,Results!$A$2:$G$413,AB$1,FALSE))</f>
        <v/>
      </c>
      <c r="AC148" s="16"/>
      <c r="AD148" s="20" t="str">
        <f>IF(ISERROR(VLOOKUP($AB148&amp;"-"&amp;$F148,Bonuses!$B$1:$G$1000,4,FALSE)),"",INT(VLOOKUP($AB148&amp;"-"&amp;$F148,Bonuses!$B$1:$G$1000,4,FALSE)))</f>
        <v/>
      </c>
      <c r="AE148" s="16" t="str">
        <f>IF(ISERROR(VLOOKUP($AB148&amp;"-"&amp;$F148,Bonuses!$B$1:$G$1000,5,FALSE)),"",IF(VLOOKUP($AB148&amp;"-"&amp;$F148,Bonuses!$B$1:$G$1000,5,FALSE)="","",VLOOKUP($AB148&amp;"-"&amp;$F148,Bonuses!$B$1:$G$1000,6,FALSE)&amp;" yrs, "&amp;VLOOKUP($AB148&amp;"-"&amp;$F148,Bonuses!$B$1:$G$1000,5,FALSE)))</f>
        <v/>
      </c>
    </row>
    <row r="149" spans="1:31" s="21" customFormat="1">
      <c r="A149" s="21" t="s">
        <v>847</v>
      </c>
      <c r="B149" s="21">
        <f t="shared" si="8"/>
        <v>1</v>
      </c>
      <c r="C149" s="21" t="str">
        <f t="shared" si="9"/>
        <v>B</v>
      </c>
      <c r="D149" s="17">
        <f>IF($C149="B",VLOOKUP($A149,Bat!$A$4:$BD$2323,D$1,FALSE),VLOOKUP($A149,Pit!$A$4:$AZ$2261,D$2,FALSE))</f>
        <v>1618</v>
      </c>
      <c r="E149" s="16" t="str">
        <f>IF($C149="B",VLOOKUP($A149,Bat!$A$4:$BD$2323,E$1,FALSE),VLOOKUP($A149,Pit!$A$4:$AZ$2261,E$2,FALSE))</f>
        <v>1B</v>
      </c>
      <c r="F149" s="16" t="str">
        <f>IF($C149="B",VLOOKUP($A149,Bat!$A$4:$BD$2323,F$1,FALSE),VLOOKUP($A149,Pit!$A$4:$AZ$2261,F$2,FALSE))</f>
        <v>Luis Ortega</v>
      </c>
      <c r="G149" s="16">
        <f>IF($C149="B",VLOOKUP($A149,Bat!$A$4:$BD$2323,G$1,FALSE),VLOOKUP($A149,Pit!$A$4:$AZ$2261,G$2,FALSE))</f>
        <v>18</v>
      </c>
      <c r="H149" s="16" t="str">
        <f>IF($C149="B",VLOOKUP($A149,Bat!$A$4:$BD$2323,H$1,FALSE),VLOOKUP($A149,Pit!$A$4:$AZ$2261,H$2,FALSE))</f>
        <v>R</v>
      </c>
      <c r="I149" s="16" t="str">
        <f>IF($C149="B",VLOOKUP($A149,Bat!$A$4:$BD$2323,I$1,FALSE),VLOOKUP($A149,Pit!$A$4:$AZ$2261,I$2,FALSE))</f>
        <v>R</v>
      </c>
      <c r="J149" s="16" t="str">
        <f>IF($C149="B",VLOOKUP($A149,Bat!$A$4:$BD$2323,J$1,FALSE),VLOOKUP($A149,Pit!$A$4:$AZ$2261,J$2,FALSE))</f>
        <v>Low</v>
      </c>
      <c r="K149" s="17" t="str">
        <f>IF($C149="B",VLOOKUP($A149,Bat!$A$4:$BD$2323,K$1,FALSE),VLOOKUP($A149,Pit!$A$4:$AZ$2261,K$2,FALSE))</f>
        <v>High</v>
      </c>
      <c r="L149" s="16">
        <f>IF($C149="B",VLOOKUP($A149,Bat!$A$4:$BD$2323,L$1,FALSE),VLOOKUP($A149,Pit!$A$4:$AZ$2261,L$2,FALSE))</f>
        <v>5</v>
      </c>
      <c r="M149" s="16">
        <f>IF($C149="B",VLOOKUP($A149,Bat!$A$4:$BD$2323,M$1,FALSE),VLOOKUP($A149,Pit!$A$4:$AZ$2261,M$2,FALSE))</f>
        <v>5</v>
      </c>
      <c r="N149" s="16">
        <f>IF($C149="B",VLOOKUP($A149,Bat!$A$4:$BD$2323,N$1,FALSE),VLOOKUP($A149,Pit!$A$4:$AZ$2261,N$2,FALSE))</f>
        <v>4</v>
      </c>
      <c r="O149" s="16">
        <f>IF($C149="B",VLOOKUP($A149,Bat!$A$4:$BD$2323,O$1,FALSE),VLOOKUP($A149,Pit!$A$4:$AZ$2261,O$2,FALSE))</f>
        <v>3</v>
      </c>
      <c r="P149" s="17">
        <f>IF($C149="B",VLOOKUP($A149,Bat!$A$4:$BD$2323,P$1,FALSE),VLOOKUP($A149,Pit!$A$4:$AZ$2261,P$2,FALSE))</f>
        <v>4</v>
      </c>
      <c r="Q149" s="18">
        <f>IF($C149="B",VLOOKUP($A149,Bat!$A$4:$BD$2323,Q$1,FALSE),VLOOKUP($A149,Pit!$A$4:$AZ$2261,Q$2,FALSE))</f>
        <v>9.2968310450179352</v>
      </c>
      <c r="R149" s="19">
        <f>IF($C149="B",VLOOKUP($A149,Bat!$A$4:$BD$2323,R$1,FALSE),VLOOKUP($A149,Pit!$A$4:$AZ$2261,R$2,FALSE))</f>
        <v>-0.19028071310198963</v>
      </c>
      <c r="S149" s="20" t="str">
        <f>IF($C149="B",VLOOKUP($A149,Bat!$A$4:$BD$2323,S$1,FALSE),VLOOKUP($A149,Pit!$A$4:$AZ$2261,S$2,FALSE))</f>
        <v>Slot</v>
      </c>
      <c r="T149" s="17" t="str">
        <f>IF(S149="Slot","",VLOOKUP(IF($C149="B",VLOOKUP($A149,Bat!$A$4:$AT$2323,T$1,FALSE),VLOOKUP($A149,Pit!$A$4:$BD$2261,T$2,FALSE)),COND!$A$34:$B$40,2,FALSE))</f>
        <v/>
      </c>
      <c r="U149" s="21" t="str">
        <f>IF($C149="B",VLOOKUP($A149,Bat!$A$4:$AR$1287,44,FALSE),VLOOKUP($A149,Pit!$A$4:$BB$1239,54,FALSE))</f>
        <v/>
      </c>
      <c r="W149" s="21" t="str">
        <f t="shared" si="10"/>
        <v/>
      </c>
      <c r="X149" s="22" t="e">
        <f t="shared" si="11"/>
        <v>#N/A</v>
      </c>
      <c r="Y149" s="16" t="str">
        <f>IF(ISERROR(VLOOKUP($E149&amp;$F149,Results!$A$2:$G$413,Y$1,FALSE)),"",VLOOKUP($E149&amp;$F149,Results!$A$2:$G$413,Y$1,FALSE))</f>
        <v/>
      </c>
      <c r="Z149" s="16" t="str">
        <f>IF(ISERROR(VLOOKUP($E149&amp;$F149,Results!$A$2:$G$413,Z$1,FALSE)),"",VLOOKUP($E149&amp;$F149,Results!$A$2:$G$413,Z$1,FALSE))</f>
        <v/>
      </c>
      <c r="AA149" s="16" t="str">
        <f>IF(ISERROR(VLOOKUP($E149&amp;$F149,Results!$A$2:$G$413,AA$1,FALSE)),"",VLOOKUP($E149&amp;$F149,Results!$A$2:$G$413,AA$1,FALSE))</f>
        <v/>
      </c>
      <c r="AB149" s="16" t="str">
        <f>IF(ISERROR(VLOOKUP($E149&amp;$F149,Results!$A$2:$G$413,AB$1,FALSE)),"",VLOOKUP($E149&amp;$F149,Results!$A$2:$G$413,AB$1,FALSE))</f>
        <v/>
      </c>
      <c r="AC149" s="16"/>
      <c r="AD149" s="20" t="str">
        <f>IF(ISERROR(VLOOKUP($AB149&amp;"-"&amp;$F149,Bonuses!$B$1:$G$1000,4,FALSE)),"",INT(VLOOKUP($AB149&amp;"-"&amp;$F149,Bonuses!$B$1:$G$1000,4,FALSE)))</f>
        <v/>
      </c>
      <c r="AE149" s="16" t="str">
        <f>IF(ISERROR(VLOOKUP($AB149&amp;"-"&amp;$F149,Bonuses!$B$1:$G$1000,5,FALSE)),"",IF(VLOOKUP($AB149&amp;"-"&amp;$F149,Bonuses!$B$1:$G$1000,5,FALSE)="","",VLOOKUP($AB149&amp;"-"&amp;$F149,Bonuses!$B$1:$G$1000,6,FALSE)&amp;" yrs, "&amp;VLOOKUP($AB149&amp;"-"&amp;$F149,Bonuses!$B$1:$G$1000,5,FALSE)))</f>
        <v/>
      </c>
    </row>
    <row r="150" spans="1:31" s="21" customFormat="1">
      <c r="A150" s="21" t="s">
        <v>642</v>
      </c>
      <c r="B150" s="21">
        <f t="shared" si="8"/>
        <v>1</v>
      </c>
      <c r="C150" s="21" t="str">
        <f t="shared" si="9"/>
        <v>B</v>
      </c>
      <c r="D150" s="17" t="e">
        <f>IF($C150="B",VLOOKUP($A150,Bat!$A$4:$BD$2323,D$1,FALSE),VLOOKUP($A150,Pit!$A$4:$AZ$2261,D$2,FALSE))</f>
        <v>#N/A</v>
      </c>
      <c r="E150" s="16" t="str">
        <f>IF($C150="B",VLOOKUP($A150,Bat!$A$4:$BD$2323,E$1,FALSE),VLOOKUP($A150,Pit!$A$4:$AZ$2261,E$2,FALSE))</f>
        <v>C</v>
      </c>
      <c r="F150" s="16" t="str">
        <f>IF($C150="B",VLOOKUP($A150,Bat!$A$4:$BD$2323,F$1,FALSE),VLOOKUP($A150,Pit!$A$4:$AZ$2261,F$2,FALSE))</f>
        <v>León Ortega</v>
      </c>
      <c r="G150" s="16">
        <f>IF($C150="B",VLOOKUP($A150,Bat!$A$4:$BD$2323,G$1,FALSE),VLOOKUP($A150,Pit!$A$4:$AZ$2261,G$2,FALSE))</f>
        <v>18</v>
      </c>
      <c r="H150" s="16" t="str">
        <f>IF($C150="B",VLOOKUP($A150,Bat!$A$4:$BD$2323,H$1,FALSE),VLOOKUP($A150,Pit!$A$4:$AZ$2261,H$2,FALSE))</f>
        <v>S</v>
      </c>
      <c r="I150" s="16" t="str">
        <f>IF($C150="B",VLOOKUP($A150,Bat!$A$4:$BD$2323,I$1,FALSE),VLOOKUP($A150,Pit!$A$4:$AZ$2261,I$2,FALSE))</f>
        <v>R</v>
      </c>
      <c r="J150" s="16" t="str">
        <f>IF($C150="B",VLOOKUP($A150,Bat!$A$4:$BD$2323,J$1,FALSE),VLOOKUP($A150,Pit!$A$4:$AZ$2261,J$2,FALSE))</f>
        <v>Very Low</v>
      </c>
      <c r="K150" s="17" t="str">
        <f>IF($C150="B",VLOOKUP($A150,Bat!$A$4:$BD$2323,K$1,FALSE),VLOOKUP($A150,Pit!$A$4:$AZ$2261,K$2,FALSE))</f>
        <v>High</v>
      </c>
      <c r="L150" s="16">
        <f>IF($C150="B",VLOOKUP($A150,Bat!$A$4:$BD$2323,L$1,FALSE),VLOOKUP($A150,Pit!$A$4:$AZ$2261,L$2,FALSE))</f>
        <v>4</v>
      </c>
      <c r="M150" s="16">
        <f>IF($C150="B",VLOOKUP($A150,Bat!$A$4:$BD$2323,M$1,FALSE),VLOOKUP($A150,Pit!$A$4:$AZ$2261,M$2,FALSE))</f>
        <v>5</v>
      </c>
      <c r="N150" s="16">
        <f>IF($C150="B",VLOOKUP($A150,Bat!$A$4:$BD$2323,N$1,FALSE),VLOOKUP($A150,Pit!$A$4:$AZ$2261,N$2,FALSE))</f>
        <v>4</v>
      </c>
      <c r="O150" s="16">
        <f>IF($C150="B",VLOOKUP($A150,Bat!$A$4:$BD$2323,O$1,FALSE),VLOOKUP($A150,Pit!$A$4:$AZ$2261,O$2,FALSE))</f>
        <v>6</v>
      </c>
      <c r="P150" s="17">
        <f>IF($C150="B",VLOOKUP($A150,Bat!$A$4:$BD$2323,P$1,FALSE),VLOOKUP($A150,Pit!$A$4:$AZ$2261,P$2,FALSE))</f>
        <v>6</v>
      </c>
      <c r="Q150" s="18">
        <f>IF($C150="B",VLOOKUP($A150,Bat!$A$4:$BD$2323,Q$1,FALSE),VLOOKUP($A150,Pit!$A$4:$AZ$2261,Q$2,FALSE))</f>
        <v>9.2160969665407606</v>
      </c>
      <c r="R150" s="19">
        <f>IF($C150="B",VLOOKUP($A150,Bat!$A$4:$BD$2323,R$1,FALSE),VLOOKUP($A150,Pit!$A$4:$AZ$2261,R$2,FALSE))</f>
        <v>-0.20149658619660185</v>
      </c>
      <c r="S150" s="20" t="str">
        <f>IF($C150="B",VLOOKUP($A150,Bat!$A$4:$BD$2323,S$1,FALSE),VLOOKUP($A150,Pit!$A$4:$AZ$2261,S$2,FALSE))</f>
        <v>Slot</v>
      </c>
      <c r="T150" s="17" t="str">
        <f>IF(S150="Slot","",VLOOKUP(IF($C150="B",VLOOKUP($A150,Bat!$A$4:$AT$2323,T$1,FALSE),VLOOKUP($A150,Pit!$A$4:$BD$2261,T$2,FALSE)),COND!$A$34:$B$40,2,FALSE))</f>
        <v/>
      </c>
      <c r="U150" s="21" t="str">
        <f>IF($C150="B",VLOOKUP($A150,Bat!$A$4:$AR$1287,44,FALSE),VLOOKUP($A150,Pit!$A$4:$BB$1239,54,FALSE))</f>
        <v/>
      </c>
      <c r="W150" s="21" t="str">
        <f t="shared" si="10"/>
        <v/>
      </c>
      <c r="X150" s="22" t="e">
        <f t="shared" si="11"/>
        <v>#N/A</v>
      </c>
      <c r="Y150" s="16" t="str">
        <f>IF(ISERROR(VLOOKUP($E150&amp;$F150,Results!$A$2:$G$413,Y$1,FALSE)),"",VLOOKUP($E150&amp;$F150,Results!$A$2:$G$413,Y$1,FALSE))</f>
        <v/>
      </c>
      <c r="Z150" s="16" t="str">
        <f>IF(ISERROR(VLOOKUP($E150&amp;$F150,Results!$A$2:$G$413,Z$1,FALSE)),"",VLOOKUP($E150&amp;$F150,Results!$A$2:$G$413,Z$1,FALSE))</f>
        <v/>
      </c>
      <c r="AA150" s="16" t="str">
        <f>IF(ISERROR(VLOOKUP($E150&amp;$F150,Results!$A$2:$G$413,AA$1,FALSE)),"",VLOOKUP($E150&amp;$F150,Results!$A$2:$G$413,AA$1,FALSE))</f>
        <v/>
      </c>
      <c r="AB150" s="16" t="str">
        <f>IF(ISERROR(VLOOKUP($E150&amp;$F150,Results!$A$2:$G$413,AB$1,FALSE)),"",VLOOKUP($E150&amp;$F150,Results!$A$2:$G$413,AB$1,FALSE))</f>
        <v/>
      </c>
      <c r="AC150" s="16"/>
      <c r="AD150" s="20" t="str">
        <f>IF(ISERROR(VLOOKUP($AB150&amp;"-"&amp;$F150,Bonuses!$B$1:$G$1000,4,FALSE)),"",INT(VLOOKUP($AB150&amp;"-"&amp;$F150,Bonuses!$B$1:$G$1000,4,FALSE)))</f>
        <v/>
      </c>
      <c r="AE150" s="16" t="str">
        <f>IF(ISERROR(VLOOKUP($AB150&amp;"-"&amp;$F150,Bonuses!$B$1:$G$1000,5,FALSE)),"",IF(VLOOKUP($AB150&amp;"-"&amp;$F150,Bonuses!$B$1:$G$1000,5,FALSE)="","",VLOOKUP($AB150&amp;"-"&amp;$F150,Bonuses!$B$1:$G$1000,6,FALSE)&amp;" yrs, "&amp;VLOOKUP($AB150&amp;"-"&amp;$F150,Bonuses!$B$1:$G$1000,5,FALSE)))</f>
        <v/>
      </c>
    </row>
    <row r="151" spans="1:31" s="21" customFormat="1">
      <c r="A151" s="21" t="s">
        <v>638</v>
      </c>
      <c r="B151" s="21">
        <f t="shared" si="8"/>
        <v>1</v>
      </c>
      <c r="C151" s="21" t="str">
        <f t="shared" si="9"/>
        <v>B</v>
      </c>
      <c r="D151" s="17" t="e">
        <f>IF($C151="B",VLOOKUP($A151,Bat!$A$4:$BD$2323,D$1,FALSE),VLOOKUP($A151,Pit!$A$4:$AZ$2261,D$2,FALSE))</f>
        <v>#N/A</v>
      </c>
      <c r="E151" s="16" t="str">
        <f>IF($C151="B",VLOOKUP($A151,Bat!$A$4:$BD$2323,E$1,FALSE),VLOOKUP($A151,Pit!$A$4:$AZ$2261,E$2,FALSE))</f>
        <v>C</v>
      </c>
      <c r="F151" s="16" t="str">
        <f>IF($C151="B",VLOOKUP($A151,Bat!$A$4:$BD$2323,F$1,FALSE),VLOOKUP($A151,Pit!$A$4:$AZ$2261,F$2,FALSE))</f>
        <v>Jesús López</v>
      </c>
      <c r="G151" s="16">
        <f>IF($C151="B",VLOOKUP($A151,Bat!$A$4:$BD$2323,G$1,FALSE),VLOOKUP($A151,Pit!$A$4:$AZ$2261,G$2,FALSE))</f>
        <v>22</v>
      </c>
      <c r="H151" s="16" t="str">
        <f>IF($C151="B",VLOOKUP($A151,Bat!$A$4:$BD$2323,H$1,FALSE),VLOOKUP($A151,Pit!$A$4:$AZ$2261,H$2,FALSE))</f>
        <v>R</v>
      </c>
      <c r="I151" s="16" t="str">
        <f>IF($C151="B",VLOOKUP($A151,Bat!$A$4:$BD$2323,I$1,FALSE),VLOOKUP($A151,Pit!$A$4:$AZ$2261,I$2,FALSE))</f>
        <v>R</v>
      </c>
      <c r="J151" s="16" t="str">
        <f>IF($C151="B",VLOOKUP($A151,Bat!$A$4:$BD$2323,J$1,FALSE),VLOOKUP($A151,Pit!$A$4:$AZ$2261,J$2,FALSE))</f>
        <v>Normal</v>
      </c>
      <c r="K151" s="17" t="str">
        <f>IF($C151="B",VLOOKUP($A151,Bat!$A$4:$BD$2323,K$1,FALSE),VLOOKUP($A151,Pit!$A$4:$AZ$2261,K$2,FALSE))</f>
        <v>Normal</v>
      </c>
      <c r="L151" s="16">
        <f>IF($C151="B",VLOOKUP($A151,Bat!$A$4:$BD$2323,L$1,FALSE),VLOOKUP($A151,Pit!$A$4:$AZ$2261,L$2,FALSE))</f>
        <v>4</v>
      </c>
      <c r="M151" s="16">
        <f>IF($C151="B",VLOOKUP($A151,Bat!$A$4:$BD$2323,M$1,FALSE),VLOOKUP($A151,Pit!$A$4:$AZ$2261,M$2,FALSE))</f>
        <v>9</v>
      </c>
      <c r="N151" s="16">
        <f>IF($C151="B",VLOOKUP($A151,Bat!$A$4:$BD$2323,N$1,FALSE),VLOOKUP($A151,Pit!$A$4:$AZ$2261,N$2,FALSE))</f>
        <v>3</v>
      </c>
      <c r="O151" s="16">
        <f>IF($C151="B",VLOOKUP($A151,Bat!$A$4:$BD$2323,O$1,FALSE),VLOOKUP($A151,Pit!$A$4:$AZ$2261,O$2,FALSE))</f>
        <v>4</v>
      </c>
      <c r="P151" s="17">
        <f>IF($C151="B",VLOOKUP($A151,Bat!$A$4:$BD$2323,P$1,FALSE),VLOOKUP($A151,Pit!$A$4:$AZ$2261,P$2,FALSE))</f>
        <v>3</v>
      </c>
      <c r="Q151" s="18">
        <f>IF($C151="B",VLOOKUP($A151,Bat!$A$4:$BD$2323,Q$1,FALSE),VLOOKUP($A151,Pit!$A$4:$AZ$2261,Q$2,FALSE))</f>
        <v>9.1211955456292308</v>
      </c>
      <c r="R151" s="19">
        <f>IF($C151="B",VLOOKUP($A151,Bat!$A$4:$BD$2323,R$1,FALSE),VLOOKUP($A151,Pit!$A$4:$AZ$2261,R$2,FALSE))</f>
        <v>-0.21468063825391279</v>
      </c>
      <c r="S151" s="20" t="str">
        <f>IF($C151="B",VLOOKUP($A151,Bat!$A$4:$BD$2323,S$1,FALSE),VLOOKUP($A151,Pit!$A$4:$AZ$2261,S$2,FALSE))</f>
        <v>Slot</v>
      </c>
      <c r="T151" s="17" t="str">
        <f>IF(S151="Slot","",VLOOKUP(IF($C151="B",VLOOKUP($A151,Bat!$A$4:$AT$2323,T$1,FALSE),VLOOKUP($A151,Pit!$A$4:$BD$2261,T$2,FALSE)),COND!$A$34:$B$40,2,FALSE))</f>
        <v/>
      </c>
      <c r="U151" s="21" t="str">
        <f>IF($C151="B",VLOOKUP($A151,Bat!$A$4:$AR$1287,44,FALSE),VLOOKUP($A151,Pit!$A$4:$BB$1239,54,FALSE))</f>
        <v/>
      </c>
      <c r="W151" s="21" t="str">
        <f t="shared" si="10"/>
        <v/>
      </c>
      <c r="X151" s="22" t="e">
        <f t="shared" si="11"/>
        <v>#N/A</v>
      </c>
      <c r="Y151" s="16" t="str">
        <f>IF(ISERROR(VLOOKUP($E151&amp;$F151,Results!$A$2:$G$413,Y$1,FALSE)),"",VLOOKUP($E151&amp;$F151,Results!$A$2:$G$413,Y$1,FALSE))</f>
        <v/>
      </c>
      <c r="Z151" s="16" t="str">
        <f>IF(ISERROR(VLOOKUP($E151&amp;$F151,Results!$A$2:$G$413,Z$1,FALSE)),"",VLOOKUP($E151&amp;$F151,Results!$A$2:$G$413,Z$1,FALSE))</f>
        <v/>
      </c>
      <c r="AA151" s="16" t="str">
        <f>IF(ISERROR(VLOOKUP($E151&amp;$F151,Results!$A$2:$G$413,AA$1,FALSE)),"",VLOOKUP($E151&amp;$F151,Results!$A$2:$G$413,AA$1,FALSE))</f>
        <v/>
      </c>
      <c r="AB151" s="16" t="str">
        <f>IF(ISERROR(VLOOKUP($E151&amp;$F151,Results!$A$2:$G$413,AB$1,FALSE)),"",VLOOKUP($E151&amp;$F151,Results!$A$2:$G$413,AB$1,FALSE))</f>
        <v/>
      </c>
      <c r="AC151" s="16"/>
      <c r="AD151" s="20" t="str">
        <f>IF(ISERROR(VLOOKUP($AB151&amp;"-"&amp;$F151,Bonuses!$B$1:$G$1000,4,FALSE)),"",INT(VLOOKUP($AB151&amp;"-"&amp;$F151,Bonuses!$B$1:$G$1000,4,FALSE)))</f>
        <v/>
      </c>
      <c r="AE151" s="16" t="str">
        <f>IF(ISERROR(VLOOKUP($AB151&amp;"-"&amp;$F151,Bonuses!$B$1:$G$1000,5,FALSE)),"",IF(VLOOKUP($AB151&amp;"-"&amp;$F151,Bonuses!$B$1:$G$1000,5,FALSE)="","",VLOOKUP($AB151&amp;"-"&amp;$F151,Bonuses!$B$1:$G$1000,6,FALSE)&amp;" yrs, "&amp;VLOOKUP($AB151&amp;"-"&amp;$F151,Bonuses!$B$1:$G$1000,5,FALSE)))</f>
        <v/>
      </c>
    </row>
    <row r="152" spans="1:31" s="21" customFormat="1">
      <c r="A152" s="21" t="s">
        <v>839</v>
      </c>
      <c r="B152" s="21">
        <f t="shared" si="8"/>
        <v>1</v>
      </c>
      <c r="C152" s="21" t="str">
        <f t="shared" si="9"/>
        <v>B</v>
      </c>
      <c r="D152" s="17">
        <f>IF($C152="B",VLOOKUP($A152,Bat!$A$4:$BD$2323,D$1,FALSE),VLOOKUP($A152,Pit!$A$4:$AZ$2261,D$2,FALSE))</f>
        <v>383</v>
      </c>
      <c r="E152" s="16" t="str">
        <f>IF($C152="B",VLOOKUP($A152,Bat!$A$4:$BD$2323,E$1,FALSE),VLOOKUP($A152,Pit!$A$4:$AZ$2261,E$2,FALSE))</f>
        <v>LF</v>
      </c>
      <c r="F152" s="16" t="str">
        <f>IF($C152="B",VLOOKUP($A152,Bat!$A$4:$BD$2323,F$1,FALSE),VLOOKUP($A152,Pit!$A$4:$AZ$2261,F$2,FALSE))</f>
        <v>Dan Hartwig</v>
      </c>
      <c r="G152" s="16">
        <f>IF($C152="B",VLOOKUP($A152,Bat!$A$4:$BD$2323,G$1,FALSE),VLOOKUP($A152,Pit!$A$4:$AZ$2261,G$2,FALSE))</f>
        <v>18</v>
      </c>
      <c r="H152" s="16" t="str">
        <f>IF($C152="B",VLOOKUP($A152,Bat!$A$4:$BD$2323,H$1,FALSE),VLOOKUP($A152,Pit!$A$4:$AZ$2261,H$2,FALSE))</f>
        <v>L</v>
      </c>
      <c r="I152" s="16" t="str">
        <f>IF($C152="B",VLOOKUP($A152,Bat!$A$4:$BD$2323,I$1,FALSE),VLOOKUP($A152,Pit!$A$4:$AZ$2261,I$2,FALSE))</f>
        <v>L</v>
      </c>
      <c r="J152" s="16" t="str">
        <f>IF($C152="B",VLOOKUP($A152,Bat!$A$4:$BD$2323,J$1,FALSE),VLOOKUP($A152,Pit!$A$4:$AZ$2261,J$2,FALSE))</f>
        <v>Low</v>
      </c>
      <c r="K152" s="17" t="str">
        <f>IF($C152="B",VLOOKUP($A152,Bat!$A$4:$BD$2323,K$1,FALSE),VLOOKUP($A152,Pit!$A$4:$AZ$2261,K$2,FALSE))</f>
        <v>Low</v>
      </c>
      <c r="L152" s="16">
        <f>IF($C152="B",VLOOKUP($A152,Bat!$A$4:$BD$2323,L$1,FALSE),VLOOKUP($A152,Pit!$A$4:$AZ$2261,L$2,FALSE))</f>
        <v>5</v>
      </c>
      <c r="M152" s="16">
        <f>IF($C152="B",VLOOKUP($A152,Bat!$A$4:$BD$2323,M$1,FALSE),VLOOKUP($A152,Pit!$A$4:$AZ$2261,M$2,FALSE))</f>
        <v>4</v>
      </c>
      <c r="N152" s="16">
        <f>IF($C152="B",VLOOKUP($A152,Bat!$A$4:$BD$2323,N$1,FALSE),VLOOKUP($A152,Pit!$A$4:$AZ$2261,N$2,FALSE))</f>
        <v>2</v>
      </c>
      <c r="O152" s="16">
        <f>IF($C152="B",VLOOKUP($A152,Bat!$A$4:$BD$2323,O$1,FALSE),VLOOKUP($A152,Pit!$A$4:$AZ$2261,O$2,FALSE))</f>
        <v>4</v>
      </c>
      <c r="P152" s="17">
        <f>IF($C152="B",VLOOKUP($A152,Bat!$A$4:$BD$2323,P$1,FALSE),VLOOKUP($A152,Pit!$A$4:$AZ$2261,P$2,FALSE))</f>
        <v>5</v>
      </c>
      <c r="Q152" s="18">
        <f>IF($C152="B",VLOOKUP($A152,Bat!$A$4:$BD$2323,Q$1,FALSE),VLOOKUP($A152,Pit!$A$4:$AZ$2261,Q$2,FALSE))</f>
        <v>9.0524532989017032</v>
      </c>
      <c r="R152" s="19">
        <f>IF($C152="B",VLOOKUP($A152,Bat!$A$4:$BD$2323,R$1,FALSE),VLOOKUP($A152,Pit!$A$4:$AZ$2261,R$2,FALSE))</f>
        <v>-0.22423056227704327</v>
      </c>
      <c r="S152" s="20" t="str">
        <f>IF($C152="B",VLOOKUP($A152,Bat!$A$4:$BD$2323,S$1,FALSE),VLOOKUP($A152,Pit!$A$4:$AZ$2261,S$2,FALSE))</f>
        <v>Slot</v>
      </c>
      <c r="T152" s="17" t="str">
        <f>IF(S152="Slot","",VLOOKUP(IF($C152="B",VLOOKUP($A152,Bat!$A$4:$AT$2323,T$1,FALSE),VLOOKUP($A152,Pit!$A$4:$BD$2261,T$2,FALSE)),COND!$A$34:$B$40,2,FALSE))</f>
        <v/>
      </c>
      <c r="U152" s="21" t="str">
        <f>IF($C152="B",VLOOKUP($A152,Bat!$A$4:$AR$1287,44,FALSE),VLOOKUP($A152,Pit!$A$4:$BB$1239,54,FALSE))</f>
        <v/>
      </c>
      <c r="W152" s="21" t="str">
        <f t="shared" si="10"/>
        <v/>
      </c>
      <c r="X152" s="22" t="e">
        <f t="shared" si="11"/>
        <v>#N/A</v>
      </c>
      <c r="Y152" s="16" t="str">
        <f>IF(ISERROR(VLOOKUP($E152&amp;$F152,Results!$A$2:$G$413,Y$1,FALSE)),"",VLOOKUP($E152&amp;$F152,Results!$A$2:$G$413,Y$1,FALSE))</f>
        <v/>
      </c>
      <c r="Z152" s="16" t="str">
        <f>IF(ISERROR(VLOOKUP($E152&amp;$F152,Results!$A$2:$G$413,Z$1,FALSE)),"",VLOOKUP($E152&amp;$F152,Results!$A$2:$G$413,Z$1,FALSE))</f>
        <v/>
      </c>
      <c r="AA152" s="16" t="str">
        <f>IF(ISERROR(VLOOKUP($E152&amp;$F152,Results!$A$2:$G$413,AA$1,FALSE)),"",VLOOKUP($E152&amp;$F152,Results!$A$2:$G$413,AA$1,FALSE))</f>
        <v/>
      </c>
      <c r="AB152" s="16" t="str">
        <f>IF(ISERROR(VLOOKUP($E152&amp;$F152,Results!$A$2:$G$413,AB$1,FALSE)),"",VLOOKUP($E152&amp;$F152,Results!$A$2:$G$413,AB$1,FALSE))</f>
        <v/>
      </c>
      <c r="AC152" s="16"/>
      <c r="AD152" s="20" t="str">
        <f>IF(ISERROR(VLOOKUP($AB152&amp;"-"&amp;$F152,Bonuses!$B$1:$G$1000,4,FALSE)),"",INT(VLOOKUP($AB152&amp;"-"&amp;$F152,Bonuses!$B$1:$G$1000,4,FALSE)))</f>
        <v/>
      </c>
      <c r="AE152" s="16" t="str">
        <f>IF(ISERROR(VLOOKUP($AB152&amp;"-"&amp;$F152,Bonuses!$B$1:$G$1000,5,FALSE)),"",IF(VLOOKUP($AB152&amp;"-"&amp;$F152,Bonuses!$B$1:$G$1000,5,FALSE)="","",VLOOKUP($AB152&amp;"-"&amp;$F152,Bonuses!$B$1:$G$1000,6,FALSE)&amp;" yrs, "&amp;VLOOKUP($AB152&amp;"-"&amp;$F152,Bonuses!$B$1:$G$1000,5,FALSE)))</f>
        <v/>
      </c>
    </row>
    <row r="153" spans="1:31" s="21" customFormat="1">
      <c r="A153" s="21" t="s">
        <v>842</v>
      </c>
      <c r="B153" s="21">
        <f t="shared" si="8"/>
        <v>1</v>
      </c>
      <c r="C153" s="21" t="str">
        <f t="shared" si="9"/>
        <v>B</v>
      </c>
      <c r="D153" s="17">
        <f>IF($C153="B",VLOOKUP($A153,Bat!$A$4:$BD$2323,D$1,FALSE),VLOOKUP($A153,Pit!$A$4:$AZ$2261,D$2,FALSE))</f>
        <v>5650</v>
      </c>
      <c r="E153" s="16" t="str">
        <f>IF($C153="B",VLOOKUP($A153,Bat!$A$4:$BD$2323,E$1,FALSE),VLOOKUP($A153,Pit!$A$4:$AZ$2261,E$2,FALSE))</f>
        <v>3B</v>
      </c>
      <c r="F153" s="16" t="str">
        <f>IF($C153="B",VLOOKUP($A153,Bat!$A$4:$BD$2323,F$1,FALSE),VLOOKUP($A153,Pit!$A$4:$AZ$2261,F$2,FALSE))</f>
        <v>Jon Woods</v>
      </c>
      <c r="G153" s="16">
        <f>IF($C153="B",VLOOKUP($A153,Bat!$A$4:$BD$2323,G$1,FALSE),VLOOKUP($A153,Pit!$A$4:$AZ$2261,G$2,FALSE))</f>
        <v>21</v>
      </c>
      <c r="H153" s="16" t="str">
        <f>IF($C153="B",VLOOKUP($A153,Bat!$A$4:$BD$2323,H$1,FALSE),VLOOKUP($A153,Pit!$A$4:$AZ$2261,H$2,FALSE))</f>
        <v>S</v>
      </c>
      <c r="I153" s="16" t="str">
        <f>IF($C153="B",VLOOKUP($A153,Bat!$A$4:$BD$2323,I$1,FALSE),VLOOKUP($A153,Pit!$A$4:$AZ$2261,I$2,FALSE))</f>
        <v>R</v>
      </c>
      <c r="J153" s="16" t="str">
        <f>IF($C153="B",VLOOKUP($A153,Bat!$A$4:$BD$2323,J$1,FALSE),VLOOKUP($A153,Pit!$A$4:$AZ$2261,J$2,FALSE))</f>
        <v>Very Low</v>
      </c>
      <c r="K153" s="17" t="str">
        <f>IF($C153="B",VLOOKUP($A153,Bat!$A$4:$BD$2323,K$1,FALSE),VLOOKUP($A153,Pit!$A$4:$AZ$2261,K$2,FALSE))</f>
        <v>Very Low</v>
      </c>
      <c r="L153" s="16">
        <f>IF($C153="B",VLOOKUP($A153,Bat!$A$4:$BD$2323,L$1,FALSE),VLOOKUP($A153,Pit!$A$4:$AZ$2261,L$2,FALSE))</f>
        <v>5</v>
      </c>
      <c r="M153" s="16">
        <f>IF($C153="B",VLOOKUP($A153,Bat!$A$4:$BD$2323,M$1,FALSE),VLOOKUP($A153,Pit!$A$4:$AZ$2261,M$2,FALSE))</f>
        <v>5</v>
      </c>
      <c r="N153" s="16">
        <f>IF($C153="B",VLOOKUP($A153,Bat!$A$4:$BD$2323,N$1,FALSE),VLOOKUP($A153,Pit!$A$4:$AZ$2261,N$2,FALSE))</f>
        <v>2</v>
      </c>
      <c r="O153" s="16">
        <f>IF($C153="B",VLOOKUP($A153,Bat!$A$4:$BD$2323,O$1,FALSE),VLOOKUP($A153,Pit!$A$4:$AZ$2261,O$2,FALSE))</f>
        <v>4</v>
      </c>
      <c r="P153" s="17">
        <f>IF($C153="B",VLOOKUP($A153,Bat!$A$4:$BD$2323,P$1,FALSE),VLOOKUP($A153,Pit!$A$4:$AZ$2261,P$2,FALSE))</f>
        <v>4</v>
      </c>
      <c r="Q153" s="18">
        <f>IF($C153="B",VLOOKUP($A153,Bat!$A$4:$BD$2323,Q$1,FALSE),VLOOKUP($A153,Pit!$A$4:$AZ$2261,Q$2,FALSE))</f>
        <v>9.0138980472893095</v>
      </c>
      <c r="R153" s="19">
        <f>IF($C153="B",VLOOKUP($A153,Bat!$A$4:$BD$2323,R$1,FALSE),VLOOKUP($A153,Pit!$A$4:$AZ$2261,R$2,FALSE))</f>
        <v>-0.2295867986690609</v>
      </c>
      <c r="S153" s="20" t="str">
        <f>IF($C153="B",VLOOKUP($A153,Bat!$A$4:$BD$2323,S$1,FALSE),VLOOKUP($A153,Pit!$A$4:$AZ$2261,S$2,FALSE))</f>
        <v>Slot</v>
      </c>
      <c r="T153" s="17" t="str">
        <f>IF(S153="Slot","",VLOOKUP(IF($C153="B",VLOOKUP($A153,Bat!$A$4:$AT$2323,T$1,FALSE),VLOOKUP($A153,Pit!$A$4:$BD$2261,T$2,FALSE)),COND!$A$34:$B$40,2,FALSE))</f>
        <v/>
      </c>
      <c r="U153" s="21" t="str">
        <f>IF($C153="B",VLOOKUP($A153,Bat!$A$4:$AR$1287,44,FALSE),VLOOKUP($A153,Pit!$A$4:$BB$1239,54,FALSE))</f>
        <v/>
      </c>
      <c r="W153" s="21" t="str">
        <f t="shared" si="10"/>
        <v/>
      </c>
      <c r="X153" s="22" t="e">
        <f t="shared" si="11"/>
        <v>#N/A</v>
      </c>
      <c r="Y153" s="16" t="str">
        <f>IF(ISERROR(VLOOKUP($E153&amp;$F153,Results!$A$2:$G$413,Y$1,FALSE)),"",VLOOKUP($E153&amp;$F153,Results!$A$2:$G$413,Y$1,FALSE))</f>
        <v/>
      </c>
      <c r="Z153" s="16" t="str">
        <f>IF(ISERROR(VLOOKUP($E153&amp;$F153,Results!$A$2:$G$413,Z$1,FALSE)),"",VLOOKUP($E153&amp;$F153,Results!$A$2:$G$413,Z$1,FALSE))</f>
        <v/>
      </c>
      <c r="AA153" s="16" t="str">
        <f>IF(ISERROR(VLOOKUP($E153&amp;$F153,Results!$A$2:$G$413,AA$1,FALSE)),"",VLOOKUP($E153&amp;$F153,Results!$A$2:$G$413,AA$1,FALSE))</f>
        <v/>
      </c>
      <c r="AB153" s="16" t="str">
        <f>IF(ISERROR(VLOOKUP($E153&amp;$F153,Results!$A$2:$G$413,AB$1,FALSE)),"",VLOOKUP($E153&amp;$F153,Results!$A$2:$G$413,AB$1,FALSE))</f>
        <v/>
      </c>
      <c r="AC153" s="16"/>
      <c r="AD153" s="20" t="str">
        <f>IF(ISERROR(VLOOKUP($AB153&amp;"-"&amp;$F153,Bonuses!$B$1:$G$1000,4,FALSE)),"",INT(VLOOKUP($AB153&amp;"-"&amp;$F153,Bonuses!$B$1:$G$1000,4,FALSE)))</f>
        <v/>
      </c>
      <c r="AE153" s="16" t="str">
        <f>IF(ISERROR(VLOOKUP($AB153&amp;"-"&amp;$F153,Bonuses!$B$1:$G$1000,5,FALSE)),"",IF(VLOOKUP($AB153&amp;"-"&amp;$F153,Bonuses!$B$1:$G$1000,5,FALSE)="","",VLOOKUP($AB153&amp;"-"&amp;$F153,Bonuses!$B$1:$G$1000,6,FALSE)&amp;" yrs, "&amp;VLOOKUP($AB153&amp;"-"&amp;$F153,Bonuses!$B$1:$G$1000,5,FALSE)))</f>
        <v/>
      </c>
    </row>
    <row r="154" spans="1:31" s="21" customFormat="1">
      <c r="A154" s="21" t="s">
        <v>820</v>
      </c>
      <c r="B154" s="21">
        <f t="shared" si="8"/>
        <v>1</v>
      </c>
      <c r="C154" s="21" t="str">
        <f t="shared" si="9"/>
        <v>B</v>
      </c>
      <c r="D154" s="17">
        <f>IF($C154="B",VLOOKUP($A154,Bat!$A$4:$BD$2323,D$1,FALSE),VLOOKUP($A154,Pit!$A$4:$AZ$2261,D$2,FALSE))</f>
        <v>3939</v>
      </c>
      <c r="E154" s="16" t="str">
        <f>IF($C154="B",VLOOKUP($A154,Bat!$A$4:$BD$2323,E$1,FALSE),VLOOKUP($A154,Pit!$A$4:$AZ$2261,E$2,FALSE))</f>
        <v>SS</v>
      </c>
      <c r="F154" s="16" t="str">
        <f>IF($C154="B",VLOOKUP($A154,Bat!$A$4:$BD$2323,F$1,FALSE),VLOOKUP($A154,Pit!$A$4:$AZ$2261,F$2,FALSE))</f>
        <v>Vicente Lorenzo</v>
      </c>
      <c r="G154" s="16">
        <f>IF($C154="B",VLOOKUP($A154,Bat!$A$4:$BD$2323,G$1,FALSE),VLOOKUP($A154,Pit!$A$4:$AZ$2261,G$2,FALSE))</f>
        <v>21</v>
      </c>
      <c r="H154" s="16" t="str">
        <f>IF($C154="B",VLOOKUP($A154,Bat!$A$4:$BD$2323,H$1,FALSE),VLOOKUP($A154,Pit!$A$4:$AZ$2261,H$2,FALSE))</f>
        <v>R</v>
      </c>
      <c r="I154" s="16" t="str">
        <f>IF($C154="B",VLOOKUP($A154,Bat!$A$4:$BD$2323,I$1,FALSE),VLOOKUP($A154,Pit!$A$4:$AZ$2261,I$2,FALSE))</f>
        <v>R</v>
      </c>
      <c r="J154" s="16" t="str">
        <f>IF($C154="B",VLOOKUP($A154,Bat!$A$4:$BD$2323,J$1,FALSE),VLOOKUP($A154,Pit!$A$4:$AZ$2261,J$2,FALSE))</f>
        <v>Normal</v>
      </c>
      <c r="K154" s="17" t="str">
        <f>IF($C154="B",VLOOKUP($A154,Bat!$A$4:$BD$2323,K$1,FALSE),VLOOKUP($A154,Pit!$A$4:$AZ$2261,K$2,FALSE))</f>
        <v>High</v>
      </c>
      <c r="L154" s="16">
        <f>IF($C154="B",VLOOKUP($A154,Bat!$A$4:$BD$2323,L$1,FALSE),VLOOKUP($A154,Pit!$A$4:$AZ$2261,L$2,FALSE))</f>
        <v>5</v>
      </c>
      <c r="M154" s="16">
        <f>IF($C154="B",VLOOKUP($A154,Bat!$A$4:$BD$2323,M$1,FALSE),VLOOKUP($A154,Pit!$A$4:$AZ$2261,M$2,FALSE))</f>
        <v>5</v>
      </c>
      <c r="N154" s="16">
        <f>IF($C154="B",VLOOKUP($A154,Bat!$A$4:$BD$2323,N$1,FALSE),VLOOKUP($A154,Pit!$A$4:$AZ$2261,N$2,FALSE))</f>
        <v>2</v>
      </c>
      <c r="O154" s="16">
        <f>IF($C154="B",VLOOKUP($A154,Bat!$A$4:$BD$2323,O$1,FALSE),VLOOKUP($A154,Pit!$A$4:$AZ$2261,O$2,FALSE))</f>
        <v>3</v>
      </c>
      <c r="P154" s="17">
        <f>IF($C154="B",VLOOKUP($A154,Bat!$A$4:$BD$2323,P$1,FALSE),VLOOKUP($A154,Pit!$A$4:$AZ$2261,P$2,FALSE))</f>
        <v>4</v>
      </c>
      <c r="Q154" s="18">
        <f>IF($C154="B",VLOOKUP($A154,Bat!$A$4:$BD$2323,Q$1,FALSE),VLOOKUP($A154,Pit!$A$4:$AZ$2261,Q$2,FALSE))</f>
        <v>8.9617458255067124</v>
      </c>
      <c r="R154" s="19">
        <f>IF($C154="B",VLOOKUP($A154,Bat!$A$4:$BD$2323,R$1,FALSE),VLOOKUP($A154,Pit!$A$4:$AZ$2261,R$2,FALSE))</f>
        <v>-0.23683197582533519</v>
      </c>
      <c r="S154" s="20" t="str">
        <f>IF($C154="B",VLOOKUP($A154,Bat!$A$4:$BD$2323,S$1,FALSE),VLOOKUP($A154,Pit!$A$4:$AZ$2261,S$2,FALSE))</f>
        <v>Slot</v>
      </c>
      <c r="T154" s="17" t="str">
        <f>IF(S154="Slot","",VLOOKUP(IF($C154="B",VLOOKUP($A154,Bat!$A$4:$AT$2323,T$1,FALSE),VLOOKUP($A154,Pit!$A$4:$BD$2261,T$2,FALSE)),COND!$A$34:$B$40,2,FALSE))</f>
        <v/>
      </c>
      <c r="U154" s="21" t="str">
        <f>IF($C154="B",VLOOKUP($A154,Bat!$A$4:$AR$1287,44,FALSE),VLOOKUP($A154,Pit!$A$4:$BB$1239,54,FALSE))</f>
        <v/>
      </c>
      <c r="W154" s="21" t="str">
        <f t="shared" si="10"/>
        <v/>
      </c>
      <c r="X154" s="22" t="e">
        <f t="shared" si="11"/>
        <v>#N/A</v>
      </c>
      <c r="Y154" s="16" t="str">
        <f>IF(ISERROR(VLOOKUP($E154&amp;$F154,Results!$A$2:$G$413,Y$1,FALSE)),"",VLOOKUP($E154&amp;$F154,Results!$A$2:$G$413,Y$1,FALSE))</f>
        <v/>
      </c>
      <c r="Z154" s="16" t="str">
        <f>IF(ISERROR(VLOOKUP($E154&amp;$F154,Results!$A$2:$G$413,Z$1,FALSE)),"",VLOOKUP($E154&amp;$F154,Results!$A$2:$G$413,Z$1,FALSE))</f>
        <v/>
      </c>
      <c r="AA154" s="16" t="str">
        <f>IF(ISERROR(VLOOKUP($E154&amp;$F154,Results!$A$2:$G$413,AA$1,FALSE)),"",VLOOKUP($E154&amp;$F154,Results!$A$2:$G$413,AA$1,FALSE))</f>
        <v/>
      </c>
      <c r="AB154" s="16" t="str">
        <f>IF(ISERROR(VLOOKUP($E154&amp;$F154,Results!$A$2:$G$413,AB$1,FALSE)),"",VLOOKUP($E154&amp;$F154,Results!$A$2:$G$413,AB$1,FALSE))</f>
        <v/>
      </c>
      <c r="AC154" s="16"/>
      <c r="AD154" s="20" t="str">
        <f>IF(ISERROR(VLOOKUP($AB154&amp;"-"&amp;$F154,Bonuses!$B$1:$G$1000,4,FALSE)),"",INT(VLOOKUP($AB154&amp;"-"&amp;$F154,Bonuses!$B$1:$G$1000,4,FALSE)))</f>
        <v/>
      </c>
      <c r="AE154" s="16" t="str">
        <f>IF(ISERROR(VLOOKUP($AB154&amp;"-"&amp;$F154,Bonuses!$B$1:$G$1000,5,FALSE)),"",IF(VLOOKUP($AB154&amp;"-"&amp;$F154,Bonuses!$B$1:$G$1000,5,FALSE)="","",VLOOKUP($AB154&amp;"-"&amp;$F154,Bonuses!$B$1:$G$1000,6,FALSE)&amp;" yrs, "&amp;VLOOKUP($AB154&amp;"-"&amp;$F154,Bonuses!$B$1:$G$1000,5,FALSE)))</f>
        <v/>
      </c>
    </row>
    <row r="155" spans="1:31" s="21" customFormat="1">
      <c r="A155" s="21" t="s">
        <v>644</v>
      </c>
      <c r="B155" s="21">
        <f t="shared" si="8"/>
        <v>1</v>
      </c>
      <c r="C155" s="21" t="str">
        <f t="shared" si="9"/>
        <v>B</v>
      </c>
      <c r="D155" s="17">
        <f>IF($C155="B",VLOOKUP($A155,Bat!$A$4:$BD$2323,D$1,FALSE),VLOOKUP($A155,Pit!$A$4:$AZ$2261,D$2,FALSE))</f>
        <v>6757</v>
      </c>
      <c r="E155" s="16" t="str">
        <f>IF($C155="B",VLOOKUP($A155,Bat!$A$4:$BD$2323,E$1,FALSE),VLOOKUP($A155,Pit!$A$4:$AZ$2261,E$2,FALSE))</f>
        <v>C</v>
      </c>
      <c r="F155" s="16" t="str">
        <f>IF($C155="B",VLOOKUP($A155,Bat!$A$4:$BD$2323,F$1,FALSE),VLOOKUP($A155,Pit!$A$4:$AZ$2261,F$2,FALSE))</f>
        <v>Anthony Leonard</v>
      </c>
      <c r="G155" s="16">
        <f>IF($C155="B",VLOOKUP($A155,Bat!$A$4:$BD$2323,G$1,FALSE),VLOOKUP($A155,Pit!$A$4:$AZ$2261,G$2,FALSE))</f>
        <v>21</v>
      </c>
      <c r="H155" s="16" t="str">
        <f>IF($C155="B",VLOOKUP($A155,Bat!$A$4:$BD$2323,H$1,FALSE),VLOOKUP($A155,Pit!$A$4:$AZ$2261,H$2,FALSE))</f>
        <v>R</v>
      </c>
      <c r="I155" s="16" t="str">
        <f>IF($C155="B",VLOOKUP($A155,Bat!$A$4:$BD$2323,I$1,FALSE),VLOOKUP($A155,Pit!$A$4:$AZ$2261,I$2,FALSE))</f>
        <v>R</v>
      </c>
      <c r="J155" s="16" t="str">
        <f>IF($C155="B",VLOOKUP($A155,Bat!$A$4:$BD$2323,J$1,FALSE),VLOOKUP($A155,Pit!$A$4:$AZ$2261,J$2,FALSE))</f>
        <v>Very Low</v>
      </c>
      <c r="K155" s="17" t="str">
        <f>IF($C155="B",VLOOKUP($A155,Bat!$A$4:$BD$2323,K$1,FALSE),VLOOKUP($A155,Pit!$A$4:$AZ$2261,K$2,FALSE))</f>
        <v>Low</v>
      </c>
      <c r="L155" s="16">
        <f>IF($C155="B",VLOOKUP($A155,Bat!$A$4:$BD$2323,L$1,FALSE),VLOOKUP($A155,Pit!$A$4:$AZ$2261,L$2,FALSE))</f>
        <v>5</v>
      </c>
      <c r="M155" s="16">
        <f>IF($C155="B",VLOOKUP($A155,Bat!$A$4:$BD$2323,M$1,FALSE),VLOOKUP($A155,Pit!$A$4:$AZ$2261,M$2,FALSE))</f>
        <v>5</v>
      </c>
      <c r="N155" s="16">
        <f>IF($C155="B",VLOOKUP($A155,Bat!$A$4:$BD$2323,N$1,FALSE),VLOOKUP($A155,Pit!$A$4:$AZ$2261,N$2,FALSE))</f>
        <v>2</v>
      </c>
      <c r="O155" s="16">
        <f>IF($C155="B",VLOOKUP($A155,Bat!$A$4:$BD$2323,O$1,FALSE),VLOOKUP($A155,Pit!$A$4:$AZ$2261,O$2,FALSE))</f>
        <v>4</v>
      </c>
      <c r="P155" s="17">
        <f>IF($C155="B",VLOOKUP($A155,Bat!$A$4:$BD$2323,P$1,FALSE),VLOOKUP($A155,Pit!$A$4:$AZ$2261,P$2,FALSE))</f>
        <v>4</v>
      </c>
      <c r="Q155" s="18">
        <f>IF($C155="B",VLOOKUP($A155,Bat!$A$4:$BD$2323,Q$1,FALSE),VLOOKUP($A155,Pit!$A$4:$AZ$2261,Q$2,FALSE))</f>
        <v>8.9222041966917018</v>
      </c>
      <c r="R155" s="19">
        <f>IF($C155="B",VLOOKUP($A155,Bat!$A$4:$BD$2323,R$1,FALSE),VLOOKUP($A155,Pit!$A$4:$AZ$2261,R$2,FALSE))</f>
        <v>-0.24232524334146602</v>
      </c>
      <c r="S155" s="20" t="str">
        <f>IF($C155="B",VLOOKUP($A155,Bat!$A$4:$BD$2323,S$1,FALSE),VLOOKUP($A155,Pit!$A$4:$AZ$2261,S$2,FALSE))</f>
        <v>Slot</v>
      </c>
      <c r="T155" s="17" t="str">
        <f>IF(S155="Slot","",VLOOKUP(IF($C155="B",VLOOKUP($A155,Bat!$A$4:$AT$2323,T$1,FALSE),VLOOKUP($A155,Pit!$A$4:$BD$2261,T$2,FALSE)),COND!$A$34:$B$40,2,FALSE))</f>
        <v/>
      </c>
      <c r="U155" s="21" t="str">
        <f>IF($C155="B",VLOOKUP($A155,Bat!$A$4:$AR$1287,44,FALSE),VLOOKUP($A155,Pit!$A$4:$BB$1239,54,FALSE))</f>
        <v/>
      </c>
      <c r="W155" s="21" t="str">
        <f t="shared" si="10"/>
        <v/>
      </c>
      <c r="X155" s="22" t="e">
        <f t="shared" si="11"/>
        <v>#N/A</v>
      </c>
      <c r="Y155" s="16" t="str">
        <f>IF(ISERROR(VLOOKUP($E155&amp;$F155,Results!$A$2:$G$413,Y$1,FALSE)),"",VLOOKUP($E155&amp;$F155,Results!$A$2:$G$413,Y$1,FALSE))</f>
        <v/>
      </c>
      <c r="Z155" s="16" t="str">
        <f>IF(ISERROR(VLOOKUP($E155&amp;$F155,Results!$A$2:$G$413,Z$1,FALSE)),"",VLOOKUP($E155&amp;$F155,Results!$A$2:$G$413,Z$1,FALSE))</f>
        <v/>
      </c>
      <c r="AA155" s="16" t="str">
        <f>IF(ISERROR(VLOOKUP($E155&amp;$F155,Results!$A$2:$G$413,AA$1,FALSE)),"",VLOOKUP($E155&amp;$F155,Results!$A$2:$G$413,AA$1,FALSE))</f>
        <v/>
      </c>
      <c r="AB155" s="16" t="str">
        <f>IF(ISERROR(VLOOKUP($E155&amp;$F155,Results!$A$2:$G$413,AB$1,FALSE)),"",VLOOKUP($E155&amp;$F155,Results!$A$2:$G$413,AB$1,FALSE))</f>
        <v/>
      </c>
      <c r="AC155" s="16"/>
      <c r="AD155" s="20" t="str">
        <f>IF(ISERROR(VLOOKUP($AB155&amp;"-"&amp;$F155,Bonuses!$B$1:$G$1000,4,FALSE)),"",INT(VLOOKUP($AB155&amp;"-"&amp;$F155,Bonuses!$B$1:$G$1000,4,FALSE)))</f>
        <v/>
      </c>
      <c r="AE155" s="16" t="str">
        <f>IF(ISERROR(VLOOKUP($AB155&amp;"-"&amp;$F155,Bonuses!$B$1:$G$1000,5,FALSE)),"",IF(VLOOKUP($AB155&amp;"-"&amp;$F155,Bonuses!$B$1:$G$1000,5,FALSE)="","",VLOOKUP($AB155&amp;"-"&amp;$F155,Bonuses!$B$1:$G$1000,6,FALSE)&amp;" yrs, "&amp;VLOOKUP($AB155&amp;"-"&amp;$F155,Bonuses!$B$1:$G$1000,5,FALSE)))</f>
        <v/>
      </c>
    </row>
    <row r="156" spans="1:31" s="21" customFormat="1">
      <c r="A156" s="21" t="s">
        <v>253</v>
      </c>
      <c r="B156" s="21">
        <f t="shared" si="8"/>
        <v>1</v>
      </c>
      <c r="C156" s="21" t="str">
        <f t="shared" si="9"/>
        <v>B</v>
      </c>
      <c r="D156" s="17">
        <f>IF($C156="B",VLOOKUP($A156,Bat!$A$4:$BD$2323,D$1,FALSE),VLOOKUP($A156,Pit!$A$4:$AZ$2261,D$2,FALSE))</f>
        <v>6825</v>
      </c>
      <c r="E156" s="16" t="str">
        <f>IF($C156="B",VLOOKUP($A156,Bat!$A$4:$BD$2323,E$1,FALSE),VLOOKUP($A156,Pit!$A$4:$AZ$2261,E$2,FALSE))</f>
        <v>C</v>
      </c>
      <c r="F156" s="16" t="str">
        <f>IF($C156="B",VLOOKUP($A156,Bat!$A$4:$BD$2323,F$1,FALSE),VLOOKUP($A156,Pit!$A$4:$AZ$2261,F$2,FALSE))</f>
        <v>Dale Schroeder</v>
      </c>
      <c r="G156" s="16">
        <f>IF($C156="B",VLOOKUP($A156,Bat!$A$4:$BD$2323,G$1,FALSE),VLOOKUP($A156,Pit!$A$4:$AZ$2261,G$2,FALSE))</f>
        <v>21</v>
      </c>
      <c r="H156" s="16" t="str">
        <f>IF($C156="B",VLOOKUP($A156,Bat!$A$4:$BD$2323,H$1,FALSE),VLOOKUP($A156,Pit!$A$4:$AZ$2261,H$2,FALSE))</f>
        <v>R</v>
      </c>
      <c r="I156" s="16" t="str">
        <f>IF($C156="B",VLOOKUP($A156,Bat!$A$4:$BD$2323,I$1,FALSE),VLOOKUP($A156,Pit!$A$4:$AZ$2261,I$2,FALSE))</f>
        <v>R</v>
      </c>
      <c r="J156" s="16" t="str">
        <f>IF($C156="B",VLOOKUP($A156,Bat!$A$4:$BD$2323,J$1,FALSE),VLOOKUP($A156,Pit!$A$4:$AZ$2261,J$2,FALSE))</f>
        <v>Very Low</v>
      </c>
      <c r="K156" s="17" t="str">
        <f>IF($C156="B",VLOOKUP($A156,Bat!$A$4:$BD$2323,K$1,FALSE),VLOOKUP($A156,Pit!$A$4:$AZ$2261,K$2,FALSE))</f>
        <v>High</v>
      </c>
      <c r="L156" s="16">
        <f>IF($C156="B",VLOOKUP($A156,Bat!$A$4:$BD$2323,L$1,FALSE),VLOOKUP($A156,Pit!$A$4:$AZ$2261,L$2,FALSE))</f>
        <v>4</v>
      </c>
      <c r="M156" s="16">
        <f>IF($C156="B",VLOOKUP($A156,Bat!$A$4:$BD$2323,M$1,FALSE),VLOOKUP($A156,Pit!$A$4:$AZ$2261,M$2,FALSE))</f>
        <v>5</v>
      </c>
      <c r="N156" s="16">
        <f>IF($C156="B",VLOOKUP($A156,Bat!$A$4:$BD$2323,N$1,FALSE),VLOOKUP($A156,Pit!$A$4:$AZ$2261,N$2,FALSE))</f>
        <v>3</v>
      </c>
      <c r="O156" s="16">
        <f>IF($C156="B",VLOOKUP($A156,Bat!$A$4:$BD$2323,O$1,FALSE),VLOOKUP($A156,Pit!$A$4:$AZ$2261,O$2,FALSE))</f>
        <v>6</v>
      </c>
      <c r="P156" s="17">
        <f>IF($C156="B",VLOOKUP($A156,Bat!$A$4:$BD$2323,P$1,FALSE),VLOOKUP($A156,Pit!$A$4:$AZ$2261,P$2,FALSE))</f>
        <v>4</v>
      </c>
      <c r="Q156" s="18">
        <f>IF($C156="B",VLOOKUP($A156,Bat!$A$4:$BD$2323,Q$1,FALSE),VLOOKUP($A156,Pit!$A$4:$AZ$2261,Q$2,FALSE))</f>
        <v>8.8697105127546685</v>
      </c>
      <c r="R156" s="19">
        <f>IF($C156="B",VLOOKUP($A156,Bat!$A$4:$BD$2323,R$1,FALSE),VLOOKUP($A156,Pit!$A$4:$AZ$2261,R$2,FALSE))</f>
        <v>-0.24961785766755765</v>
      </c>
      <c r="S156" s="20" t="str">
        <f>IF($C156="B",VLOOKUP($A156,Bat!$A$4:$BD$2323,S$1,FALSE),VLOOKUP($A156,Pit!$A$4:$AZ$2261,S$2,FALSE))</f>
        <v>Slot</v>
      </c>
      <c r="T156" s="17" t="str">
        <f>IF(S156="Slot","",VLOOKUP(IF($C156="B",VLOOKUP($A156,Bat!$A$4:$AT$2323,T$1,FALSE),VLOOKUP($A156,Pit!$A$4:$BD$2261,T$2,FALSE)),COND!$A$34:$B$40,2,FALSE))</f>
        <v/>
      </c>
      <c r="U156" s="21" t="str">
        <f>IF($C156="B",VLOOKUP($A156,Bat!$A$4:$AR$1287,44,FALSE),VLOOKUP($A156,Pit!$A$4:$BB$1239,54,FALSE))</f>
        <v/>
      </c>
      <c r="W156" s="21" t="str">
        <f t="shared" si="10"/>
        <v/>
      </c>
      <c r="X156" s="22" t="e">
        <f t="shared" si="11"/>
        <v>#N/A</v>
      </c>
      <c r="Y156" s="16" t="str">
        <f>IF(ISERROR(VLOOKUP($E156&amp;$F156,Results!$A$2:$G$413,Y$1,FALSE)),"",VLOOKUP($E156&amp;$F156,Results!$A$2:$G$413,Y$1,FALSE))</f>
        <v/>
      </c>
      <c r="Z156" s="16" t="str">
        <f>IF(ISERROR(VLOOKUP($E156&amp;$F156,Results!$A$2:$G$413,Z$1,FALSE)),"",VLOOKUP($E156&amp;$F156,Results!$A$2:$G$413,Z$1,FALSE))</f>
        <v/>
      </c>
      <c r="AA156" s="16" t="str">
        <f>IF(ISERROR(VLOOKUP($E156&amp;$F156,Results!$A$2:$G$413,AA$1,FALSE)),"",VLOOKUP($E156&amp;$F156,Results!$A$2:$G$413,AA$1,FALSE))</f>
        <v/>
      </c>
      <c r="AB156" s="16" t="str">
        <f>IF(ISERROR(VLOOKUP($E156&amp;$F156,Results!$A$2:$G$413,AB$1,FALSE)),"",VLOOKUP($E156&amp;$F156,Results!$A$2:$G$413,AB$1,FALSE))</f>
        <v/>
      </c>
      <c r="AC156" s="16"/>
      <c r="AD156" s="20" t="str">
        <f>IF(ISERROR(VLOOKUP($AB156&amp;"-"&amp;$F156,Bonuses!$B$1:$G$1000,4,FALSE)),"",INT(VLOOKUP($AB156&amp;"-"&amp;$F156,Bonuses!$B$1:$G$1000,4,FALSE)))</f>
        <v/>
      </c>
      <c r="AE156" s="16" t="str">
        <f>IF(ISERROR(VLOOKUP($AB156&amp;"-"&amp;$F156,Bonuses!$B$1:$G$1000,5,FALSE)),"",IF(VLOOKUP($AB156&amp;"-"&amp;$F156,Bonuses!$B$1:$G$1000,5,FALSE)="","",VLOOKUP($AB156&amp;"-"&amp;$F156,Bonuses!$B$1:$G$1000,6,FALSE)&amp;" yrs, "&amp;VLOOKUP($AB156&amp;"-"&amp;$F156,Bonuses!$B$1:$G$1000,5,FALSE)))</f>
        <v/>
      </c>
    </row>
    <row r="157" spans="1:31" s="21" customFormat="1">
      <c r="A157" s="21" t="s">
        <v>857</v>
      </c>
      <c r="B157" s="21">
        <f t="shared" si="8"/>
        <v>1</v>
      </c>
      <c r="C157" s="21" t="str">
        <f t="shared" si="9"/>
        <v>B</v>
      </c>
      <c r="D157" s="17" t="e">
        <f>IF($C157="B",VLOOKUP($A157,Bat!$A$4:$BD$2323,D$1,FALSE),VLOOKUP($A157,Pit!$A$4:$AZ$2261,D$2,FALSE))</f>
        <v>#N/A</v>
      </c>
      <c r="E157" s="16" t="e">
        <f>IF($C157="B",VLOOKUP($A157,Bat!$A$4:$BD$2323,E$1,FALSE),VLOOKUP($A157,Pit!$A$4:$AZ$2261,E$2,FALSE))</f>
        <v>#N/A</v>
      </c>
      <c r="F157" s="16" t="e">
        <f>IF($C157="B",VLOOKUP($A157,Bat!$A$4:$BD$2323,F$1,FALSE),VLOOKUP($A157,Pit!$A$4:$AZ$2261,F$2,FALSE))</f>
        <v>#N/A</v>
      </c>
      <c r="G157" s="16" t="e">
        <f>IF($C157="B",VLOOKUP($A157,Bat!$A$4:$BD$2323,G$1,FALSE),VLOOKUP($A157,Pit!$A$4:$AZ$2261,G$2,FALSE))</f>
        <v>#N/A</v>
      </c>
      <c r="H157" s="16" t="e">
        <f>IF($C157="B",VLOOKUP($A157,Bat!$A$4:$BD$2323,H$1,FALSE),VLOOKUP($A157,Pit!$A$4:$AZ$2261,H$2,FALSE))</f>
        <v>#N/A</v>
      </c>
      <c r="I157" s="16" t="e">
        <f>IF($C157="B",VLOOKUP($A157,Bat!$A$4:$BD$2323,I$1,FALSE),VLOOKUP($A157,Pit!$A$4:$AZ$2261,I$2,FALSE))</f>
        <v>#N/A</v>
      </c>
      <c r="J157" s="16" t="e">
        <f>IF($C157="B",VLOOKUP($A157,Bat!$A$4:$BD$2323,J$1,FALSE),VLOOKUP($A157,Pit!$A$4:$AZ$2261,J$2,FALSE))</f>
        <v>#N/A</v>
      </c>
      <c r="K157" s="17" t="e">
        <f>IF($C157="B",VLOOKUP($A157,Bat!$A$4:$BD$2323,K$1,FALSE),VLOOKUP($A157,Pit!$A$4:$AZ$2261,K$2,FALSE))</f>
        <v>#N/A</v>
      </c>
      <c r="L157" s="16" t="e">
        <f>IF($C157="B",VLOOKUP($A157,Bat!$A$4:$BD$2323,L$1,FALSE),VLOOKUP($A157,Pit!$A$4:$AZ$2261,L$2,FALSE))</f>
        <v>#N/A</v>
      </c>
      <c r="M157" s="16" t="e">
        <f>IF($C157="B",VLOOKUP($A157,Bat!$A$4:$BD$2323,M$1,FALSE),VLOOKUP($A157,Pit!$A$4:$AZ$2261,M$2,FALSE))</f>
        <v>#N/A</v>
      </c>
      <c r="N157" s="16" t="e">
        <f>IF($C157="B",VLOOKUP($A157,Bat!$A$4:$BD$2323,N$1,FALSE),VLOOKUP($A157,Pit!$A$4:$AZ$2261,N$2,FALSE))</f>
        <v>#N/A</v>
      </c>
      <c r="O157" s="16" t="e">
        <f>IF($C157="B",VLOOKUP($A157,Bat!$A$4:$BD$2323,O$1,FALSE),VLOOKUP($A157,Pit!$A$4:$AZ$2261,O$2,FALSE))</f>
        <v>#N/A</v>
      </c>
      <c r="P157" s="17" t="e">
        <f>IF($C157="B",VLOOKUP($A157,Bat!$A$4:$BD$2323,P$1,FALSE),VLOOKUP($A157,Pit!$A$4:$AZ$2261,P$2,FALSE))</f>
        <v>#N/A</v>
      </c>
      <c r="Q157" s="18" t="e">
        <f>IF($C157="B",VLOOKUP($A157,Bat!$A$4:$BD$2323,Q$1,FALSE),VLOOKUP($A157,Pit!$A$4:$AZ$2261,Q$2,FALSE))</f>
        <v>#N/A</v>
      </c>
      <c r="R157" s="19" t="e">
        <f>IF($C157="B",VLOOKUP($A157,Bat!$A$4:$BD$2323,R$1,FALSE),VLOOKUP($A157,Pit!$A$4:$AZ$2261,R$2,FALSE))</f>
        <v>#N/A</v>
      </c>
      <c r="S157" s="20" t="e">
        <f>IF($C157="B",VLOOKUP($A157,Bat!$A$4:$BD$2323,S$1,FALSE),VLOOKUP($A157,Pit!$A$4:$AZ$2261,S$2,FALSE))</f>
        <v>#N/A</v>
      </c>
      <c r="T157" s="17" t="e">
        <f>IF(S157="Slot","",VLOOKUP(IF($C157="B",VLOOKUP($A157,Bat!$A$4:$AT$2323,T$1,FALSE),VLOOKUP($A157,Pit!$A$4:$BD$2261,T$2,FALSE)),COND!$A$34:$B$40,2,FALSE))</f>
        <v>#N/A</v>
      </c>
      <c r="U157" s="21" t="e">
        <f>IF($C157="B",VLOOKUP($A157,Bat!$A$4:$AR$1287,44,FALSE),VLOOKUP($A157,Pit!$A$4:$BB$1239,54,FALSE))</f>
        <v>#N/A</v>
      </c>
      <c r="W157" s="21" t="e">
        <f t="shared" si="10"/>
        <v>#N/A</v>
      </c>
      <c r="X157" s="22" t="e">
        <f t="shared" si="11"/>
        <v>#N/A</v>
      </c>
      <c r="Y157" s="16" t="str">
        <f>IF(ISERROR(VLOOKUP($E157&amp;$F157,Results!$A$2:$G$413,Y$1,FALSE)),"",VLOOKUP($E157&amp;$F157,Results!$A$2:$G$413,Y$1,FALSE))</f>
        <v/>
      </c>
      <c r="Z157" s="16" t="str">
        <f>IF(ISERROR(VLOOKUP($E157&amp;$F157,Results!$A$2:$G$413,Z$1,FALSE)),"",VLOOKUP($E157&amp;$F157,Results!$A$2:$G$413,Z$1,FALSE))</f>
        <v/>
      </c>
      <c r="AA157" s="16" t="str">
        <f>IF(ISERROR(VLOOKUP($E157&amp;$F157,Results!$A$2:$G$413,AA$1,FALSE)),"",VLOOKUP($E157&amp;$F157,Results!$A$2:$G$413,AA$1,FALSE))</f>
        <v/>
      </c>
      <c r="AB157" s="16" t="str">
        <f>IF(ISERROR(VLOOKUP($E157&amp;$F157,Results!$A$2:$G$413,AB$1,FALSE)),"",VLOOKUP($E157&amp;$F157,Results!$A$2:$G$413,AB$1,FALSE))</f>
        <v/>
      </c>
      <c r="AC157" s="16"/>
      <c r="AD157" s="20" t="str">
        <f>IF(ISERROR(VLOOKUP($AB157&amp;"-"&amp;$F157,Bonuses!$B$1:$G$1000,4,FALSE)),"",INT(VLOOKUP($AB157&amp;"-"&amp;$F157,Bonuses!$B$1:$G$1000,4,FALSE)))</f>
        <v/>
      </c>
      <c r="AE157" s="16" t="str">
        <f>IF(ISERROR(VLOOKUP($AB157&amp;"-"&amp;$F157,Bonuses!$B$1:$G$1000,5,FALSE)),"",IF(VLOOKUP($AB157&amp;"-"&amp;$F157,Bonuses!$B$1:$G$1000,5,FALSE)="","",VLOOKUP($AB157&amp;"-"&amp;$F157,Bonuses!$B$1:$G$1000,6,FALSE)&amp;" yrs, "&amp;VLOOKUP($AB157&amp;"-"&amp;$F157,Bonuses!$B$1:$G$1000,5,FALSE)))</f>
        <v/>
      </c>
    </row>
    <row r="158" spans="1:31" s="21" customFormat="1">
      <c r="A158" s="21" t="s">
        <v>79</v>
      </c>
      <c r="B158" s="21">
        <f t="shared" si="8"/>
        <v>1</v>
      </c>
      <c r="C158" s="21" t="str">
        <f t="shared" si="9"/>
        <v>B</v>
      </c>
      <c r="D158" s="17">
        <f>IF($C158="B",VLOOKUP($A158,Bat!$A$4:$BD$2323,D$1,FALSE),VLOOKUP($A158,Pit!$A$4:$AZ$2261,D$2,FALSE))</f>
        <v>2913</v>
      </c>
      <c r="E158" s="16" t="str">
        <f>IF($C158="B",VLOOKUP($A158,Bat!$A$4:$BD$2323,E$1,FALSE),VLOOKUP($A158,Pit!$A$4:$AZ$2261,E$2,FALSE))</f>
        <v>3B</v>
      </c>
      <c r="F158" s="16" t="str">
        <f>IF($C158="B",VLOOKUP($A158,Bat!$A$4:$BD$2323,F$1,FALSE),VLOOKUP($A158,Pit!$A$4:$AZ$2261,F$2,FALSE))</f>
        <v>Brian Zahn</v>
      </c>
      <c r="G158" s="16">
        <f>IF($C158="B",VLOOKUP($A158,Bat!$A$4:$BD$2323,G$1,FALSE),VLOOKUP($A158,Pit!$A$4:$AZ$2261,G$2,FALSE))</f>
        <v>21</v>
      </c>
      <c r="H158" s="16" t="str">
        <f>IF($C158="B",VLOOKUP($A158,Bat!$A$4:$BD$2323,H$1,FALSE),VLOOKUP($A158,Pit!$A$4:$AZ$2261,H$2,FALSE))</f>
        <v>R</v>
      </c>
      <c r="I158" s="16" t="str">
        <f>IF($C158="B",VLOOKUP($A158,Bat!$A$4:$BD$2323,I$1,FALSE),VLOOKUP($A158,Pit!$A$4:$AZ$2261,I$2,FALSE))</f>
        <v>R</v>
      </c>
      <c r="J158" s="16" t="str">
        <f>IF($C158="B",VLOOKUP($A158,Bat!$A$4:$BD$2323,J$1,FALSE),VLOOKUP($A158,Pit!$A$4:$AZ$2261,J$2,FALSE))</f>
        <v>Low</v>
      </c>
      <c r="K158" s="17" t="str">
        <f>IF($C158="B",VLOOKUP($A158,Bat!$A$4:$BD$2323,K$1,FALSE),VLOOKUP($A158,Pit!$A$4:$AZ$2261,K$2,FALSE))</f>
        <v>Low</v>
      </c>
      <c r="L158" s="16">
        <f>IF($C158="B",VLOOKUP($A158,Bat!$A$4:$BD$2323,L$1,FALSE),VLOOKUP($A158,Pit!$A$4:$AZ$2261,L$2,FALSE))</f>
        <v>5</v>
      </c>
      <c r="M158" s="16">
        <f>IF($C158="B",VLOOKUP($A158,Bat!$A$4:$BD$2323,M$1,FALSE),VLOOKUP($A158,Pit!$A$4:$AZ$2261,M$2,FALSE))</f>
        <v>5</v>
      </c>
      <c r="N158" s="16">
        <f>IF($C158="B",VLOOKUP($A158,Bat!$A$4:$BD$2323,N$1,FALSE),VLOOKUP($A158,Pit!$A$4:$AZ$2261,N$2,FALSE))</f>
        <v>2</v>
      </c>
      <c r="O158" s="16">
        <f>IF($C158="B",VLOOKUP($A158,Bat!$A$4:$BD$2323,O$1,FALSE),VLOOKUP($A158,Pit!$A$4:$AZ$2261,O$2,FALSE))</f>
        <v>4</v>
      </c>
      <c r="P158" s="17">
        <f>IF($C158="B",VLOOKUP($A158,Bat!$A$4:$BD$2323,P$1,FALSE),VLOOKUP($A158,Pit!$A$4:$AZ$2261,P$2,FALSE))</f>
        <v>4</v>
      </c>
      <c r="Q158" s="18">
        <f>IF($C158="B",VLOOKUP($A158,Bat!$A$4:$BD$2323,Q$1,FALSE),VLOOKUP($A158,Pit!$A$4:$AZ$2261,Q$2,FALSE))</f>
        <v>8.8081272537288733</v>
      </c>
      <c r="R158" s="19">
        <f>IF($C158="B",VLOOKUP($A158,Bat!$A$4:$BD$2323,R$1,FALSE),VLOOKUP($A158,Pit!$A$4:$AZ$2261,R$2,FALSE))</f>
        <v>-0.25817322896818173</v>
      </c>
      <c r="S158" s="20" t="str">
        <f>IF($C158="B",VLOOKUP($A158,Bat!$A$4:$BD$2323,S$1,FALSE),VLOOKUP($A158,Pit!$A$4:$AZ$2261,S$2,FALSE))</f>
        <v>Slot</v>
      </c>
      <c r="T158" s="17" t="str">
        <f>IF(S158="Slot","",VLOOKUP(IF($C158="B",VLOOKUP($A158,Bat!$A$4:$AT$2323,T$1,FALSE),VLOOKUP($A158,Pit!$A$4:$BD$2261,T$2,FALSE)),COND!$A$34:$B$40,2,FALSE))</f>
        <v/>
      </c>
      <c r="U158" s="21" t="str">
        <f>IF($C158="B",VLOOKUP($A158,Bat!$A$4:$AR$1287,44,FALSE),VLOOKUP($A158,Pit!$A$4:$BB$1239,54,FALSE))</f>
        <v/>
      </c>
      <c r="W158" s="21" t="str">
        <f t="shared" si="10"/>
        <v/>
      </c>
      <c r="X158" s="22" t="e">
        <f t="shared" si="11"/>
        <v>#N/A</v>
      </c>
      <c r="Y158" s="16" t="str">
        <f>IF(ISERROR(VLOOKUP($E158&amp;$F158,Results!$A$2:$G$413,Y$1,FALSE)),"",VLOOKUP($E158&amp;$F158,Results!$A$2:$G$413,Y$1,FALSE))</f>
        <v/>
      </c>
      <c r="Z158" s="16" t="str">
        <f>IF(ISERROR(VLOOKUP($E158&amp;$F158,Results!$A$2:$G$413,Z$1,FALSE)),"",VLOOKUP($E158&amp;$F158,Results!$A$2:$G$413,Z$1,FALSE))</f>
        <v/>
      </c>
      <c r="AA158" s="16" t="str">
        <f>IF(ISERROR(VLOOKUP($E158&amp;$F158,Results!$A$2:$G$413,AA$1,FALSE)),"",VLOOKUP($E158&amp;$F158,Results!$A$2:$G$413,AA$1,FALSE))</f>
        <v/>
      </c>
      <c r="AB158" s="16" t="str">
        <f>IF(ISERROR(VLOOKUP($E158&amp;$F158,Results!$A$2:$G$413,AB$1,FALSE)),"",VLOOKUP($E158&amp;$F158,Results!$A$2:$G$413,AB$1,FALSE))</f>
        <v/>
      </c>
      <c r="AC158" s="16"/>
      <c r="AD158" s="20" t="str">
        <f>IF(ISERROR(VLOOKUP($AB158&amp;"-"&amp;$F158,Bonuses!$B$1:$G$1000,4,FALSE)),"",INT(VLOOKUP($AB158&amp;"-"&amp;$F158,Bonuses!$B$1:$G$1000,4,FALSE)))</f>
        <v/>
      </c>
      <c r="AE158" s="16" t="str">
        <f>IF(ISERROR(VLOOKUP($AB158&amp;"-"&amp;$F158,Bonuses!$B$1:$G$1000,5,FALSE)),"",IF(VLOOKUP($AB158&amp;"-"&amp;$F158,Bonuses!$B$1:$G$1000,5,FALSE)="","",VLOOKUP($AB158&amp;"-"&amp;$F158,Bonuses!$B$1:$G$1000,6,FALSE)&amp;" yrs, "&amp;VLOOKUP($AB158&amp;"-"&amp;$F158,Bonuses!$B$1:$G$1000,5,FALSE)))</f>
        <v/>
      </c>
    </row>
    <row r="159" spans="1:31" s="21" customFormat="1">
      <c r="A159" s="21" t="s">
        <v>828</v>
      </c>
      <c r="B159" s="21">
        <f t="shared" si="8"/>
        <v>1</v>
      </c>
      <c r="C159" s="21" t="str">
        <f t="shared" si="9"/>
        <v>B</v>
      </c>
      <c r="D159" s="17">
        <f>IF($C159="B",VLOOKUP($A159,Bat!$A$4:$BD$2323,D$1,FALSE),VLOOKUP($A159,Pit!$A$4:$AZ$2261,D$2,FALSE))</f>
        <v>9107</v>
      </c>
      <c r="E159" s="16" t="str">
        <f>IF($C159="B",VLOOKUP($A159,Bat!$A$4:$BD$2323,E$1,FALSE),VLOOKUP($A159,Pit!$A$4:$AZ$2261,E$2,FALSE))</f>
        <v>SS</v>
      </c>
      <c r="F159" s="16" t="str">
        <f>IF($C159="B",VLOOKUP($A159,Bat!$A$4:$BD$2323,F$1,FALSE),VLOOKUP($A159,Pit!$A$4:$AZ$2261,F$2,FALSE))</f>
        <v>David Henderson</v>
      </c>
      <c r="G159" s="16">
        <f>IF($C159="B",VLOOKUP($A159,Bat!$A$4:$BD$2323,G$1,FALSE),VLOOKUP($A159,Pit!$A$4:$AZ$2261,G$2,FALSE))</f>
        <v>21</v>
      </c>
      <c r="H159" s="16" t="str">
        <f>IF($C159="B",VLOOKUP($A159,Bat!$A$4:$BD$2323,H$1,FALSE),VLOOKUP($A159,Pit!$A$4:$AZ$2261,H$2,FALSE))</f>
        <v>R</v>
      </c>
      <c r="I159" s="16" t="str">
        <f>IF($C159="B",VLOOKUP($A159,Bat!$A$4:$BD$2323,I$1,FALSE),VLOOKUP($A159,Pit!$A$4:$AZ$2261,I$2,FALSE))</f>
        <v>R</v>
      </c>
      <c r="J159" s="16" t="str">
        <f>IF($C159="B",VLOOKUP($A159,Bat!$A$4:$BD$2323,J$1,FALSE),VLOOKUP($A159,Pit!$A$4:$AZ$2261,J$2,FALSE))</f>
        <v>High</v>
      </c>
      <c r="K159" s="17" t="str">
        <f>IF($C159="B",VLOOKUP($A159,Bat!$A$4:$BD$2323,K$1,FALSE),VLOOKUP($A159,Pit!$A$4:$AZ$2261,K$2,FALSE))</f>
        <v>Very High</v>
      </c>
      <c r="L159" s="16">
        <f>IF($C159="B",VLOOKUP($A159,Bat!$A$4:$BD$2323,L$1,FALSE),VLOOKUP($A159,Pit!$A$4:$AZ$2261,L$2,FALSE))</f>
        <v>4</v>
      </c>
      <c r="M159" s="16">
        <f>IF($C159="B",VLOOKUP($A159,Bat!$A$4:$BD$2323,M$1,FALSE),VLOOKUP($A159,Pit!$A$4:$AZ$2261,M$2,FALSE))</f>
        <v>8</v>
      </c>
      <c r="N159" s="16">
        <f>IF($C159="B",VLOOKUP($A159,Bat!$A$4:$BD$2323,N$1,FALSE),VLOOKUP($A159,Pit!$A$4:$AZ$2261,N$2,FALSE))</f>
        <v>4</v>
      </c>
      <c r="O159" s="16">
        <f>IF($C159="B",VLOOKUP($A159,Bat!$A$4:$BD$2323,O$1,FALSE),VLOOKUP($A159,Pit!$A$4:$AZ$2261,O$2,FALSE))</f>
        <v>4</v>
      </c>
      <c r="P159" s="17">
        <f>IF($C159="B",VLOOKUP($A159,Bat!$A$4:$BD$2323,P$1,FALSE),VLOOKUP($A159,Pit!$A$4:$AZ$2261,P$2,FALSE))</f>
        <v>4</v>
      </c>
      <c r="Q159" s="18">
        <f>IF($C159="B",VLOOKUP($A159,Bat!$A$4:$BD$2323,Q$1,FALSE),VLOOKUP($A159,Pit!$A$4:$AZ$2261,Q$2,FALSE))</f>
        <v>8.7887389850448212</v>
      </c>
      <c r="R159" s="19">
        <f>IF($C159="B",VLOOKUP($A159,Bat!$A$4:$BD$2323,R$1,FALSE),VLOOKUP($A159,Pit!$A$4:$AZ$2261,R$2,FALSE))</f>
        <v>-0.26086671807694828</v>
      </c>
      <c r="S159" s="20" t="str">
        <f>IF($C159="B",VLOOKUP($A159,Bat!$A$4:$BD$2323,S$1,FALSE),VLOOKUP($A159,Pit!$A$4:$AZ$2261,S$2,FALSE))</f>
        <v>Slot</v>
      </c>
      <c r="T159" s="17" t="str">
        <f>IF(S159="Slot","",VLOOKUP(IF($C159="B",VLOOKUP($A159,Bat!$A$4:$AT$2323,T$1,FALSE),VLOOKUP($A159,Pit!$A$4:$BD$2261,T$2,FALSE)),COND!$A$34:$B$40,2,FALSE))</f>
        <v/>
      </c>
      <c r="U159" s="21" t="str">
        <f>IF($C159="B",VLOOKUP($A159,Bat!$A$4:$AR$1287,44,FALSE),VLOOKUP($A159,Pit!$A$4:$BB$1239,54,FALSE))</f>
        <v/>
      </c>
      <c r="W159" s="21" t="str">
        <f t="shared" si="10"/>
        <v/>
      </c>
      <c r="X159" s="22" t="e">
        <f t="shared" si="11"/>
        <v>#N/A</v>
      </c>
      <c r="Y159" s="16" t="str">
        <f>IF(ISERROR(VLOOKUP($E159&amp;$F159,Results!$A$2:$G$413,Y$1,FALSE)),"",VLOOKUP($E159&amp;$F159,Results!$A$2:$G$413,Y$1,FALSE))</f>
        <v/>
      </c>
      <c r="Z159" s="16" t="str">
        <f>IF(ISERROR(VLOOKUP($E159&amp;$F159,Results!$A$2:$G$413,Z$1,FALSE)),"",VLOOKUP($E159&amp;$F159,Results!$A$2:$G$413,Z$1,FALSE))</f>
        <v/>
      </c>
      <c r="AA159" s="16" t="str">
        <f>IF(ISERROR(VLOOKUP($E159&amp;$F159,Results!$A$2:$G$413,AA$1,FALSE)),"",VLOOKUP($E159&amp;$F159,Results!$A$2:$G$413,AA$1,FALSE))</f>
        <v/>
      </c>
      <c r="AB159" s="16" t="str">
        <f>IF(ISERROR(VLOOKUP($E159&amp;$F159,Results!$A$2:$G$413,AB$1,FALSE)),"",VLOOKUP($E159&amp;$F159,Results!$A$2:$G$413,AB$1,FALSE))</f>
        <v/>
      </c>
      <c r="AC159" s="16"/>
      <c r="AD159" s="20" t="str">
        <f>IF(ISERROR(VLOOKUP($AB159&amp;"-"&amp;$F159,Bonuses!$B$1:$G$1000,4,FALSE)),"",INT(VLOOKUP($AB159&amp;"-"&amp;$F159,Bonuses!$B$1:$G$1000,4,FALSE)))</f>
        <v/>
      </c>
      <c r="AE159" s="16" t="str">
        <f>IF(ISERROR(VLOOKUP($AB159&amp;"-"&amp;$F159,Bonuses!$B$1:$G$1000,5,FALSE)),"",IF(VLOOKUP($AB159&amp;"-"&amp;$F159,Bonuses!$B$1:$G$1000,5,FALSE)="","",VLOOKUP($AB159&amp;"-"&amp;$F159,Bonuses!$B$1:$G$1000,6,FALSE)&amp;" yrs, "&amp;VLOOKUP($AB159&amp;"-"&amp;$F159,Bonuses!$B$1:$G$1000,5,FALSE)))</f>
        <v/>
      </c>
    </row>
    <row r="160" spans="1:31" s="21" customFormat="1">
      <c r="A160" s="21" t="s">
        <v>845</v>
      </c>
      <c r="B160" s="21">
        <f t="shared" si="8"/>
        <v>1</v>
      </c>
      <c r="C160" s="21" t="str">
        <f t="shared" si="9"/>
        <v>B</v>
      </c>
      <c r="D160" s="17">
        <f>IF($C160="B",VLOOKUP($A160,Bat!$A$4:$BD$2323,D$1,FALSE),VLOOKUP($A160,Pit!$A$4:$AZ$2261,D$2,FALSE))</f>
        <v>1806</v>
      </c>
      <c r="E160" s="16" t="str">
        <f>IF($C160="B",VLOOKUP($A160,Bat!$A$4:$BD$2323,E$1,FALSE),VLOOKUP($A160,Pit!$A$4:$AZ$2261,E$2,FALSE))</f>
        <v>CF</v>
      </c>
      <c r="F160" s="16" t="str">
        <f>IF($C160="B",VLOOKUP($A160,Bat!$A$4:$BD$2323,F$1,FALSE),VLOOKUP($A160,Pit!$A$4:$AZ$2261,F$2,FALSE))</f>
        <v>Dave McCall</v>
      </c>
      <c r="G160" s="16">
        <f>IF($C160="B",VLOOKUP($A160,Bat!$A$4:$BD$2323,G$1,FALSE),VLOOKUP($A160,Pit!$A$4:$AZ$2261,G$2,FALSE))</f>
        <v>18</v>
      </c>
      <c r="H160" s="16" t="str">
        <f>IF($C160="B",VLOOKUP($A160,Bat!$A$4:$BD$2323,H$1,FALSE),VLOOKUP($A160,Pit!$A$4:$AZ$2261,H$2,FALSE))</f>
        <v>S</v>
      </c>
      <c r="I160" s="16" t="str">
        <f>IF($C160="B",VLOOKUP($A160,Bat!$A$4:$BD$2323,I$1,FALSE),VLOOKUP($A160,Pit!$A$4:$AZ$2261,I$2,FALSE))</f>
        <v>R</v>
      </c>
      <c r="J160" s="16" t="str">
        <f>IF($C160="B",VLOOKUP($A160,Bat!$A$4:$BD$2323,J$1,FALSE),VLOOKUP($A160,Pit!$A$4:$AZ$2261,J$2,FALSE))</f>
        <v>High</v>
      </c>
      <c r="K160" s="17" t="str">
        <f>IF($C160="B",VLOOKUP($A160,Bat!$A$4:$BD$2323,K$1,FALSE),VLOOKUP($A160,Pit!$A$4:$AZ$2261,K$2,FALSE))</f>
        <v>Normal</v>
      </c>
      <c r="L160" s="16">
        <f>IF($C160="B",VLOOKUP($A160,Bat!$A$4:$BD$2323,L$1,FALSE),VLOOKUP($A160,Pit!$A$4:$AZ$2261,L$2,FALSE))</f>
        <v>5</v>
      </c>
      <c r="M160" s="16">
        <f>IF($C160="B",VLOOKUP($A160,Bat!$A$4:$BD$2323,M$1,FALSE),VLOOKUP($A160,Pit!$A$4:$AZ$2261,M$2,FALSE))</f>
        <v>4</v>
      </c>
      <c r="N160" s="16">
        <f>IF($C160="B",VLOOKUP($A160,Bat!$A$4:$BD$2323,N$1,FALSE),VLOOKUP($A160,Pit!$A$4:$AZ$2261,N$2,FALSE))</f>
        <v>2</v>
      </c>
      <c r="O160" s="16">
        <f>IF($C160="B",VLOOKUP($A160,Bat!$A$4:$BD$2323,O$1,FALSE),VLOOKUP($A160,Pit!$A$4:$AZ$2261,O$2,FALSE))</f>
        <v>4</v>
      </c>
      <c r="P160" s="17">
        <f>IF($C160="B",VLOOKUP($A160,Bat!$A$4:$BD$2323,P$1,FALSE),VLOOKUP($A160,Pit!$A$4:$AZ$2261,P$2,FALSE))</f>
        <v>4</v>
      </c>
      <c r="Q160" s="18">
        <f>IF($C160="B",VLOOKUP($A160,Bat!$A$4:$BD$2323,Q$1,FALSE),VLOOKUP($A160,Pit!$A$4:$AZ$2261,Q$2,FALSE))</f>
        <v>8.7004845664681625</v>
      </c>
      <c r="R160" s="19">
        <f>IF($C160="B",VLOOKUP($A160,Bat!$A$4:$BD$2323,R$1,FALSE),VLOOKUP($A160,Pit!$A$4:$AZ$2261,R$2,FALSE))</f>
        <v>-0.27312734428914248</v>
      </c>
      <c r="S160" s="20" t="str">
        <f>IF($C160="B",VLOOKUP($A160,Bat!$A$4:$BD$2323,S$1,FALSE),VLOOKUP($A160,Pit!$A$4:$AZ$2261,S$2,FALSE))</f>
        <v>Slot</v>
      </c>
      <c r="T160" s="17" t="str">
        <f>IF(S160="Slot","",VLOOKUP(IF($C160="B",VLOOKUP($A160,Bat!$A$4:$AT$2323,T$1,FALSE),VLOOKUP($A160,Pit!$A$4:$BD$2261,T$2,FALSE)),COND!$A$34:$B$40,2,FALSE))</f>
        <v/>
      </c>
      <c r="U160" s="21" t="str">
        <f>IF($C160="B",VLOOKUP($A160,Bat!$A$4:$AR$1287,44,FALSE),VLOOKUP($A160,Pit!$A$4:$BB$1239,54,FALSE))</f>
        <v/>
      </c>
      <c r="W160" s="21" t="str">
        <f t="shared" si="10"/>
        <v/>
      </c>
      <c r="X160" s="22" t="e">
        <f t="shared" si="11"/>
        <v>#N/A</v>
      </c>
      <c r="Y160" s="16" t="str">
        <f>IF(ISERROR(VLOOKUP($E160&amp;$F160,Results!$A$2:$G$413,Y$1,FALSE)),"",VLOOKUP($E160&amp;$F160,Results!$A$2:$G$413,Y$1,FALSE))</f>
        <v/>
      </c>
      <c r="Z160" s="16" t="str">
        <f>IF(ISERROR(VLOOKUP($E160&amp;$F160,Results!$A$2:$G$413,Z$1,FALSE)),"",VLOOKUP($E160&amp;$F160,Results!$A$2:$G$413,Z$1,FALSE))</f>
        <v/>
      </c>
      <c r="AA160" s="16" t="str">
        <f>IF(ISERROR(VLOOKUP($E160&amp;$F160,Results!$A$2:$G$413,AA$1,FALSE)),"",VLOOKUP($E160&amp;$F160,Results!$A$2:$G$413,AA$1,FALSE))</f>
        <v/>
      </c>
      <c r="AB160" s="16" t="str">
        <f>IF(ISERROR(VLOOKUP($E160&amp;$F160,Results!$A$2:$G$413,AB$1,FALSE)),"",VLOOKUP($E160&amp;$F160,Results!$A$2:$G$413,AB$1,FALSE))</f>
        <v/>
      </c>
      <c r="AC160" s="16"/>
      <c r="AD160" s="20" t="str">
        <f>IF(ISERROR(VLOOKUP($AB160&amp;"-"&amp;$F160,Bonuses!$B$1:$G$1000,4,FALSE)),"",INT(VLOOKUP($AB160&amp;"-"&amp;$F160,Bonuses!$B$1:$G$1000,4,FALSE)))</f>
        <v/>
      </c>
      <c r="AE160" s="16" t="str">
        <f>IF(ISERROR(VLOOKUP($AB160&amp;"-"&amp;$F160,Bonuses!$B$1:$G$1000,5,FALSE)),"",IF(VLOOKUP($AB160&amp;"-"&amp;$F160,Bonuses!$B$1:$G$1000,5,FALSE)="","",VLOOKUP($AB160&amp;"-"&amp;$F160,Bonuses!$B$1:$G$1000,6,FALSE)&amp;" yrs, "&amp;VLOOKUP($AB160&amp;"-"&amp;$F160,Bonuses!$B$1:$G$1000,5,FALSE)))</f>
        <v/>
      </c>
    </row>
    <row r="161" spans="1:31" s="21" customFormat="1">
      <c r="A161" s="21" t="s">
        <v>852</v>
      </c>
      <c r="B161" s="21">
        <f t="shared" si="8"/>
        <v>1</v>
      </c>
      <c r="C161" s="21" t="str">
        <f t="shared" si="9"/>
        <v>B</v>
      </c>
      <c r="D161" s="17">
        <f>IF($C161="B",VLOOKUP($A161,Bat!$A$4:$BD$2323,D$1,FALSE),VLOOKUP($A161,Pit!$A$4:$AZ$2261,D$2,FALSE))</f>
        <v>7323</v>
      </c>
      <c r="E161" s="16" t="str">
        <f>IF($C161="B",VLOOKUP($A161,Bat!$A$4:$BD$2323,E$1,FALSE),VLOOKUP($A161,Pit!$A$4:$AZ$2261,E$2,FALSE))</f>
        <v>1B</v>
      </c>
      <c r="F161" s="16" t="str">
        <f>IF($C161="B",VLOOKUP($A161,Bat!$A$4:$BD$2323,F$1,FALSE),VLOOKUP($A161,Pit!$A$4:$AZ$2261,F$2,FALSE))</f>
        <v>Willie Clark</v>
      </c>
      <c r="G161" s="16">
        <f>IF($C161="B",VLOOKUP($A161,Bat!$A$4:$BD$2323,G$1,FALSE),VLOOKUP($A161,Pit!$A$4:$AZ$2261,G$2,FALSE))</f>
        <v>21</v>
      </c>
      <c r="H161" s="16" t="str">
        <f>IF($C161="B",VLOOKUP($A161,Bat!$A$4:$BD$2323,H$1,FALSE),VLOOKUP($A161,Pit!$A$4:$AZ$2261,H$2,FALSE))</f>
        <v>R</v>
      </c>
      <c r="I161" s="16" t="str">
        <f>IF($C161="B",VLOOKUP($A161,Bat!$A$4:$BD$2323,I$1,FALSE),VLOOKUP($A161,Pit!$A$4:$AZ$2261,I$2,FALSE))</f>
        <v>R</v>
      </c>
      <c r="J161" s="16" t="str">
        <f>IF($C161="B",VLOOKUP($A161,Bat!$A$4:$BD$2323,J$1,FALSE),VLOOKUP($A161,Pit!$A$4:$AZ$2261,J$2,FALSE))</f>
        <v>Normal</v>
      </c>
      <c r="K161" s="17" t="str">
        <f>IF($C161="B",VLOOKUP($A161,Bat!$A$4:$BD$2323,K$1,FALSE),VLOOKUP($A161,Pit!$A$4:$AZ$2261,K$2,FALSE))</f>
        <v>High</v>
      </c>
      <c r="L161" s="16">
        <f>IF($C161="B",VLOOKUP($A161,Bat!$A$4:$BD$2323,L$1,FALSE),VLOOKUP($A161,Pit!$A$4:$AZ$2261,L$2,FALSE))</f>
        <v>5</v>
      </c>
      <c r="M161" s="16">
        <f>IF($C161="B",VLOOKUP($A161,Bat!$A$4:$BD$2323,M$1,FALSE),VLOOKUP($A161,Pit!$A$4:$AZ$2261,M$2,FALSE))</f>
        <v>5</v>
      </c>
      <c r="N161" s="16">
        <f>IF($C161="B",VLOOKUP($A161,Bat!$A$4:$BD$2323,N$1,FALSE),VLOOKUP($A161,Pit!$A$4:$AZ$2261,N$2,FALSE))</f>
        <v>3</v>
      </c>
      <c r="O161" s="16">
        <f>IF($C161="B",VLOOKUP($A161,Bat!$A$4:$BD$2323,O$1,FALSE),VLOOKUP($A161,Pit!$A$4:$AZ$2261,O$2,FALSE))</f>
        <v>3</v>
      </c>
      <c r="P161" s="17">
        <f>IF($C161="B",VLOOKUP($A161,Bat!$A$4:$BD$2323,P$1,FALSE),VLOOKUP($A161,Pit!$A$4:$AZ$2261,P$2,FALSE))</f>
        <v>4</v>
      </c>
      <c r="Q161" s="18">
        <f>IF($C161="B",VLOOKUP($A161,Bat!$A$4:$BD$2323,Q$1,FALSE),VLOOKUP($A161,Pit!$A$4:$AZ$2261,Q$2,FALSE))</f>
        <v>8.5515351468071241</v>
      </c>
      <c r="R161" s="19">
        <f>IF($C161="B",VLOOKUP($A161,Bat!$A$4:$BD$2323,R$1,FALSE),VLOOKUP($A161,Pit!$A$4:$AZ$2261,R$2,FALSE))</f>
        <v>-0.29381994176403237</v>
      </c>
      <c r="S161" s="20" t="str">
        <f>IF($C161="B",VLOOKUP($A161,Bat!$A$4:$BD$2323,S$1,FALSE),VLOOKUP($A161,Pit!$A$4:$AZ$2261,S$2,FALSE))</f>
        <v>Slot</v>
      </c>
      <c r="T161" s="17" t="str">
        <f>IF(S161="Slot","",VLOOKUP(IF($C161="B",VLOOKUP($A161,Bat!$A$4:$AT$2323,T$1,FALSE),VLOOKUP($A161,Pit!$A$4:$BD$2261,T$2,FALSE)),COND!$A$34:$B$40,2,FALSE))</f>
        <v/>
      </c>
      <c r="U161" s="21" t="str">
        <f>IF($C161="B",VLOOKUP($A161,Bat!$A$4:$AR$1287,44,FALSE),VLOOKUP($A161,Pit!$A$4:$BB$1239,54,FALSE))</f>
        <v/>
      </c>
      <c r="W161" s="21" t="str">
        <f t="shared" si="10"/>
        <v/>
      </c>
      <c r="X161" s="22" t="e">
        <f t="shared" si="11"/>
        <v>#N/A</v>
      </c>
      <c r="Y161" s="16" t="str">
        <f>IF(ISERROR(VLOOKUP($E161&amp;$F161,Results!$A$2:$G$413,Y$1,FALSE)),"",VLOOKUP($E161&amp;$F161,Results!$A$2:$G$413,Y$1,FALSE))</f>
        <v/>
      </c>
      <c r="Z161" s="16" t="str">
        <f>IF(ISERROR(VLOOKUP($E161&amp;$F161,Results!$A$2:$G$413,Z$1,FALSE)),"",VLOOKUP($E161&amp;$F161,Results!$A$2:$G$413,Z$1,FALSE))</f>
        <v/>
      </c>
      <c r="AA161" s="16" t="str">
        <f>IF(ISERROR(VLOOKUP($E161&amp;$F161,Results!$A$2:$G$413,AA$1,FALSE)),"",VLOOKUP($E161&amp;$F161,Results!$A$2:$G$413,AA$1,FALSE))</f>
        <v/>
      </c>
      <c r="AB161" s="16" t="str">
        <f>IF(ISERROR(VLOOKUP($E161&amp;$F161,Results!$A$2:$G$413,AB$1,FALSE)),"",VLOOKUP($E161&amp;$F161,Results!$A$2:$G$413,AB$1,FALSE))</f>
        <v/>
      </c>
      <c r="AC161" s="16"/>
      <c r="AD161" s="20" t="str">
        <f>IF(ISERROR(VLOOKUP($AB161&amp;"-"&amp;$F161,Bonuses!$B$1:$G$1000,4,FALSE)),"",INT(VLOOKUP($AB161&amp;"-"&amp;$F161,Bonuses!$B$1:$G$1000,4,FALSE)))</f>
        <v/>
      </c>
      <c r="AE161" s="16" t="str">
        <f>IF(ISERROR(VLOOKUP($AB161&amp;"-"&amp;$F161,Bonuses!$B$1:$G$1000,5,FALSE)),"",IF(VLOOKUP($AB161&amp;"-"&amp;$F161,Bonuses!$B$1:$G$1000,5,FALSE)="","",VLOOKUP($AB161&amp;"-"&amp;$F161,Bonuses!$B$1:$G$1000,6,FALSE)&amp;" yrs, "&amp;VLOOKUP($AB161&amp;"-"&amp;$F161,Bonuses!$B$1:$G$1000,5,FALSE)))</f>
        <v/>
      </c>
    </row>
    <row r="162" spans="1:31" s="21" customFormat="1">
      <c r="A162" s="21" t="s">
        <v>860</v>
      </c>
      <c r="B162" s="21">
        <f t="shared" si="8"/>
        <v>1</v>
      </c>
      <c r="C162" s="21" t="str">
        <f t="shared" si="9"/>
        <v>B</v>
      </c>
      <c r="D162" s="17">
        <f>IF($C162="B",VLOOKUP($A162,Bat!$A$4:$BD$2323,D$1,FALSE),VLOOKUP($A162,Pit!$A$4:$AZ$2261,D$2,FALSE))</f>
        <v>9436</v>
      </c>
      <c r="E162" s="16" t="str">
        <f>IF($C162="B",VLOOKUP($A162,Bat!$A$4:$BD$2323,E$1,FALSE),VLOOKUP($A162,Pit!$A$4:$AZ$2261,E$2,FALSE))</f>
        <v>1B</v>
      </c>
      <c r="F162" s="16" t="str">
        <f>IF($C162="B",VLOOKUP($A162,Bat!$A$4:$BD$2323,F$1,FALSE),VLOOKUP($A162,Pit!$A$4:$AZ$2261,F$2,FALSE))</f>
        <v>Bartolo Espinoza</v>
      </c>
      <c r="G162" s="16">
        <f>IF($C162="B",VLOOKUP($A162,Bat!$A$4:$BD$2323,G$1,FALSE),VLOOKUP($A162,Pit!$A$4:$AZ$2261,G$2,FALSE))</f>
        <v>21</v>
      </c>
      <c r="H162" s="16" t="str">
        <f>IF($C162="B",VLOOKUP($A162,Bat!$A$4:$BD$2323,H$1,FALSE),VLOOKUP($A162,Pit!$A$4:$AZ$2261,H$2,FALSE))</f>
        <v>L</v>
      </c>
      <c r="I162" s="16" t="str">
        <f>IF($C162="B",VLOOKUP($A162,Bat!$A$4:$BD$2323,I$1,FALSE),VLOOKUP($A162,Pit!$A$4:$AZ$2261,I$2,FALSE))</f>
        <v>L</v>
      </c>
      <c r="J162" s="16" t="str">
        <f>IF($C162="B",VLOOKUP($A162,Bat!$A$4:$BD$2323,J$1,FALSE),VLOOKUP($A162,Pit!$A$4:$AZ$2261,J$2,FALSE))</f>
        <v>High</v>
      </c>
      <c r="K162" s="17" t="str">
        <f>IF($C162="B",VLOOKUP($A162,Bat!$A$4:$BD$2323,K$1,FALSE),VLOOKUP($A162,Pit!$A$4:$AZ$2261,K$2,FALSE))</f>
        <v>Very Low</v>
      </c>
      <c r="L162" s="16">
        <f>IF($C162="B",VLOOKUP($A162,Bat!$A$4:$BD$2323,L$1,FALSE),VLOOKUP($A162,Pit!$A$4:$AZ$2261,L$2,FALSE))</f>
        <v>5</v>
      </c>
      <c r="M162" s="16">
        <f>IF($C162="B",VLOOKUP($A162,Bat!$A$4:$BD$2323,M$1,FALSE),VLOOKUP($A162,Pit!$A$4:$AZ$2261,M$2,FALSE))</f>
        <v>4</v>
      </c>
      <c r="N162" s="16">
        <f>IF($C162="B",VLOOKUP($A162,Bat!$A$4:$BD$2323,N$1,FALSE),VLOOKUP($A162,Pit!$A$4:$AZ$2261,N$2,FALSE))</f>
        <v>3</v>
      </c>
      <c r="O162" s="16">
        <f>IF($C162="B",VLOOKUP($A162,Bat!$A$4:$BD$2323,O$1,FALSE),VLOOKUP($A162,Pit!$A$4:$AZ$2261,O$2,FALSE))</f>
        <v>4</v>
      </c>
      <c r="P162" s="17">
        <f>IF($C162="B",VLOOKUP($A162,Bat!$A$4:$BD$2323,P$1,FALSE),VLOOKUP($A162,Pit!$A$4:$AZ$2261,P$2,FALSE))</f>
        <v>4</v>
      </c>
      <c r="Q162" s="18">
        <f>IF($C162="B",VLOOKUP($A162,Bat!$A$4:$BD$2323,Q$1,FALSE),VLOOKUP($A162,Pit!$A$4:$AZ$2261,Q$2,FALSE))</f>
        <v>8.4979174201516869</v>
      </c>
      <c r="R162" s="19">
        <f>IF($C162="B",VLOOKUP($A162,Bat!$A$4:$BD$2323,R$1,FALSE),VLOOKUP($A162,Pit!$A$4:$AZ$2261,R$2,FALSE))</f>
        <v>-0.30126871221056706</v>
      </c>
      <c r="S162" s="20" t="str">
        <f>IF($C162="B",VLOOKUP($A162,Bat!$A$4:$BD$2323,S$1,FALSE),VLOOKUP($A162,Pit!$A$4:$AZ$2261,S$2,FALSE))</f>
        <v>Slot</v>
      </c>
      <c r="T162" s="17" t="str">
        <f>IF(S162="Slot","",VLOOKUP(IF($C162="B",VLOOKUP($A162,Bat!$A$4:$AT$2323,T$1,FALSE),VLOOKUP($A162,Pit!$A$4:$BD$2261,T$2,FALSE)),COND!$A$34:$B$40,2,FALSE))</f>
        <v/>
      </c>
      <c r="U162" s="21" t="str">
        <f>IF($C162="B",VLOOKUP($A162,Bat!$A$4:$AR$1287,44,FALSE),VLOOKUP($A162,Pit!$A$4:$BB$1239,54,FALSE))</f>
        <v/>
      </c>
      <c r="W162" s="21" t="str">
        <f t="shared" si="10"/>
        <v/>
      </c>
      <c r="X162" s="22" t="e">
        <f t="shared" si="11"/>
        <v>#N/A</v>
      </c>
      <c r="Y162" s="16" t="str">
        <f>IF(ISERROR(VLOOKUP($E162&amp;$F162,Results!$A$2:$G$413,Y$1,FALSE)),"",VLOOKUP($E162&amp;$F162,Results!$A$2:$G$413,Y$1,FALSE))</f>
        <v/>
      </c>
      <c r="Z162" s="16" t="str">
        <f>IF(ISERROR(VLOOKUP($E162&amp;$F162,Results!$A$2:$G$413,Z$1,FALSE)),"",VLOOKUP($E162&amp;$F162,Results!$A$2:$G$413,Z$1,FALSE))</f>
        <v/>
      </c>
      <c r="AA162" s="16" t="str">
        <f>IF(ISERROR(VLOOKUP($E162&amp;$F162,Results!$A$2:$G$413,AA$1,FALSE)),"",VLOOKUP($E162&amp;$F162,Results!$A$2:$G$413,AA$1,FALSE))</f>
        <v/>
      </c>
      <c r="AB162" s="16" t="str">
        <f>IF(ISERROR(VLOOKUP($E162&amp;$F162,Results!$A$2:$G$413,AB$1,FALSE)),"",VLOOKUP($E162&amp;$F162,Results!$A$2:$G$413,AB$1,FALSE))</f>
        <v/>
      </c>
      <c r="AC162" s="16"/>
      <c r="AD162" s="20" t="str">
        <f>IF(ISERROR(VLOOKUP($AB162&amp;"-"&amp;$F162,Bonuses!$B$1:$G$1000,4,FALSE)),"",INT(VLOOKUP($AB162&amp;"-"&amp;$F162,Bonuses!$B$1:$G$1000,4,FALSE)))</f>
        <v/>
      </c>
      <c r="AE162" s="16" t="str">
        <f>IF(ISERROR(VLOOKUP($AB162&amp;"-"&amp;$F162,Bonuses!$B$1:$G$1000,5,FALSE)),"",IF(VLOOKUP($AB162&amp;"-"&amp;$F162,Bonuses!$B$1:$G$1000,5,FALSE)="","",VLOOKUP($AB162&amp;"-"&amp;$F162,Bonuses!$B$1:$G$1000,6,FALSE)&amp;" yrs, "&amp;VLOOKUP($AB162&amp;"-"&amp;$F162,Bonuses!$B$1:$G$1000,5,FALSE)))</f>
        <v/>
      </c>
    </row>
    <row r="163" spans="1:31" s="21" customFormat="1">
      <c r="A163" s="21" t="s">
        <v>255</v>
      </c>
      <c r="B163" s="21">
        <f t="shared" si="8"/>
        <v>1</v>
      </c>
      <c r="C163" s="21" t="str">
        <f t="shared" si="9"/>
        <v>B</v>
      </c>
      <c r="D163" s="17">
        <f>IF($C163="B",VLOOKUP($A163,Bat!$A$4:$BD$2323,D$1,FALSE),VLOOKUP($A163,Pit!$A$4:$AZ$2261,D$2,FALSE))</f>
        <v>7936</v>
      </c>
      <c r="E163" s="16" t="str">
        <f>IF($C163="B",VLOOKUP($A163,Bat!$A$4:$BD$2323,E$1,FALSE),VLOOKUP($A163,Pit!$A$4:$AZ$2261,E$2,FALSE))</f>
        <v>CF</v>
      </c>
      <c r="F163" s="16" t="str">
        <f>IF($C163="B",VLOOKUP($A163,Bat!$A$4:$BD$2323,F$1,FALSE),VLOOKUP($A163,Pit!$A$4:$AZ$2261,F$2,FALSE))</f>
        <v>Juan Garza</v>
      </c>
      <c r="G163" s="16">
        <f>IF($C163="B",VLOOKUP($A163,Bat!$A$4:$BD$2323,G$1,FALSE),VLOOKUP($A163,Pit!$A$4:$AZ$2261,G$2,FALSE))</f>
        <v>20</v>
      </c>
      <c r="H163" s="16" t="str">
        <f>IF($C163="B",VLOOKUP($A163,Bat!$A$4:$BD$2323,H$1,FALSE),VLOOKUP($A163,Pit!$A$4:$AZ$2261,H$2,FALSE))</f>
        <v>L</v>
      </c>
      <c r="I163" s="16" t="str">
        <f>IF($C163="B",VLOOKUP($A163,Bat!$A$4:$BD$2323,I$1,FALSE),VLOOKUP($A163,Pit!$A$4:$AZ$2261,I$2,FALSE))</f>
        <v>L</v>
      </c>
      <c r="J163" s="16" t="str">
        <f>IF($C163="B",VLOOKUP($A163,Bat!$A$4:$BD$2323,J$1,FALSE),VLOOKUP($A163,Pit!$A$4:$AZ$2261,J$2,FALSE))</f>
        <v>Low</v>
      </c>
      <c r="K163" s="17" t="str">
        <f>IF($C163="B",VLOOKUP($A163,Bat!$A$4:$BD$2323,K$1,FALSE),VLOOKUP($A163,Pit!$A$4:$AZ$2261,K$2,FALSE))</f>
        <v>High</v>
      </c>
      <c r="L163" s="16">
        <f>IF($C163="B",VLOOKUP($A163,Bat!$A$4:$BD$2323,L$1,FALSE),VLOOKUP($A163,Pit!$A$4:$AZ$2261,L$2,FALSE))</f>
        <v>5</v>
      </c>
      <c r="M163" s="16">
        <f>IF($C163="B",VLOOKUP($A163,Bat!$A$4:$BD$2323,M$1,FALSE),VLOOKUP($A163,Pit!$A$4:$AZ$2261,M$2,FALSE))</f>
        <v>3</v>
      </c>
      <c r="N163" s="16">
        <f>IF($C163="B",VLOOKUP($A163,Bat!$A$4:$BD$2323,N$1,FALSE),VLOOKUP($A163,Pit!$A$4:$AZ$2261,N$2,FALSE))</f>
        <v>2</v>
      </c>
      <c r="O163" s="16">
        <f>IF($C163="B",VLOOKUP($A163,Bat!$A$4:$BD$2323,O$1,FALSE),VLOOKUP($A163,Pit!$A$4:$AZ$2261,O$2,FALSE))</f>
        <v>4</v>
      </c>
      <c r="P163" s="17">
        <f>IF($C163="B",VLOOKUP($A163,Bat!$A$4:$BD$2323,P$1,FALSE),VLOOKUP($A163,Pit!$A$4:$AZ$2261,P$2,FALSE))</f>
        <v>5</v>
      </c>
      <c r="Q163" s="18">
        <f>IF($C163="B",VLOOKUP($A163,Bat!$A$4:$BD$2323,Q$1,FALSE),VLOOKUP($A163,Pit!$A$4:$AZ$2261,Q$2,FALSE))</f>
        <v>8.3740126751120787</v>
      </c>
      <c r="R163" s="19">
        <f>IF($C163="B",VLOOKUP($A163,Bat!$A$4:$BD$2323,R$1,FALSE),VLOOKUP($A163,Pit!$A$4:$AZ$2261,R$2,FALSE))</f>
        <v>-0.31848201200165127</v>
      </c>
      <c r="S163" s="20">
        <f>IF($C163="B",VLOOKUP($A163,Bat!$A$4:$BD$2323,S$1,FALSE),VLOOKUP($A163,Pit!$A$4:$AZ$2261,S$2,FALSE))</f>
        <v>190000</v>
      </c>
      <c r="T163" s="17" t="str">
        <f>IF(S163="Slot","",VLOOKUP(IF($C163="B",VLOOKUP($A163,Bat!$A$4:$AT$2323,T$1,FALSE),VLOOKUP($A163,Pit!$A$4:$BD$2261,T$2,FALSE)),COND!$A$34:$B$40,2,FALSE))</f>
        <v>EH</v>
      </c>
      <c r="U163" s="21" t="str">
        <f>IF($C163="B",VLOOKUP($A163,Bat!$A$4:$AR$1287,44,FALSE),VLOOKUP($A163,Pit!$A$4:$BB$1239,54,FALSE))</f>
        <v/>
      </c>
      <c r="W163" s="21" t="str">
        <f t="shared" si="10"/>
        <v/>
      </c>
      <c r="X163" s="22" t="e">
        <f t="shared" si="11"/>
        <v>#N/A</v>
      </c>
      <c r="Y163" s="16" t="str">
        <f>IF(ISERROR(VLOOKUP($E163&amp;$F163,Results!$A$2:$G$413,Y$1,FALSE)),"",VLOOKUP($E163&amp;$F163,Results!$A$2:$G$413,Y$1,FALSE))</f>
        <v/>
      </c>
      <c r="Z163" s="16" t="str">
        <f>IF(ISERROR(VLOOKUP($E163&amp;$F163,Results!$A$2:$G$413,Z$1,FALSE)),"",VLOOKUP($E163&amp;$F163,Results!$A$2:$G$413,Z$1,FALSE))</f>
        <v/>
      </c>
      <c r="AA163" s="16" t="str">
        <f>IF(ISERROR(VLOOKUP($E163&amp;$F163,Results!$A$2:$G$413,AA$1,FALSE)),"",VLOOKUP($E163&amp;$F163,Results!$A$2:$G$413,AA$1,FALSE))</f>
        <v/>
      </c>
      <c r="AB163" s="16" t="str">
        <f>IF(ISERROR(VLOOKUP($E163&amp;$F163,Results!$A$2:$G$413,AB$1,FALSE)),"",VLOOKUP($E163&amp;$F163,Results!$A$2:$G$413,AB$1,FALSE))</f>
        <v/>
      </c>
      <c r="AC163" s="16"/>
      <c r="AD163" s="20" t="str">
        <f>IF(ISERROR(VLOOKUP($AB163&amp;"-"&amp;$F163,Bonuses!$B$1:$G$1000,4,FALSE)),"",INT(VLOOKUP($AB163&amp;"-"&amp;$F163,Bonuses!$B$1:$G$1000,4,FALSE)))</f>
        <v/>
      </c>
      <c r="AE163" s="16" t="str">
        <f>IF(ISERROR(VLOOKUP($AB163&amp;"-"&amp;$F163,Bonuses!$B$1:$G$1000,5,FALSE)),"",IF(VLOOKUP($AB163&amp;"-"&amp;$F163,Bonuses!$B$1:$G$1000,5,FALSE)="","",VLOOKUP($AB163&amp;"-"&amp;$F163,Bonuses!$B$1:$G$1000,6,FALSE)&amp;" yrs, "&amp;VLOOKUP($AB163&amp;"-"&amp;$F163,Bonuses!$B$1:$G$1000,5,FALSE)))</f>
        <v/>
      </c>
    </row>
    <row r="164" spans="1:31" s="21" customFormat="1">
      <c r="A164" s="21" t="s">
        <v>643</v>
      </c>
      <c r="B164" s="21">
        <f t="shared" si="8"/>
        <v>1</v>
      </c>
      <c r="C164" s="21" t="str">
        <f t="shared" si="9"/>
        <v>B</v>
      </c>
      <c r="D164" s="17">
        <f>IF($C164="B",VLOOKUP($A164,Bat!$A$4:$BD$2323,D$1,FALSE),VLOOKUP($A164,Pit!$A$4:$AZ$2261,D$2,FALSE))</f>
        <v>4365</v>
      </c>
      <c r="E164" s="16" t="str">
        <f>IF($C164="B",VLOOKUP($A164,Bat!$A$4:$BD$2323,E$1,FALSE),VLOOKUP($A164,Pit!$A$4:$AZ$2261,E$2,FALSE))</f>
        <v>C</v>
      </c>
      <c r="F164" s="16" t="str">
        <f>IF($C164="B",VLOOKUP($A164,Bat!$A$4:$BD$2323,F$1,FALSE),VLOOKUP($A164,Pit!$A$4:$AZ$2261,F$2,FALSE))</f>
        <v>Martin Spencer</v>
      </c>
      <c r="G164" s="16">
        <f>IF($C164="B",VLOOKUP($A164,Bat!$A$4:$BD$2323,G$1,FALSE),VLOOKUP($A164,Pit!$A$4:$AZ$2261,G$2,FALSE))</f>
        <v>21</v>
      </c>
      <c r="H164" s="16" t="str">
        <f>IF($C164="B",VLOOKUP($A164,Bat!$A$4:$BD$2323,H$1,FALSE),VLOOKUP($A164,Pit!$A$4:$AZ$2261,H$2,FALSE))</f>
        <v>L</v>
      </c>
      <c r="I164" s="16" t="str">
        <f>IF($C164="B",VLOOKUP($A164,Bat!$A$4:$BD$2323,I$1,FALSE),VLOOKUP($A164,Pit!$A$4:$AZ$2261,I$2,FALSE))</f>
        <v>R</v>
      </c>
      <c r="J164" s="16" t="str">
        <f>IF($C164="B",VLOOKUP($A164,Bat!$A$4:$BD$2323,J$1,FALSE),VLOOKUP($A164,Pit!$A$4:$AZ$2261,J$2,FALSE))</f>
        <v>Low</v>
      </c>
      <c r="K164" s="17" t="str">
        <f>IF($C164="B",VLOOKUP($A164,Bat!$A$4:$BD$2323,K$1,FALSE),VLOOKUP($A164,Pit!$A$4:$AZ$2261,K$2,FALSE))</f>
        <v>Very Low</v>
      </c>
      <c r="L164" s="16">
        <f>IF($C164="B",VLOOKUP($A164,Bat!$A$4:$BD$2323,L$1,FALSE),VLOOKUP($A164,Pit!$A$4:$AZ$2261,L$2,FALSE))</f>
        <v>4</v>
      </c>
      <c r="M164" s="16">
        <f>IF($C164="B",VLOOKUP($A164,Bat!$A$4:$BD$2323,M$1,FALSE),VLOOKUP($A164,Pit!$A$4:$AZ$2261,M$2,FALSE))</f>
        <v>7</v>
      </c>
      <c r="N164" s="16">
        <f>IF($C164="B",VLOOKUP($A164,Bat!$A$4:$BD$2323,N$1,FALSE),VLOOKUP($A164,Pit!$A$4:$AZ$2261,N$2,FALSE))</f>
        <v>3</v>
      </c>
      <c r="O164" s="16">
        <f>IF($C164="B",VLOOKUP($A164,Bat!$A$4:$BD$2323,O$1,FALSE),VLOOKUP($A164,Pit!$A$4:$AZ$2261,O$2,FALSE))</f>
        <v>4</v>
      </c>
      <c r="P164" s="17">
        <f>IF($C164="B",VLOOKUP($A164,Bat!$A$4:$BD$2323,P$1,FALSE),VLOOKUP($A164,Pit!$A$4:$AZ$2261,P$2,FALSE))</f>
        <v>4</v>
      </c>
      <c r="Q164" s="18">
        <f>IF($C164="B",VLOOKUP($A164,Bat!$A$4:$BD$2323,Q$1,FALSE),VLOOKUP($A164,Pit!$A$4:$AZ$2261,Q$2,FALSE))</f>
        <v>8.2877861443581349</v>
      </c>
      <c r="R164" s="19">
        <f>IF($C164="B",VLOOKUP($A164,Bat!$A$4:$BD$2323,R$1,FALSE),VLOOKUP($A164,Pit!$A$4:$AZ$2261,R$2,FALSE))</f>
        <v>-0.33046091662986643</v>
      </c>
      <c r="S164" s="20" t="str">
        <f>IF($C164="B",VLOOKUP($A164,Bat!$A$4:$BD$2323,S$1,FALSE),VLOOKUP($A164,Pit!$A$4:$AZ$2261,S$2,FALSE))</f>
        <v>Slot</v>
      </c>
      <c r="T164" s="17" t="str">
        <f>IF(S164="Slot","",VLOOKUP(IF($C164="B",VLOOKUP($A164,Bat!$A$4:$AT$2323,T$1,FALSE),VLOOKUP($A164,Pit!$A$4:$BD$2261,T$2,FALSE)),COND!$A$34:$B$40,2,FALSE))</f>
        <v/>
      </c>
      <c r="U164" s="21" t="str">
        <f>IF($C164="B",VLOOKUP($A164,Bat!$A$4:$AR$1287,44,FALSE),VLOOKUP($A164,Pit!$A$4:$BB$1239,54,FALSE))</f>
        <v/>
      </c>
      <c r="W164" s="21" t="str">
        <f t="shared" si="10"/>
        <v/>
      </c>
      <c r="X164" s="22" t="e">
        <f t="shared" si="11"/>
        <v>#N/A</v>
      </c>
      <c r="Y164" s="16" t="str">
        <f>IF(ISERROR(VLOOKUP($E164&amp;$F164,Results!$A$2:$G$413,Y$1,FALSE)),"",VLOOKUP($E164&amp;$F164,Results!$A$2:$G$413,Y$1,FALSE))</f>
        <v/>
      </c>
      <c r="Z164" s="16" t="str">
        <f>IF(ISERROR(VLOOKUP($E164&amp;$F164,Results!$A$2:$G$413,Z$1,FALSE)),"",VLOOKUP($E164&amp;$F164,Results!$A$2:$G$413,Z$1,FALSE))</f>
        <v/>
      </c>
      <c r="AA164" s="16" t="str">
        <f>IF(ISERROR(VLOOKUP($E164&amp;$F164,Results!$A$2:$G$413,AA$1,FALSE)),"",VLOOKUP($E164&amp;$F164,Results!$A$2:$G$413,AA$1,FALSE))</f>
        <v/>
      </c>
      <c r="AB164" s="16" t="str">
        <f>IF(ISERROR(VLOOKUP($E164&amp;$F164,Results!$A$2:$G$413,AB$1,FALSE)),"",VLOOKUP($E164&amp;$F164,Results!$A$2:$G$413,AB$1,FALSE))</f>
        <v/>
      </c>
      <c r="AC164" s="16"/>
      <c r="AD164" s="20" t="str">
        <f>IF(ISERROR(VLOOKUP($AB164&amp;"-"&amp;$F164,Bonuses!$B$1:$G$1000,4,FALSE)),"",INT(VLOOKUP($AB164&amp;"-"&amp;$F164,Bonuses!$B$1:$G$1000,4,FALSE)))</f>
        <v/>
      </c>
      <c r="AE164" s="16" t="str">
        <f>IF(ISERROR(VLOOKUP($AB164&amp;"-"&amp;$F164,Bonuses!$B$1:$G$1000,5,FALSE)),"",IF(VLOOKUP($AB164&amp;"-"&amp;$F164,Bonuses!$B$1:$G$1000,5,FALSE)="","",VLOOKUP($AB164&amp;"-"&amp;$F164,Bonuses!$B$1:$G$1000,6,FALSE)&amp;" yrs, "&amp;VLOOKUP($AB164&amp;"-"&amp;$F164,Bonuses!$B$1:$G$1000,5,FALSE)))</f>
        <v/>
      </c>
    </row>
    <row r="165" spans="1:31" s="21" customFormat="1">
      <c r="A165" s="21" t="s">
        <v>838</v>
      </c>
      <c r="B165" s="21">
        <f t="shared" si="8"/>
        <v>1</v>
      </c>
      <c r="C165" s="21" t="str">
        <f t="shared" si="9"/>
        <v>B</v>
      </c>
      <c r="D165" s="17">
        <f>IF($C165="B",VLOOKUP($A165,Bat!$A$4:$BD$2323,D$1,FALSE),VLOOKUP($A165,Pit!$A$4:$AZ$2261,D$2,FALSE))</f>
        <v>13773</v>
      </c>
      <c r="E165" s="16" t="str">
        <f>IF($C165="B",VLOOKUP($A165,Bat!$A$4:$BD$2323,E$1,FALSE),VLOOKUP($A165,Pit!$A$4:$AZ$2261,E$2,FALSE))</f>
        <v>SS</v>
      </c>
      <c r="F165" s="16" t="str">
        <f>IF($C165="B",VLOOKUP($A165,Bat!$A$4:$BD$2323,F$1,FALSE),VLOOKUP($A165,Pit!$A$4:$AZ$2261,F$2,FALSE))</f>
        <v>Bob Stumberg</v>
      </c>
      <c r="G165" s="16">
        <f>IF($C165="B",VLOOKUP($A165,Bat!$A$4:$BD$2323,G$1,FALSE),VLOOKUP($A165,Pit!$A$4:$AZ$2261,G$2,FALSE))</f>
        <v>18</v>
      </c>
      <c r="H165" s="16" t="str">
        <f>IF($C165="B",VLOOKUP($A165,Bat!$A$4:$BD$2323,H$1,FALSE),VLOOKUP($A165,Pit!$A$4:$AZ$2261,H$2,FALSE))</f>
        <v>R</v>
      </c>
      <c r="I165" s="16" t="str">
        <f>IF($C165="B",VLOOKUP($A165,Bat!$A$4:$BD$2323,I$1,FALSE),VLOOKUP($A165,Pit!$A$4:$AZ$2261,I$2,FALSE))</f>
        <v>R</v>
      </c>
      <c r="J165" s="16" t="str">
        <f>IF($C165="B",VLOOKUP($A165,Bat!$A$4:$BD$2323,J$1,FALSE),VLOOKUP($A165,Pit!$A$4:$AZ$2261,J$2,FALSE))</f>
        <v>Normal</v>
      </c>
      <c r="K165" s="17" t="str">
        <f>IF($C165="B",VLOOKUP($A165,Bat!$A$4:$BD$2323,K$1,FALSE),VLOOKUP($A165,Pit!$A$4:$AZ$2261,K$2,FALSE))</f>
        <v>Normal</v>
      </c>
      <c r="L165" s="16">
        <f>IF($C165="B",VLOOKUP($A165,Bat!$A$4:$BD$2323,L$1,FALSE),VLOOKUP($A165,Pit!$A$4:$AZ$2261,L$2,FALSE))</f>
        <v>4</v>
      </c>
      <c r="M165" s="16">
        <f>IF($C165="B",VLOOKUP($A165,Bat!$A$4:$BD$2323,M$1,FALSE),VLOOKUP($A165,Pit!$A$4:$AZ$2261,M$2,FALSE))</f>
        <v>8</v>
      </c>
      <c r="N165" s="16">
        <f>IF($C165="B",VLOOKUP($A165,Bat!$A$4:$BD$2323,N$1,FALSE),VLOOKUP($A165,Pit!$A$4:$AZ$2261,N$2,FALSE))</f>
        <v>2</v>
      </c>
      <c r="O165" s="16">
        <f>IF($C165="B",VLOOKUP($A165,Bat!$A$4:$BD$2323,O$1,FALSE),VLOOKUP($A165,Pit!$A$4:$AZ$2261,O$2,FALSE))</f>
        <v>5</v>
      </c>
      <c r="P165" s="17">
        <f>IF($C165="B",VLOOKUP($A165,Bat!$A$4:$BD$2323,P$1,FALSE),VLOOKUP($A165,Pit!$A$4:$AZ$2261,P$2,FALSE))</f>
        <v>4</v>
      </c>
      <c r="Q165" s="18">
        <f>IF($C165="B",VLOOKUP($A165,Bat!$A$4:$BD$2323,Q$1,FALSE),VLOOKUP($A165,Pit!$A$4:$AZ$2261,Q$2,FALSE))</f>
        <v>8.2763862847735066</v>
      </c>
      <c r="R165" s="19">
        <f>IF($C165="B",VLOOKUP($A165,Bat!$A$4:$BD$2323,R$1,FALSE),VLOOKUP($A165,Pit!$A$4:$AZ$2261,R$2,FALSE))</f>
        <v>-0.33204462676577562</v>
      </c>
      <c r="S165" s="20" t="str">
        <f>IF($C165="B",VLOOKUP($A165,Bat!$A$4:$BD$2323,S$1,FALSE),VLOOKUP($A165,Pit!$A$4:$AZ$2261,S$2,FALSE))</f>
        <v>Slot</v>
      </c>
      <c r="T165" s="17" t="str">
        <f>IF(S165="Slot","",VLOOKUP(IF($C165="B",VLOOKUP($A165,Bat!$A$4:$AT$2323,T$1,FALSE),VLOOKUP($A165,Pit!$A$4:$BD$2261,T$2,FALSE)),COND!$A$34:$B$40,2,FALSE))</f>
        <v/>
      </c>
      <c r="U165" s="21" t="str">
        <f>IF($C165="B",VLOOKUP($A165,Bat!$A$4:$AR$1287,44,FALSE),VLOOKUP($A165,Pit!$A$4:$BB$1239,54,FALSE))</f>
        <v/>
      </c>
      <c r="W165" s="21" t="str">
        <f t="shared" si="10"/>
        <v/>
      </c>
      <c r="X165" s="22" t="e">
        <f t="shared" si="11"/>
        <v>#N/A</v>
      </c>
      <c r="Y165" s="16" t="str">
        <f>IF(ISERROR(VLOOKUP($E165&amp;$F165,Results!$A$2:$G$413,Y$1,FALSE)),"",VLOOKUP($E165&amp;$F165,Results!$A$2:$G$413,Y$1,FALSE))</f>
        <v/>
      </c>
      <c r="Z165" s="16" t="str">
        <f>IF(ISERROR(VLOOKUP($E165&amp;$F165,Results!$A$2:$G$413,Z$1,FALSE)),"",VLOOKUP($E165&amp;$F165,Results!$A$2:$G$413,Z$1,FALSE))</f>
        <v/>
      </c>
      <c r="AA165" s="16" t="str">
        <f>IF(ISERROR(VLOOKUP($E165&amp;$F165,Results!$A$2:$G$413,AA$1,FALSE)),"",VLOOKUP($E165&amp;$F165,Results!$A$2:$G$413,AA$1,FALSE))</f>
        <v/>
      </c>
      <c r="AB165" s="16" t="str">
        <f>IF(ISERROR(VLOOKUP($E165&amp;$F165,Results!$A$2:$G$413,AB$1,FALSE)),"",VLOOKUP($E165&amp;$F165,Results!$A$2:$G$413,AB$1,FALSE))</f>
        <v/>
      </c>
      <c r="AC165" s="16"/>
      <c r="AD165" s="20" t="str">
        <f>IF(ISERROR(VLOOKUP($AB165&amp;"-"&amp;$F165,Bonuses!$B$1:$G$1000,4,FALSE)),"",INT(VLOOKUP($AB165&amp;"-"&amp;$F165,Bonuses!$B$1:$G$1000,4,FALSE)))</f>
        <v/>
      </c>
      <c r="AE165" s="16" t="str">
        <f>IF(ISERROR(VLOOKUP($AB165&amp;"-"&amp;$F165,Bonuses!$B$1:$G$1000,5,FALSE)),"",IF(VLOOKUP($AB165&amp;"-"&amp;$F165,Bonuses!$B$1:$G$1000,5,FALSE)="","",VLOOKUP($AB165&amp;"-"&amp;$F165,Bonuses!$B$1:$G$1000,6,FALSE)&amp;" yrs, "&amp;VLOOKUP($AB165&amp;"-"&amp;$F165,Bonuses!$B$1:$G$1000,5,FALSE)))</f>
        <v/>
      </c>
    </row>
    <row r="166" spans="1:31" s="21" customFormat="1">
      <c r="A166" s="21" t="s">
        <v>856</v>
      </c>
      <c r="B166" s="21">
        <f t="shared" si="8"/>
        <v>1</v>
      </c>
      <c r="C166" s="21" t="str">
        <f t="shared" si="9"/>
        <v>B</v>
      </c>
      <c r="D166" s="17">
        <f>IF($C166="B",VLOOKUP($A166,Bat!$A$4:$BD$2323,D$1,FALSE),VLOOKUP($A166,Pit!$A$4:$AZ$2261,D$2,FALSE))</f>
        <v>3336</v>
      </c>
      <c r="E166" s="16" t="str">
        <f>IF($C166="B",VLOOKUP($A166,Bat!$A$4:$BD$2323,E$1,FALSE),VLOOKUP($A166,Pit!$A$4:$AZ$2261,E$2,FALSE))</f>
        <v>3B</v>
      </c>
      <c r="F166" s="16" t="str">
        <f>IF($C166="B",VLOOKUP($A166,Bat!$A$4:$BD$2323,F$1,FALSE),VLOOKUP($A166,Pit!$A$4:$AZ$2261,F$2,FALSE))</f>
        <v>Jim Fitter</v>
      </c>
      <c r="G166" s="16">
        <f>IF($C166="B",VLOOKUP($A166,Bat!$A$4:$BD$2323,G$1,FALSE),VLOOKUP($A166,Pit!$A$4:$AZ$2261,G$2,FALSE))</f>
        <v>21</v>
      </c>
      <c r="H166" s="16" t="str">
        <f>IF($C166="B",VLOOKUP($A166,Bat!$A$4:$BD$2323,H$1,FALSE),VLOOKUP($A166,Pit!$A$4:$AZ$2261,H$2,FALSE))</f>
        <v>R</v>
      </c>
      <c r="I166" s="16" t="str">
        <f>IF($C166="B",VLOOKUP($A166,Bat!$A$4:$BD$2323,I$1,FALSE),VLOOKUP($A166,Pit!$A$4:$AZ$2261,I$2,FALSE))</f>
        <v>R</v>
      </c>
      <c r="J166" s="16" t="str">
        <f>IF($C166="B",VLOOKUP($A166,Bat!$A$4:$BD$2323,J$1,FALSE),VLOOKUP($A166,Pit!$A$4:$AZ$2261,J$2,FALSE))</f>
        <v>Very Low</v>
      </c>
      <c r="K166" s="17" t="str">
        <f>IF($C166="B",VLOOKUP($A166,Bat!$A$4:$BD$2323,K$1,FALSE),VLOOKUP($A166,Pit!$A$4:$AZ$2261,K$2,FALSE))</f>
        <v>High</v>
      </c>
      <c r="L166" s="16">
        <f>IF($C166="B",VLOOKUP($A166,Bat!$A$4:$BD$2323,L$1,FALSE),VLOOKUP($A166,Pit!$A$4:$AZ$2261,L$2,FALSE))</f>
        <v>5</v>
      </c>
      <c r="M166" s="16">
        <f>IF($C166="B",VLOOKUP($A166,Bat!$A$4:$BD$2323,M$1,FALSE),VLOOKUP($A166,Pit!$A$4:$AZ$2261,M$2,FALSE))</f>
        <v>4</v>
      </c>
      <c r="N166" s="16">
        <f>IF($C166="B",VLOOKUP($A166,Bat!$A$4:$BD$2323,N$1,FALSE),VLOOKUP($A166,Pit!$A$4:$AZ$2261,N$2,FALSE))</f>
        <v>2</v>
      </c>
      <c r="O166" s="16">
        <f>IF($C166="B",VLOOKUP($A166,Bat!$A$4:$BD$2323,O$1,FALSE),VLOOKUP($A166,Pit!$A$4:$AZ$2261,O$2,FALSE))</f>
        <v>4</v>
      </c>
      <c r="P166" s="17">
        <f>IF($C166="B",VLOOKUP($A166,Bat!$A$4:$BD$2323,P$1,FALSE),VLOOKUP($A166,Pit!$A$4:$AZ$2261,P$2,FALSE))</f>
        <v>4</v>
      </c>
      <c r="Q166" s="18">
        <f>IF($C166="B",VLOOKUP($A166,Bat!$A$4:$BD$2323,Q$1,FALSE),VLOOKUP($A166,Pit!$A$4:$AZ$2261,Q$2,FALSE))</f>
        <v>8.2371025489020404</v>
      </c>
      <c r="R166" s="19">
        <f>IF($C166="B",VLOOKUP($A166,Bat!$A$4:$BD$2323,R$1,FALSE),VLOOKUP($A166,Pit!$A$4:$AZ$2261,R$2,FALSE))</f>
        <v>-0.33750206685213519</v>
      </c>
      <c r="S166" s="20" t="str">
        <f>IF($C166="B",VLOOKUP($A166,Bat!$A$4:$BD$2323,S$1,FALSE),VLOOKUP($A166,Pit!$A$4:$AZ$2261,S$2,FALSE))</f>
        <v>Slot</v>
      </c>
      <c r="T166" s="17" t="str">
        <f>IF(S166="Slot","",VLOOKUP(IF($C166="B",VLOOKUP($A166,Bat!$A$4:$AT$2323,T$1,FALSE),VLOOKUP($A166,Pit!$A$4:$BD$2261,T$2,FALSE)),COND!$A$34:$B$40,2,FALSE))</f>
        <v/>
      </c>
      <c r="U166" s="21" t="str">
        <f>IF($C166="B",VLOOKUP($A166,Bat!$A$4:$AR$1287,44,FALSE),VLOOKUP($A166,Pit!$A$4:$BB$1239,54,FALSE))</f>
        <v/>
      </c>
      <c r="W166" s="21" t="str">
        <f t="shared" si="10"/>
        <v/>
      </c>
      <c r="X166" s="22" t="e">
        <f t="shared" si="11"/>
        <v>#N/A</v>
      </c>
      <c r="Y166" s="16" t="str">
        <f>IF(ISERROR(VLOOKUP($E166&amp;$F166,Results!$A$2:$G$413,Y$1,FALSE)),"",VLOOKUP($E166&amp;$F166,Results!$A$2:$G$413,Y$1,FALSE))</f>
        <v/>
      </c>
      <c r="Z166" s="16" t="str">
        <f>IF(ISERROR(VLOOKUP($E166&amp;$F166,Results!$A$2:$G$413,Z$1,FALSE)),"",VLOOKUP($E166&amp;$F166,Results!$A$2:$G$413,Z$1,FALSE))</f>
        <v/>
      </c>
      <c r="AA166" s="16" t="str">
        <f>IF(ISERROR(VLOOKUP($E166&amp;$F166,Results!$A$2:$G$413,AA$1,FALSE)),"",VLOOKUP($E166&amp;$F166,Results!$A$2:$G$413,AA$1,FALSE))</f>
        <v/>
      </c>
      <c r="AB166" s="16" t="str">
        <f>IF(ISERROR(VLOOKUP($E166&amp;$F166,Results!$A$2:$G$413,AB$1,FALSE)),"",VLOOKUP($E166&amp;$F166,Results!$A$2:$G$413,AB$1,FALSE))</f>
        <v/>
      </c>
      <c r="AC166" s="16"/>
      <c r="AD166" s="20" t="str">
        <f>IF(ISERROR(VLOOKUP($AB166&amp;"-"&amp;$F166,Bonuses!$B$1:$G$1000,4,FALSE)),"",INT(VLOOKUP($AB166&amp;"-"&amp;$F166,Bonuses!$B$1:$G$1000,4,FALSE)))</f>
        <v/>
      </c>
      <c r="AE166" s="16" t="str">
        <f>IF(ISERROR(VLOOKUP($AB166&amp;"-"&amp;$F166,Bonuses!$B$1:$G$1000,5,FALSE)),"",IF(VLOOKUP($AB166&amp;"-"&amp;$F166,Bonuses!$B$1:$G$1000,5,FALSE)="","",VLOOKUP($AB166&amp;"-"&amp;$F166,Bonuses!$B$1:$G$1000,6,FALSE)&amp;" yrs, "&amp;VLOOKUP($AB166&amp;"-"&amp;$F166,Bonuses!$B$1:$G$1000,5,FALSE)))</f>
        <v/>
      </c>
    </row>
    <row r="167" spans="1:31" s="21" customFormat="1">
      <c r="A167" s="21" t="s">
        <v>864</v>
      </c>
      <c r="B167" s="21">
        <f t="shared" si="8"/>
        <v>1</v>
      </c>
      <c r="C167" s="21" t="str">
        <f t="shared" si="9"/>
        <v>B</v>
      </c>
      <c r="D167" s="17">
        <f>IF($C167="B",VLOOKUP($A167,Bat!$A$4:$BD$2323,D$1,FALSE),VLOOKUP($A167,Pit!$A$4:$AZ$2261,D$2,FALSE))</f>
        <v>13755</v>
      </c>
      <c r="E167" s="16" t="str">
        <f>IF($C167="B",VLOOKUP($A167,Bat!$A$4:$BD$2323,E$1,FALSE),VLOOKUP($A167,Pit!$A$4:$AZ$2261,E$2,FALSE))</f>
        <v>3B</v>
      </c>
      <c r="F167" s="16" t="str">
        <f>IF($C167="B",VLOOKUP($A167,Bat!$A$4:$BD$2323,F$1,FALSE),VLOOKUP($A167,Pit!$A$4:$AZ$2261,F$2,FALSE))</f>
        <v>Archie Green</v>
      </c>
      <c r="G167" s="16">
        <f>IF($C167="B",VLOOKUP($A167,Bat!$A$4:$BD$2323,G$1,FALSE),VLOOKUP($A167,Pit!$A$4:$AZ$2261,G$2,FALSE))</f>
        <v>18</v>
      </c>
      <c r="H167" s="16" t="str">
        <f>IF($C167="B",VLOOKUP($A167,Bat!$A$4:$BD$2323,H$1,FALSE),VLOOKUP($A167,Pit!$A$4:$AZ$2261,H$2,FALSE))</f>
        <v>R</v>
      </c>
      <c r="I167" s="16" t="str">
        <f>IF($C167="B",VLOOKUP($A167,Bat!$A$4:$BD$2323,I$1,FALSE),VLOOKUP($A167,Pit!$A$4:$AZ$2261,I$2,FALSE))</f>
        <v>R</v>
      </c>
      <c r="J167" s="16" t="str">
        <f>IF($C167="B",VLOOKUP($A167,Bat!$A$4:$BD$2323,J$1,FALSE),VLOOKUP($A167,Pit!$A$4:$AZ$2261,J$2,FALSE))</f>
        <v>Low</v>
      </c>
      <c r="K167" s="17" t="str">
        <f>IF($C167="B",VLOOKUP($A167,Bat!$A$4:$BD$2323,K$1,FALSE),VLOOKUP($A167,Pit!$A$4:$AZ$2261,K$2,FALSE))</f>
        <v>Normal</v>
      </c>
      <c r="L167" s="16">
        <f>IF($C167="B",VLOOKUP($A167,Bat!$A$4:$BD$2323,L$1,FALSE),VLOOKUP($A167,Pit!$A$4:$AZ$2261,L$2,FALSE))</f>
        <v>5</v>
      </c>
      <c r="M167" s="16">
        <f>IF($C167="B",VLOOKUP($A167,Bat!$A$4:$BD$2323,M$1,FALSE),VLOOKUP($A167,Pit!$A$4:$AZ$2261,M$2,FALSE))</f>
        <v>5</v>
      </c>
      <c r="N167" s="16">
        <f>IF($C167="B",VLOOKUP($A167,Bat!$A$4:$BD$2323,N$1,FALSE),VLOOKUP($A167,Pit!$A$4:$AZ$2261,N$2,FALSE))</f>
        <v>3</v>
      </c>
      <c r="O167" s="16">
        <f>IF($C167="B",VLOOKUP($A167,Bat!$A$4:$BD$2323,O$1,FALSE),VLOOKUP($A167,Pit!$A$4:$AZ$2261,O$2,FALSE))</f>
        <v>3</v>
      </c>
      <c r="P167" s="17">
        <f>IF($C167="B",VLOOKUP($A167,Bat!$A$4:$BD$2323,P$1,FALSE),VLOOKUP($A167,Pit!$A$4:$AZ$2261,P$2,FALSE))</f>
        <v>4</v>
      </c>
      <c r="Q167" s="18">
        <f>IF($C167="B",VLOOKUP($A167,Bat!$A$4:$BD$2323,Q$1,FALSE),VLOOKUP($A167,Pit!$A$4:$AZ$2261,Q$2,FALSE))</f>
        <v>8.2051991046929889</v>
      </c>
      <c r="R167" s="19">
        <f>IF($C167="B",VLOOKUP($A167,Bat!$A$4:$BD$2323,R$1,FALSE),VLOOKUP($A167,Pit!$A$4:$AZ$2261,R$2,FALSE))</f>
        <v>-0.34193420986137169</v>
      </c>
      <c r="S167" s="20" t="str">
        <f>IF($C167="B",VLOOKUP($A167,Bat!$A$4:$BD$2323,S$1,FALSE),VLOOKUP($A167,Pit!$A$4:$AZ$2261,S$2,FALSE))</f>
        <v>Slot</v>
      </c>
      <c r="T167" s="17" t="str">
        <f>IF(S167="Slot","",VLOOKUP(IF($C167="B",VLOOKUP($A167,Bat!$A$4:$AT$2323,T$1,FALSE),VLOOKUP($A167,Pit!$A$4:$BD$2261,T$2,FALSE)),COND!$A$34:$B$40,2,FALSE))</f>
        <v/>
      </c>
      <c r="U167" s="21" t="str">
        <f>IF($C167="B",VLOOKUP($A167,Bat!$A$4:$AR$1287,44,FALSE),VLOOKUP($A167,Pit!$A$4:$BB$1239,54,FALSE))</f>
        <v/>
      </c>
      <c r="W167" s="21" t="str">
        <f t="shared" si="10"/>
        <v/>
      </c>
      <c r="X167" s="22" t="e">
        <f t="shared" si="11"/>
        <v>#N/A</v>
      </c>
      <c r="Y167" s="16" t="str">
        <f>IF(ISERROR(VLOOKUP($E167&amp;$F167,Results!$A$2:$G$413,Y$1,FALSE)),"",VLOOKUP($E167&amp;$F167,Results!$A$2:$G$413,Y$1,FALSE))</f>
        <v/>
      </c>
      <c r="Z167" s="16" t="str">
        <f>IF(ISERROR(VLOOKUP($E167&amp;$F167,Results!$A$2:$G$413,Z$1,FALSE)),"",VLOOKUP($E167&amp;$F167,Results!$A$2:$G$413,Z$1,FALSE))</f>
        <v/>
      </c>
      <c r="AA167" s="16" t="str">
        <f>IF(ISERROR(VLOOKUP($E167&amp;$F167,Results!$A$2:$G$413,AA$1,FALSE)),"",VLOOKUP($E167&amp;$F167,Results!$A$2:$G$413,AA$1,FALSE))</f>
        <v/>
      </c>
      <c r="AB167" s="16" t="str">
        <f>IF(ISERROR(VLOOKUP($E167&amp;$F167,Results!$A$2:$G$413,AB$1,FALSE)),"",VLOOKUP($E167&amp;$F167,Results!$A$2:$G$413,AB$1,FALSE))</f>
        <v/>
      </c>
      <c r="AC167" s="16"/>
      <c r="AD167" s="20" t="str">
        <f>IF(ISERROR(VLOOKUP($AB167&amp;"-"&amp;$F167,Bonuses!$B$1:$G$1000,4,FALSE)),"",INT(VLOOKUP($AB167&amp;"-"&amp;$F167,Bonuses!$B$1:$G$1000,4,FALSE)))</f>
        <v/>
      </c>
      <c r="AE167" s="16" t="str">
        <f>IF(ISERROR(VLOOKUP($AB167&amp;"-"&amp;$F167,Bonuses!$B$1:$G$1000,5,FALSE)),"",IF(VLOOKUP($AB167&amp;"-"&amp;$F167,Bonuses!$B$1:$G$1000,5,FALSE)="","",VLOOKUP($AB167&amp;"-"&amp;$F167,Bonuses!$B$1:$G$1000,6,FALSE)&amp;" yrs, "&amp;VLOOKUP($AB167&amp;"-"&amp;$F167,Bonuses!$B$1:$G$1000,5,FALSE)))</f>
        <v/>
      </c>
    </row>
    <row r="168" spans="1:31" s="21" customFormat="1">
      <c r="A168" s="21" t="s">
        <v>817</v>
      </c>
      <c r="B168" s="21">
        <f t="shared" si="8"/>
        <v>1</v>
      </c>
      <c r="C168" s="21" t="str">
        <f t="shared" si="9"/>
        <v>B</v>
      </c>
      <c r="D168" s="17">
        <f>IF($C168="B",VLOOKUP($A168,Bat!$A$4:$BD$2323,D$1,FALSE),VLOOKUP($A168,Pit!$A$4:$AZ$2261,D$2,FALSE))</f>
        <v>4397</v>
      </c>
      <c r="E168" s="16" t="str">
        <f>IF($C168="B",VLOOKUP($A168,Bat!$A$4:$BD$2323,E$1,FALSE),VLOOKUP($A168,Pit!$A$4:$AZ$2261,E$2,FALSE))</f>
        <v>3B</v>
      </c>
      <c r="F168" s="16" t="str">
        <f>IF($C168="B",VLOOKUP($A168,Bat!$A$4:$BD$2323,F$1,FALSE),VLOOKUP($A168,Pit!$A$4:$AZ$2261,F$2,FALSE))</f>
        <v>Pyeong-chu Kim</v>
      </c>
      <c r="G168" s="16">
        <f>IF($C168="B",VLOOKUP($A168,Bat!$A$4:$BD$2323,G$1,FALSE),VLOOKUP($A168,Pit!$A$4:$AZ$2261,G$2,FALSE))</f>
        <v>21</v>
      </c>
      <c r="H168" s="16" t="str">
        <f>IF($C168="B",VLOOKUP($A168,Bat!$A$4:$BD$2323,H$1,FALSE),VLOOKUP($A168,Pit!$A$4:$AZ$2261,H$2,FALSE))</f>
        <v>R</v>
      </c>
      <c r="I168" s="16" t="str">
        <f>IF($C168="B",VLOOKUP($A168,Bat!$A$4:$BD$2323,I$1,FALSE),VLOOKUP($A168,Pit!$A$4:$AZ$2261,I$2,FALSE))</f>
        <v>R</v>
      </c>
      <c r="J168" s="16" t="str">
        <f>IF($C168="B",VLOOKUP($A168,Bat!$A$4:$BD$2323,J$1,FALSE),VLOOKUP($A168,Pit!$A$4:$AZ$2261,J$2,FALSE))</f>
        <v>Normal</v>
      </c>
      <c r="K168" s="17" t="str">
        <f>IF($C168="B",VLOOKUP($A168,Bat!$A$4:$BD$2323,K$1,FALSE),VLOOKUP($A168,Pit!$A$4:$AZ$2261,K$2,FALSE))</f>
        <v>Normal</v>
      </c>
      <c r="L168" s="16">
        <f>IF($C168="B",VLOOKUP($A168,Bat!$A$4:$BD$2323,L$1,FALSE),VLOOKUP($A168,Pit!$A$4:$AZ$2261,L$2,FALSE))</f>
        <v>4</v>
      </c>
      <c r="M168" s="16">
        <f>IF($C168="B",VLOOKUP($A168,Bat!$A$4:$BD$2323,M$1,FALSE),VLOOKUP($A168,Pit!$A$4:$AZ$2261,M$2,FALSE))</f>
        <v>5</v>
      </c>
      <c r="N168" s="16">
        <f>IF($C168="B",VLOOKUP($A168,Bat!$A$4:$BD$2323,N$1,FALSE),VLOOKUP($A168,Pit!$A$4:$AZ$2261,N$2,FALSE))</f>
        <v>4</v>
      </c>
      <c r="O168" s="16">
        <f>IF($C168="B",VLOOKUP($A168,Bat!$A$4:$BD$2323,O$1,FALSE),VLOOKUP($A168,Pit!$A$4:$AZ$2261,O$2,FALSE))</f>
        <v>4</v>
      </c>
      <c r="P168" s="17">
        <f>IF($C168="B",VLOOKUP($A168,Bat!$A$4:$BD$2323,P$1,FALSE),VLOOKUP($A168,Pit!$A$4:$AZ$2261,P$2,FALSE))</f>
        <v>4</v>
      </c>
      <c r="Q168" s="18">
        <f>IF($C168="B",VLOOKUP($A168,Bat!$A$4:$BD$2323,Q$1,FALSE),VLOOKUP($A168,Pit!$A$4:$AZ$2261,Q$2,FALSE))</f>
        <v>8.2043939179486962</v>
      </c>
      <c r="R168" s="19">
        <f>IF($C168="B",VLOOKUP($A168,Bat!$A$4:$BD$2323,R$1,FALSE),VLOOKUP($A168,Pit!$A$4:$AZ$2261,R$2,FALSE))</f>
        <v>-0.34204606934514603</v>
      </c>
      <c r="S168" s="20" t="str">
        <f>IF($C168="B",VLOOKUP($A168,Bat!$A$4:$BD$2323,S$1,FALSE),VLOOKUP($A168,Pit!$A$4:$AZ$2261,S$2,FALSE))</f>
        <v>Slot</v>
      </c>
      <c r="T168" s="17" t="str">
        <f>IF(S168="Slot","",VLOOKUP(IF($C168="B",VLOOKUP($A168,Bat!$A$4:$AT$2323,T$1,FALSE),VLOOKUP($A168,Pit!$A$4:$BD$2261,T$2,FALSE)),COND!$A$34:$B$40,2,FALSE))</f>
        <v/>
      </c>
      <c r="U168" s="21" t="str">
        <f>IF($C168="B",VLOOKUP($A168,Bat!$A$4:$AR$1287,44,FALSE),VLOOKUP($A168,Pit!$A$4:$BB$1239,54,FALSE))</f>
        <v/>
      </c>
      <c r="W168" s="21" t="str">
        <f t="shared" si="10"/>
        <v/>
      </c>
      <c r="X168" s="22" t="e">
        <f t="shared" si="11"/>
        <v>#N/A</v>
      </c>
      <c r="Y168" s="16" t="str">
        <f>IF(ISERROR(VLOOKUP($E168&amp;$F168,Results!$A$2:$G$413,Y$1,FALSE)),"",VLOOKUP($E168&amp;$F168,Results!$A$2:$G$413,Y$1,FALSE))</f>
        <v/>
      </c>
      <c r="Z168" s="16" t="str">
        <f>IF(ISERROR(VLOOKUP($E168&amp;$F168,Results!$A$2:$G$413,Z$1,FALSE)),"",VLOOKUP($E168&amp;$F168,Results!$A$2:$G$413,Z$1,FALSE))</f>
        <v/>
      </c>
      <c r="AA168" s="16" t="str">
        <f>IF(ISERROR(VLOOKUP($E168&amp;$F168,Results!$A$2:$G$413,AA$1,FALSE)),"",VLOOKUP($E168&amp;$F168,Results!$A$2:$G$413,AA$1,FALSE))</f>
        <v/>
      </c>
      <c r="AB168" s="16" t="str">
        <f>IF(ISERROR(VLOOKUP($E168&amp;$F168,Results!$A$2:$G$413,AB$1,FALSE)),"",VLOOKUP($E168&amp;$F168,Results!$A$2:$G$413,AB$1,FALSE))</f>
        <v/>
      </c>
      <c r="AC168" s="16"/>
      <c r="AD168" s="20" t="str">
        <f>IF(ISERROR(VLOOKUP($AB168&amp;"-"&amp;$F168,Bonuses!$B$1:$G$1000,4,FALSE)),"",INT(VLOOKUP($AB168&amp;"-"&amp;$F168,Bonuses!$B$1:$G$1000,4,FALSE)))</f>
        <v/>
      </c>
      <c r="AE168" s="16" t="str">
        <f>IF(ISERROR(VLOOKUP($AB168&amp;"-"&amp;$F168,Bonuses!$B$1:$G$1000,5,FALSE)),"",IF(VLOOKUP($AB168&amp;"-"&amp;$F168,Bonuses!$B$1:$G$1000,5,FALSE)="","",VLOOKUP($AB168&amp;"-"&amp;$F168,Bonuses!$B$1:$G$1000,6,FALSE)&amp;" yrs, "&amp;VLOOKUP($AB168&amp;"-"&amp;$F168,Bonuses!$B$1:$G$1000,5,FALSE)))</f>
        <v/>
      </c>
    </row>
    <row r="169" spans="1:31" s="21" customFormat="1">
      <c r="A169" s="21" t="s">
        <v>859</v>
      </c>
      <c r="B169" s="21">
        <f t="shared" si="8"/>
        <v>1</v>
      </c>
      <c r="C169" s="21" t="str">
        <f t="shared" si="9"/>
        <v>B</v>
      </c>
      <c r="D169" s="17">
        <f>IF($C169="B",VLOOKUP($A169,Bat!$A$4:$BD$2323,D$1,FALSE),VLOOKUP($A169,Pit!$A$4:$AZ$2261,D$2,FALSE))</f>
        <v>1389</v>
      </c>
      <c r="E169" s="16" t="str">
        <f>IF($C169="B",VLOOKUP($A169,Bat!$A$4:$BD$2323,E$1,FALSE),VLOOKUP($A169,Pit!$A$4:$AZ$2261,E$2,FALSE))</f>
        <v>LF</v>
      </c>
      <c r="F169" s="16" t="str">
        <f>IF($C169="B",VLOOKUP($A169,Bat!$A$4:$BD$2323,F$1,FALSE),VLOOKUP($A169,Pit!$A$4:$AZ$2261,F$2,FALSE))</f>
        <v>Roland Smith</v>
      </c>
      <c r="G169" s="16">
        <f>IF($C169="B",VLOOKUP($A169,Bat!$A$4:$BD$2323,G$1,FALSE),VLOOKUP($A169,Pit!$A$4:$AZ$2261,G$2,FALSE))</f>
        <v>18</v>
      </c>
      <c r="H169" s="16" t="str">
        <f>IF($C169="B",VLOOKUP($A169,Bat!$A$4:$BD$2323,H$1,FALSE),VLOOKUP($A169,Pit!$A$4:$AZ$2261,H$2,FALSE))</f>
        <v>R</v>
      </c>
      <c r="I169" s="16" t="str">
        <f>IF($C169="B",VLOOKUP($A169,Bat!$A$4:$BD$2323,I$1,FALSE),VLOOKUP($A169,Pit!$A$4:$AZ$2261,I$2,FALSE))</f>
        <v>R</v>
      </c>
      <c r="J169" s="16" t="str">
        <f>IF($C169="B",VLOOKUP($A169,Bat!$A$4:$BD$2323,J$1,FALSE),VLOOKUP($A169,Pit!$A$4:$AZ$2261,J$2,FALSE))</f>
        <v>High</v>
      </c>
      <c r="K169" s="17" t="str">
        <f>IF($C169="B",VLOOKUP($A169,Bat!$A$4:$BD$2323,K$1,FALSE),VLOOKUP($A169,Pit!$A$4:$AZ$2261,K$2,FALSE))</f>
        <v>Normal</v>
      </c>
      <c r="L169" s="16">
        <f>IF($C169="B",VLOOKUP($A169,Bat!$A$4:$BD$2323,L$1,FALSE),VLOOKUP($A169,Pit!$A$4:$AZ$2261,L$2,FALSE))</f>
        <v>5</v>
      </c>
      <c r="M169" s="16">
        <f>IF($C169="B",VLOOKUP($A169,Bat!$A$4:$BD$2323,M$1,FALSE),VLOOKUP($A169,Pit!$A$4:$AZ$2261,M$2,FALSE))</f>
        <v>3</v>
      </c>
      <c r="N169" s="16">
        <f>IF($C169="B",VLOOKUP($A169,Bat!$A$4:$BD$2323,N$1,FALSE),VLOOKUP($A169,Pit!$A$4:$AZ$2261,N$2,FALSE))</f>
        <v>4</v>
      </c>
      <c r="O169" s="16">
        <f>IF($C169="B",VLOOKUP($A169,Bat!$A$4:$BD$2323,O$1,FALSE),VLOOKUP($A169,Pit!$A$4:$AZ$2261,O$2,FALSE))</f>
        <v>3</v>
      </c>
      <c r="P169" s="17">
        <f>IF($C169="B",VLOOKUP($A169,Bat!$A$4:$BD$2323,P$1,FALSE),VLOOKUP($A169,Pit!$A$4:$AZ$2261,P$2,FALSE))</f>
        <v>4</v>
      </c>
      <c r="Q169" s="18">
        <f>IF($C169="B",VLOOKUP($A169,Bat!$A$4:$BD$2323,Q$1,FALSE),VLOOKUP($A169,Pit!$A$4:$AZ$2261,Q$2,FALSE))</f>
        <v>8.1713939341690516</v>
      </c>
      <c r="R169" s="19">
        <f>IF($C169="B",VLOOKUP($A169,Bat!$A$4:$BD$2323,R$1,FALSE),VLOOKUP($A169,Pit!$A$4:$AZ$2261,R$2,FALSE))</f>
        <v>-0.3466305476370658</v>
      </c>
      <c r="S169" s="20" t="str">
        <f>IF($C169="B",VLOOKUP($A169,Bat!$A$4:$BD$2323,S$1,FALSE),VLOOKUP($A169,Pit!$A$4:$AZ$2261,S$2,FALSE))</f>
        <v>Slot</v>
      </c>
      <c r="T169" s="17" t="str">
        <f>IF(S169="Slot","",VLOOKUP(IF($C169="B",VLOOKUP($A169,Bat!$A$4:$AT$2323,T$1,FALSE),VLOOKUP($A169,Pit!$A$4:$BD$2261,T$2,FALSE)),COND!$A$34:$B$40,2,FALSE))</f>
        <v/>
      </c>
      <c r="U169" s="21" t="str">
        <f>IF($C169="B",VLOOKUP($A169,Bat!$A$4:$AR$1287,44,FALSE),VLOOKUP($A169,Pit!$A$4:$BB$1239,54,FALSE))</f>
        <v/>
      </c>
      <c r="W169" s="21" t="str">
        <f t="shared" si="10"/>
        <v/>
      </c>
      <c r="X169" s="22" t="e">
        <f t="shared" si="11"/>
        <v>#N/A</v>
      </c>
      <c r="Y169" s="16" t="str">
        <f>IF(ISERROR(VLOOKUP($E169&amp;$F169,Results!$A$2:$G$413,Y$1,FALSE)),"",VLOOKUP($E169&amp;$F169,Results!$A$2:$G$413,Y$1,FALSE))</f>
        <v/>
      </c>
      <c r="Z169" s="16" t="str">
        <f>IF(ISERROR(VLOOKUP($E169&amp;$F169,Results!$A$2:$G$413,Z$1,FALSE)),"",VLOOKUP($E169&amp;$F169,Results!$A$2:$G$413,Z$1,FALSE))</f>
        <v/>
      </c>
      <c r="AA169" s="16" t="str">
        <f>IF(ISERROR(VLOOKUP($E169&amp;$F169,Results!$A$2:$G$413,AA$1,FALSE)),"",VLOOKUP($E169&amp;$F169,Results!$A$2:$G$413,AA$1,FALSE))</f>
        <v/>
      </c>
      <c r="AB169" s="16" t="str">
        <f>IF(ISERROR(VLOOKUP($E169&amp;$F169,Results!$A$2:$G$413,AB$1,FALSE)),"",VLOOKUP($E169&amp;$F169,Results!$A$2:$G$413,AB$1,FALSE))</f>
        <v/>
      </c>
      <c r="AC169" s="16"/>
      <c r="AD169" s="20" t="str">
        <f>IF(ISERROR(VLOOKUP($AB169&amp;"-"&amp;$F169,Bonuses!$B$1:$G$1000,4,FALSE)),"",INT(VLOOKUP($AB169&amp;"-"&amp;$F169,Bonuses!$B$1:$G$1000,4,FALSE)))</f>
        <v/>
      </c>
      <c r="AE169" s="16" t="str">
        <f>IF(ISERROR(VLOOKUP($AB169&amp;"-"&amp;$F169,Bonuses!$B$1:$G$1000,5,FALSE)),"",IF(VLOOKUP($AB169&amp;"-"&amp;$F169,Bonuses!$B$1:$G$1000,5,FALSE)="","",VLOOKUP($AB169&amp;"-"&amp;$F169,Bonuses!$B$1:$G$1000,6,FALSE)&amp;" yrs, "&amp;VLOOKUP($AB169&amp;"-"&amp;$F169,Bonuses!$B$1:$G$1000,5,FALSE)))</f>
        <v/>
      </c>
    </row>
    <row r="170" spans="1:31" s="21" customFormat="1">
      <c r="A170" s="21" t="s">
        <v>431</v>
      </c>
      <c r="B170" s="21">
        <f t="shared" si="8"/>
        <v>1</v>
      </c>
      <c r="C170" s="21" t="str">
        <f t="shared" si="9"/>
        <v>B</v>
      </c>
      <c r="D170" s="17">
        <f>IF($C170="B",VLOOKUP($A170,Bat!$A$4:$BD$2323,D$1,FALSE),VLOOKUP($A170,Pit!$A$4:$AZ$2261,D$2,FALSE))</f>
        <v>5871</v>
      </c>
      <c r="E170" s="16" t="str">
        <f>IF($C170="B",VLOOKUP($A170,Bat!$A$4:$BD$2323,E$1,FALSE),VLOOKUP($A170,Pit!$A$4:$AZ$2261,E$2,FALSE))</f>
        <v>C</v>
      </c>
      <c r="F170" s="16" t="str">
        <f>IF($C170="B",VLOOKUP($A170,Bat!$A$4:$BD$2323,F$1,FALSE),VLOOKUP($A170,Pit!$A$4:$AZ$2261,F$2,FALSE))</f>
        <v>Adam Hutchinson</v>
      </c>
      <c r="G170" s="16">
        <f>IF($C170="B",VLOOKUP($A170,Bat!$A$4:$BD$2323,G$1,FALSE),VLOOKUP($A170,Pit!$A$4:$AZ$2261,G$2,FALSE))</f>
        <v>21</v>
      </c>
      <c r="H170" s="16" t="str">
        <f>IF($C170="B",VLOOKUP($A170,Bat!$A$4:$BD$2323,H$1,FALSE),VLOOKUP($A170,Pit!$A$4:$AZ$2261,H$2,FALSE))</f>
        <v>R</v>
      </c>
      <c r="I170" s="16" t="str">
        <f>IF($C170="B",VLOOKUP($A170,Bat!$A$4:$BD$2323,I$1,FALSE),VLOOKUP($A170,Pit!$A$4:$AZ$2261,I$2,FALSE))</f>
        <v>R</v>
      </c>
      <c r="J170" s="16" t="str">
        <f>IF($C170="B",VLOOKUP($A170,Bat!$A$4:$BD$2323,J$1,FALSE),VLOOKUP($A170,Pit!$A$4:$AZ$2261,J$2,FALSE))</f>
        <v>Very Low</v>
      </c>
      <c r="K170" s="17" t="str">
        <f>IF($C170="B",VLOOKUP($A170,Bat!$A$4:$BD$2323,K$1,FALSE),VLOOKUP($A170,Pit!$A$4:$AZ$2261,K$2,FALSE))</f>
        <v>Low</v>
      </c>
      <c r="L170" s="16">
        <f>IF($C170="B",VLOOKUP($A170,Bat!$A$4:$BD$2323,L$1,FALSE),VLOOKUP($A170,Pit!$A$4:$AZ$2261,L$2,FALSE))</f>
        <v>5</v>
      </c>
      <c r="M170" s="16">
        <f>IF($C170="B",VLOOKUP($A170,Bat!$A$4:$BD$2323,M$1,FALSE),VLOOKUP($A170,Pit!$A$4:$AZ$2261,M$2,FALSE))</f>
        <v>3</v>
      </c>
      <c r="N170" s="16">
        <f>IF($C170="B",VLOOKUP($A170,Bat!$A$4:$BD$2323,N$1,FALSE),VLOOKUP($A170,Pit!$A$4:$AZ$2261,N$2,FALSE))</f>
        <v>2</v>
      </c>
      <c r="O170" s="16">
        <f>IF($C170="B",VLOOKUP($A170,Bat!$A$4:$BD$2323,O$1,FALSE),VLOOKUP($A170,Pit!$A$4:$AZ$2261,O$2,FALSE))</f>
        <v>4</v>
      </c>
      <c r="P170" s="17">
        <f>IF($C170="B",VLOOKUP($A170,Bat!$A$4:$BD$2323,P$1,FALSE),VLOOKUP($A170,Pit!$A$4:$AZ$2261,P$2,FALSE))</f>
        <v>4</v>
      </c>
      <c r="Q170" s="18">
        <f>IF($C170="B",VLOOKUP($A170,Bat!$A$4:$BD$2323,Q$1,FALSE),VLOOKUP($A170,Pit!$A$4:$AZ$2261,Q$2,FALSE))</f>
        <v>8.1459933768964188</v>
      </c>
      <c r="R170" s="19">
        <f>IF($C170="B",VLOOKUP($A170,Bat!$A$4:$BD$2323,R$1,FALSE),VLOOKUP($A170,Pit!$A$4:$AZ$2261,R$2,FALSE))</f>
        <v>-0.35015928583877604</v>
      </c>
      <c r="S170" s="20" t="str">
        <f>IF($C170="B",VLOOKUP($A170,Bat!$A$4:$BD$2323,S$1,FALSE),VLOOKUP($A170,Pit!$A$4:$AZ$2261,S$2,FALSE))</f>
        <v>Slot</v>
      </c>
      <c r="T170" s="17" t="str">
        <f>IF(S170="Slot","",VLOOKUP(IF($C170="B",VLOOKUP($A170,Bat!$A$4:$AT$2323,T$1,FALSE),VLOOKUP($A170,Pit!$A$4:$BD$2261,T$2,FALSE)),COND!$A$34:$B$40,2,FALSE))</f>
        <v/>
      </c>
      <c r="U170" s="21" t="str">
        <f>IF($C170="B",VLOOKUP($A170,Bat!$A$4:$AR$1287,44,FALSE),VLOOKUP($A170,Pit!$A$4:$BB$1239,54,FALSE))</f>
        <v/>
      </c>
      <c r="W170" s="21" t="str">
        <f t="shared" si="10"/>
        <v/>
      </c>
      <c r="X170" s="22" t="e">
        <f t="shared" si="11"/>
        <v>#N/A</v>
      </c>
      <c r="Y170" s="16" t="str">
        <f>IF(ISERROR(VLOOKUP($E170&amp;$F170,Results!$A$2:$G$413,Y$1,FALSE)),"",VLOOKUP($E170&amp;$F170,Results!$A$2:$G$413,Y$1,FALSE))</f>
        <v/>
      </c>
      <c r="Z170" s="16" t="str">
        <f>IF(ISERROR(VLOOKUP($E170&amp;$F170,Results!$A$2:$G$413,Z$1,FALSE)),"",VLOOKUP($E170&amp;$F170,Results!$A$2:$G$413,Z$1,FALSE))</f>
        <v/>
      </c>
      <c r="AA170" s="16" t="str">
        <f>IF(ISERROR(VLOOKUP($E170&amp;$F170,Results!$A$2:$G$413,AA$1,FALSE)),"",VLOOKUP($E170&amp;$F170,Results!$A$2:$G$413,AA$1,FALSE))</f>
        <v/>
      </c>
      <c r="AB170" s="16" t="str">
        <f>IF(ISERROR(VLOOKUP($E170&amp;$F170,Results!$A$2:$G$413,AB$1,FALSE)),"",VLOOKUP($E170&amp;$F170,Results!$A$2:$G$413,AB$1,FALSE))</f>
        <v/>
      </c>
      <c r="AC170" s="16"/>
      <c r="AD170" s="20" t="str">
        <f>IF(ISERROR(VLOOKUP($AB170&amp;"-"&amp;$F170,Bonuses!$B$1:$G$1000,4,FALSE)),"",INT(VLOOKUP($AB170&amp;"-"&amp;$F170,Bonuses!$B$1:$G$1000,4,FALSE)))</f>
        <v/>
      </c>
      <c r="AE170" s="16" t="str">
        <f>IF(ISERROR(VLOOKUP($AB170&amp;"-"&amp;$F170,Bonuses!$B$1:$G$1000,5,FALSE)),"",IF(VLOOKUP($AB170&amp;"-"&amp;$F170,Bonuses!$B$1:$G$1000,5,FALSE)="","",VLOOKUP($AB170&amp;"-"&amp;$F170,Bonuses!$B$1:$G$1000,6,FALSE)&amp;" yrs, "&amp;VLOOKUP($AB170&amp;"-"&amp;$F170,Bonuses!$B$1:$G$1000,5,FALSE)))</f>
        <v/>
      </c>
    </row>
    <row r="171" spans="1:31" s="21" customFormat="1">
      <c r="A171" s="21" t="s">
        <v>862</v>
      </c>
      <c r="B171" s="21">
        <f t="shared" si="8"/>
        <v>1</v>
      </c>
      <c r="C171" s="21" t="str">
        <f t="shared" si="9"/>
        <v>B</v>
      </c>
      <c r="D171" s="17">
        <f>IF($C171="B",VLOOKUP($A171,Bat!$A$4:$BD$2323,D$1,FALSE),VLOOKUP($A171,Pit!$A$4:$AZ$2261,D$2,FALSE))</f>
        <v>13780</v>
      </c>
      <c r="E171" s="16" t="str">
        <f>IF($C171="B",VLOOKUP($A171,Bat!$A$4:$BD$2323,E$1,FALSE),VLOOKUP($A171,Pit!$A$4:$AZ$2261,E$2,FALSE))</f>
        <v>RF</v>
      </c>
      <c r="F171" s="16" t="str">
        <f>IF($C171="B",VLOOKUP($A171,Bat!$A$4:$BD$2323,F$1,FALSE),VLOOKUP($A171,Pit!$A$4:$AZ$2261,F$2,FALSE))</f>
        <v>George Hicks</v>
      </c>
      <c r="G171" s="16">
        <f>IF($C171="B",VLOOKUP($A171,Bat!$A$4:$BD$2323,G$1,FALSE),VLOOKUP($A171,Pit!$A$4:$AZ$2261,G$2,FALSE))</f>
        <v>18</v>
      </c>
      <c r="H171" s="16" t="str">
        <f>IF($C171="B",VLOOKUP($A171,Bat!$A$4:$BD$2323,H$1,FALSE),VLOOKUP($A171,Pit!$A$4:$AZ$2261,H$2,FALSE))</f>
        <v>R</v>
      </c>
      <c r="I171" s="16" t="str">
        <f>IF($C171="B",VLOOKUP($A171,Bat!$A$4:$BD$2323,I$1,FALSE),VLOOKUP($A171,Pit!$A$4:$AZ$2261,I$2,FALSE))</f>
        <v>R</v>
      </c>
      <c r="J171" s="16" t="str">
        <f>IF($C171="B",VLOOKUP($A171,Bat!$A$4:$BD$2323,J$1,FALSE),VLOOKUP($A171,Pit!$A$4:$AZ$2261,J$2,FALSE))</f>
        <v>Low</v>
      </c>
      <c r="K171" s="17" t="str">
        <f>IF($C171="B",VLOOKUP($A171,Bat!$A$4:$BD$2323,K$1,FALSE),VLOOKUP($A171,Pit!$A$4:$AZ$2261,K$2,FALSE))</f>
        <v>Normal</v>
      </c>
      <c r="L171" s="16">
        <f>IF($C171="B",VLOOKUP($A171,Bat!$A$4:$BD$2323,L$1,FALSE),VLOOKUP($A171,Pit!$A$4:$AZ$2261,L$2,FALSE))</f>
        <v>5</v>
      </c>
      <c r="M171" s="16">
        <f>IF($C171="B",VLOOKUP($A171,Bat!$A$4:$BD$2323,M$1,FALSE),VLOOKUP($A171,Pit!$A$4:$AZ$2261,M$2,FALSE))</f>
        <v>5</v>
      </c>
      <c r="N171" s="16">
        <f>IF($C171="B",VLOOKUP($A171,Bat!$A$4:$BD$2323,N$1,FALSE),VLOOKUP($A171,Pit!$A$4:$AZ$2261,N$2,FALSE))</f>
        <v>3</v>
      </c>
      <c r="O171" s="16">
        <f>IF($C171="B",VLOOKUP($A171,Bat!$A$4:$BD$2323,O$1,FALSE),VLOOKUP($A171,Pit!$A$4:$AZ$2261,O$2,FALSE))</f>
        <v>2</v>
      </c>
      <c r="P171" s="17">
        <f>IF($C171="B",VLOOKUP($A171,Bat!$A$4:$BD$2323,P$1,FALSE),VLOOKUP($A171,Pit!$A$4:$AZ$2261,P$2,FALSE))</f>
        <v>4</v>
      </c>
      <c r="Q171" s="18">
        <f>IF($C171="B",VLOOKUP($A171,Bat!$A$4:$BD$2323,Q$1,FALSE),VLOOKUP($A171,Pit!$A$4:$AZ$2261,Q$2,FALSE))</f>
        <v>8.1286845045780165</v>
      </c>
      <c r="R171" s="19">
        <f>IF($C171="B",VLOOKUP($A171,Bat!$A$4:$BD$2323,R$1,FALSE),VLOOKUP($A171,Pit!$A$4:$AZ$2261,R$2,FALSE))</f>
        <v>-0.35256389760862406</v>
      </c>
      <c r="S171" s="20">
        <f>IF($C171="B",VLOOKUP($A171,Bat!$A$4:$BD$2323,S$1,FALSE),VLOOKUP($A171,Pit!$A$4:$AZ$2261,S$2,FALSE))</f>
        <v>2800000</v>
      </c>
      <c r="T171" s="17" t="str">
        <f>IF(S171="Slot","",VLOOKUP(IF($C171="B",VLOOKUP($A171,Bat!$A$4:$AT$2323,T$1,FALSE),VLOOKUP($A171,Pit!$A$4:$BD$2261,T$2,FALSE)),COND!$A$34:$B$40,2,FALSE))</f>
        <v>EH</v>
      </c>
      <c r="U171" s="21" t="str">
        <f>IF($C171="B",VLOOKUP($A171,Bat!$A$4:$AR$1287,44,FALSE),VLOOKUP($A171,Pit!$A$4:$BB$1239,54,FALSE))</f>
        <v/>
      </c>
      <c r="W171" s="21" t="str">
        <f t="shared" si="10"/>
        <v/>
      </c>
      <c r="X171" s="22" t="e">
        <f t="shared" si="11"/>
        <v>#N/A</v>
      </c>
      <c r="Y171" s="16" t="str">
        <f>IF(ISERROR(VLOOKUP($E171&amp;$F171,Results!$A$2:$G$413,Y$1,FALSE)),"",VLOOKUP($E171&amp;$F171,Results!$A$2:$G$413,Y$1,FALSE))</f>
        <v/>
      </c>
      <c r="Z171" s="16" t="str">
        <f>IF(ISERROR(VLOOKUP($E171&amp;$F171,Results!$A$2:$G$413,Z$1,FALSE)),"",VLOOKUP($E171&amp;$F171,Results!$A$2:$G$413,Z$1,FALSE))</f>
        <v/>
      </c>
      <c r="AA171" s="16" t="str">
        <f>IF(ISERROR(VLOOKUP($E171&amp;$F171,Results!$A$2:$G$413,AA$1,FALSE)),"",VLOOKUP($E171&amp;$F171,Results!$A$2:$G$413,AA$1,FALSE))</f>
        <v/>
      </c>
      <c r="AB171" s="16" t="str">
        <f>IF(ISERROR(VLOOKUP($E171&amp;$F171,Results!$A$2:$G$413,AB$1,FALSE)),"",VLOOKUP($E171&amp;$F171,Results!$A$2:$G$413,AB$1,FALSE))</f>
        <v/>
      </c>
      <c r="AC171" s="16"/>
      <c r="AD171" s="20" t="str">
        <f>IF(ISERROR(VLOOKUP($AB171&amp;"-"&amp;$F171,Bonuses!$B$1:$G$1000,4,FALSE)),"",INT(VLOOKUP($AB171&amp;"-"&amp;$F171,Bonuses!$B$1:$G$1000,4,FALSE)))</f>
        <v/>
      </c>
      <c r="AE171" s="16" t="str">
        <f>IF(ISERROR(VLOOKUP($AB171&amp;"-"&amp;$F171,Bonuses!$B$1:$G$1000,5,FALSE)),"",IF(VLOOKUP($AB171&amp;"-"&amp;$F171,Bonuses!$B$1:$G$1000,5,FALSE)="","",VLOOKUP($AB171&amp;"-"&amp;$F171,Bonuses!$B$1:$G$1000,6,FALSE)&amp;" yrs, "&amp;VLOOKUP($AB171&amp;"-"&amp;$F171,Bonuses!$B$1:$G$1000,5,FALSE)))</f>
        <v/>
      </c>
    </row>
    <row r="172" spans="1:31" s="21" customFormat="1">
      <c r="A172" s="21" t="s">
        <v>254</v>
      </c>
      <c r="B172" s="21">
        <f t="shared" si="8"/>
        <v>1</v>
      </c>
      <c r="C172" s="21" t="str">
        <f t="shared" si="9"/>
        <v>B</v>
      </c>
      <c r="D172" s="17">
        <f>IF($C172="B",VLOOKUP($A172,Bat!$A$4:$BD$2323,D$1,FALSE),VLOOKUP($A172,Pit!$A$4:$AZ$2261,D$2,FALSE))</f>
        <v>1070</v>
      </c>
      <c r="E172" s="16" t="str">
        <f>IF($C172="B",VLOOKUP($A172,Bat!$A$4:$BD$2323,E$1,FALSE),VLOOKUP($A172,Pit!$A$4:$AZ$2261,E$2,FALSE))</f>
        <v>CF</v>
      </c>
      <c r="F172" s="16" t="str">
        <f>IF($C172="B",VLOOKUP($A172,Bat!$A$4:$BD$2323,F$1,FALSE),VLOOKUP($A172,Pit!$A$4:$AZ$2261,F$2,FALSE))</f>
        <v>Jacob Gaines</v>
      </c>
      <c r="G172" s="16">
        <f>IF($C172="B",VLOOKUP($A172,Bat!$A$4:$BD$2323,G$1,FALSE),VLOOKUP($A172,Pit!$A$4:$AZ$2261,G$2,FALSE))</f>
        <v>18</v>
      </c>
      <c r="H172" s="16" t="str">
        <f>IF($C172="B",VLOOKUP($A172,Bat!$A$4:$BD$2323,H$1,FALSE),VLOOKUP($A172,Pit!$A$4:$AZ$2261,H$2,FALSE))</f>
        <v>R</v>
      </c>
      <c r="I172" s="16" t="str">
        <f>IF($C172="B",VLOOKUP($A172,Bat!$A$4:$BD$2323,I$1,FALSE),VLOOKUP($A172,Pit!$A$4:$AZ$2261,I$2,FALSE))</f>
        <v>R</v>
      </c>
      <c r="J172" s="16" t="str">
        <f>IF($C172="B",VLOOKUP($A172,Bat!$A$4:$BD$2323,J$1,FALSE),VLOOKUP($A172,Pit!$A$4:$AZ$2261,J$2,FALSE))</f>
        <v>Low</v>
      </c>
      <c r="K172" s="17" t="str">
        <f>IF($C172="B",VLOOKUP($A172,Bat!$A$4:$BD$2323,K$1,FALSE),VLOOKUP($A172,Pit!$A$4:$AZ$2261,K$2,FALSE))</f>
        <v>Very High</v>
      </c>
      <c r="L172" s="16">
        <f>IF($C172="B",VLOOKUP($A172,Bat!$A$4:$BD$2323,L$1,FALSE),VLOOKUP($A172,Pit!$A$4:$AZ$2261,L$2,FALSE))</f>
        <v>5</v>
      </c>
      <c r="M172" s="16">
        <f>IF($C172="B",VLOOKUP($A172,Bat!$A$4:$BD$2323,M$1,FALSE),VLOOKUP($A172,Pit!$A$4:$AZ$2261,M$2,FALSE))</f>
        <v>6</v>
      </c>
      <c r="N172" s="16">
        <f>IF($C172="B",VLOOKUP($A172,Bat!$A$4:$BD$2323,N$1,FALSE),VLOOKUP($A172,Pit!$A$4:$AZ$2261,N$2,FALSE))</f>
        <v>1</v>
      </c>
      <c r="O172" s="16">
        <f>IF($C172="B",VLOOKUP($A172,Bat!$A$4:$BD$2323,O$1,FALSE),VLOOKUP($A172,Pit!$A$4:$AZ$2261,O$2,FALSE))</f>
        <v>2</v>
      </c>
      <c r="P172" s="17">
        <f>IF($C172="B",VLOOKUP($A172,Bat!$A$4:$BD$2323,P$1,FALSE),VLOOKUP($A172,Pit!$A$4:$AZ$2261,P$2,FALSE))</f>
        <v>6</v>
      </c>
      <c r="Q172" s="18">
        <f>IF($C172="B",VLOOKUP($A172,Bat!$A$4:$BD$2323,Q$1,FALSE),VLOOKUP($A172,Pit!$A$4:$AZ$2261,Q$2,FALSE))</f>
        <v>7.9532133710769539</v>
      </c>
      <c r="R172" s="19">
        <f>IF($C172="B",VLOOKUP($A172,Bat!$A$4:$BD$2323,R$1,FALSE),VLOOKUP($A172,Pit!$A$4:$AZ$2261,R$2,FALSE))</f>
        <v>-0.3769409884510258</v>
      </c>
      <c r="S172" s="20" t="str">
        <f>IF($C172="B",VLOOKUP($A172,Bat!$A$4:$BD$2323,S$1,FALSE),VLOOKUP($A172,Pit!$A$4:$AZ$2261,S$2,FALSE))</f>
        <v>Slot</v>
      </c>
      <c r="T172" s="17" t="str">
        <f>IF(S172="Slot","",VLOOKUP(IF($C172="B",VLOOKUP($A172,Bat!$A$4:$AT$2323,T$1,FALSE),VLOOKUP($A172,Pit!$A$4:$BD$2261,T$2,FALSE)),COND!$A$34:$B$40,2,FALSE))</f>
        <v/>
      </c>
      <c r="U172" s="21" t="str">
        <f>IF($C172="B",VLOOKUP($A172,Bat!$A$4:$AR$1287,44,FALSE),VLOOKUP($A172,Pit!$A$4:$BB$1239,54,FALSE))</f>
        <v/>
      </c>
      <c r="W172" s="21" t="str">
        <f t="shared" si="10"/>
        <v/>
      </c>
      <c r="X172" s="22" t="e">
        <f t="shared" si="11"/>
        <v>#N/A</v>
      </c>
      <c r="Y172" s="16" t="str">
        <f>IF(ISERROR(VLOOKUP($E172&amp;$F172,Results!$A$2:$G$413,Y$1,FALSE)),"",VLOOKUP($E172&amp;$F172,Results!$A$2:$G$413,Y$1,FALSE))</f>
        <v/>
      </c>
      <c r="Z172" s="16" t="str">
        <f>IF(ISERROR(VLOOKUP($E172&amp;$F172,Results!$A$2:$G$413,Z$1,FALSE)),"",VLOOKUP($E172&amp;$F172,Results!$A$2:$G$413,Z$1,FALSE))</f>
        <v/>
      </c>
      <c r="AA172" s="16" t="str">
        <f>IF(ISERROR(VLOOKUP($E172&amp;$F172,Results!$A$2:$G$413,AA$1,FALSE)),"",VLOOKUP($E172&amp;$F172,Results!$A$2:$G$413,AA$1,FALSE))</f>
        <v/>
      </c>
      <c r="AB172" s="16" t="str">
        <f>IF(ISERROR(VLOOKUP($E172&amp;$F172,Results!$A$2:$G$413,AB$1,FALSE)),"",VLOOKUP($E172&amp;$F172,Results!$A$2:$G$413,AB$1,FALSE))</f>
        <v/>
      </c>
      <c r="AC172" s="16"/>
      <c r="AD172" s="20" t="str">
        <f>IF(ISERROR(VLOOKUP($AB172&amp;"-"&amp;$F172,Bonuses!$B$1:$G$1000,4,FALSE)),"",INT(VLOOKUP($AB172&amp;"-"&amp;$F172,Bonuses!$B$1:$G$1000,4,FALSE)))</f>
        <v/>
      </c>
      <c r="AE172" s="16" t="str">
        <f>IF(ISERROR(VLOOKUP($AB172&amp;"-"&amp;$F172,Bonuses!$B$1:$G$1000,5,FALSE)),"",IF(VLOOKUP($AB172&amp;"-"&amp;$F172,Bonuses!$B$1:$G$1000,5,FALSE)="","",VLOOKUP($AB172&amp;"-"&amp;$F172,Bonuses!$B$1:$G$1000,6,FALSE)&amp;" yrs, "&amp;VLOOKUP($AB172&amp;"-"&amp;$F172,Bonuses!$B$1:$G$1000,5,FALSE)))</f>
        <v/>
      </c>
    </row>
    <row r="173" spans="1:31" s="21" customFormat="1">
      <c r="A173" s="21" t="s">
        <v>877</v>
      </c>
      <c r="B173" s="21">
        <f t="shared" si="8"/>
        <v>1</v>
      </c>
      <c r="C173" s="21" t="str">
        <f t="shared" si="9"/>
        <v>B</v>
      </c>
      <c r="D173" s="17" t="e">
        <f>IF($C173="B",VLOOKUP($A173,Bat!$A$4:$BD$2323,D$1,FALSE),VLOOKUP($A173,Pit!$A$4:$AZ$2261,D$2,FALSE))</f>
        <v>#N/A</v>
      </c>
      <c r="E173" s="16" t="str">
        <f>IF($C173="B",VLOOKUP($A173,Bat!$A$4:$BD$2323,E$1,FALSE),VLOOKUP($A173,Pit!$A$4:$AZ$2261,E$2,FALSE))</f>
        <v>2B</v>
      </c>
      <c r="F173" s="16" t="str">
        <f>IF($C173="B",VLOOKUP($A173,Bat!$A$4:$BD$2323,F$1,FALSE),VLOOKUP($A173,Pit!$A$4:$AZ$2261,F$2,FALSE))</f>
        <v>Alfredo Chávez</v>
      </c>
      <c r="G173" s="16">
        <f>IF($C173="B",VLOOKUP($A173,Bat!$A$4:$BD$2323,G$1,FALSE),VLOOKUP($A173,Pit!$A$4:$AZ$2261,G$2,FALSE))</f>
        <v>18</v>
      </c>
      <c r="H173" s="16" t="str">
        <f>IF($C173="B",VLOOKUP($A173,Bat!$A$4:$BD$2323,H$1,FALSE),VLOOKUP($A173,Pit!$A$4:$AZ$2261,H$2,FALSE))</f>
        <v>R</v>
      </c>
      <c r="I173" s="16" t="str">
        <f>IF($C173="B",VLOOKUP($A173,Bat!$A$4:$BD$2323,I$1,FALSE),VLOOKUP($A173,Pit!$A$4:$AZ$2261,I$2,FALSE))</f>
        <v>R</v>
      </c>
      <c r="J173" s="16" t="str">
        <f>IF($C173="B",VLOOKUP($A173,Bat!$A$4:$BD$2323,J$1,FALSE),VLOOKUP($A173,Pit!$A$4:$AZ$2261,J$2,FALSE))</f>
        <v>Very Low</v>
      </c>
      <c r="K173" s="17" t="str">
        <f>IF($C173="B",VLOOKUP($A173,Bat!$A$4:$BD$2323,K$1,FALSE),VLOOKUP($A173,Pit!$A$4:$AZ$2261,K$2,FALSE))</f>
        <v>Low</v>
      </c>
      <c r="L173" s="16">
        <f>IF($C173="B",VLOOKUP($A173,Bat!$A$4:$BD$2323,L$1,FALSE),VLOOKUP($A173,Pit!$A$4:$AZ$2261,L$2,FALSE))</f>
        <v>5</v>
      </c>
      <c r="M173" s="16">
        <f>IF($C173="B",VLOOKUP($A173,Bat!$A$4:$BD$2323,M$1,FALSE),VLOOKUP($A173,Pit!$A$4:$AZ$2261,M$2,FALSE))</f>
        <v>6</v>
      </c>
      <c r="N173" s="16">
        <f>IF($C173="B",VLOOKUP($A173,Bat!$A$4:$BD$2323,N$1,FALSE),VLOOKUP($A173,Pit!$A$4:$AZ$2261,N$2,FALSE))</f>
        <v>2</v>
      </c>
      <c r="O173" s="16">
        <f>IF($C173="B",VLOOKUP($A173,Bat!$A$4:$BD$2323,O$1,FALSE),VLOOKUP($A173,Pit!$A$4:$AZ$2261,O$2,FALSE))</f>
        <v>3</v>
      </c>
      <c r="P173" s="17">
        <f>IF($C173="B",VLOOKUP($A173,Bat!$A$4:$BD$2323,P$1,FALSE),VLOOKUP($A173,Pit!$A$4:$AZ$2261,P$2,FALSE))</f>
        <v>5</v>
      </c>
      <c r="Q173" s="18">
        <f>IF($C173="B",VLOOKUP($A173,Bat!$A$4:$BD$2323,Q$1,FALSE),VLOOKUP($A173,Pit!$A$4:$AZ$2261,Q$2,FALSE))</f>
        <v>7.7962698216737438</v>
      </c>
      <c r="R173" s="19">
        <f>IF($C173="B",VLOOKUP($A173,Bat!$A$4:$BD$2323,R$1,FALSE),VLOOKUP($A173,Pit!$A$4:$AZ$2261,R$2,FALSE))</f>
        <v>-0.3987441596313604</v>
      </c>
      <c r="S173" s="20" t="str">
        <f>IF($C173="B",VLOOKUP($A173,Bat!$A$4:$BD$2323,S$1,FALSE),VLOOKUP($A173,Pit!$A$4:$AZ$2261,S$2,FALSE))</f>
        <v>Slot</v>
      </c>
      <c r="T173" s="17" t="str">
        <f>IF(S173="Slot","",VLOOKUP(IF($C173="B",VLOOKUP($A173,Bat!$A$4:$AT$2323,T$1,FALSE),VLOOKUP($A173,Pit!$A$4:$BD$2261,T$2,FALSE)),COND!$A$34:$B$40,2,FALSE))</f>
        <v/>
      </c>
      <c r="U173" s="21" t="str">
        <f>IF($C173="B",VLOOKUP($A173,Bat!$A$4:$AR$1287,44,FALSE),VLOOKUP($A173,Pit!$A$4:$BB$1239,54,FALSE))</f>
        <v/>
      </c>
      <c r="W173" s="21" t="str">
        <f t="shared" si="10"/>
        <v/>
      </c>
      <c r="X173" s="22" t="e">
        <f t="shared" si="11"/>
        <v>#N/A</v>
      </c>
      <c r="Y173" s="16" t="str">
        <f>IF(ISERROR(VLOOKUP($E173&amp;$F173,Results!$A$2:$G$413,Y$1,FALSE)),"",VLOOKUP($E173&amp;$F173,Results!$A$2:$G$413,Y$1,FALSE))</f>
        <v/>
      </c>
      <c r="Z173" s="16" t="str">
        <f>IF(ISERROR(VLOOKUP($E173&amp;$F173,Results!$A$2:$G$413,Z$1,FALSE)),"",VLOOKUP($E173&amp;$F173,Results!$A$2:$G$413,Z$1,FALSE))</f>
        <v/>
      </c>
      <c r="AA173" s="16" t="str">
        <f>IF(ISERROR(VLOOKUP($E173&amp;$F173,Results!$A$2:$G$413,AA$1,FALSE)),"",VLOOKUP($E173&amp;$F173,Results!$A$2:$G$413,AA$1,FALSE))</f>
        <v/>
      </c>
      <c r="AB173" s="16" t="str">
        <f>IF(ISERROR(VLOOKUP($E173&amp;$F173,Results!$A$2:$G$413,AB$1,FALSE)),"",VLOOKUP($E173&amp;$F173,Results!$A$2:$G$413,AB$1,FALSE))</f>
        <v/>
      </c>
      <c r="AC173" s="16"/>
      <c r="AD173" s="20" t="str">
        <f>IF(ISERROR(VLOOKUP($AB173&amp;"-"&amp;$F173,Bonuses!$B$1:$G$1000,4,FALSE)),"",INT(VLOOKUP($AB173&amp;"-"&amp;$F173,Bonuses!$B$1:$G$1000,4,FALSE)))</f>
        <v/>
      </c>
      <c r="AE173" s="16" t="str">
        <f>IF(ISERROR(VLOOKUP($AB173&amp;"-"&amp;$F173,Bonuses!$B$1:$G$1000,5,FALSE)),"",IF(VLOOKUP($AB173&amp;"-"&amp;$F173,Bonuses!$B$1:$G$1000,5,FALSE)="","",VLOOKUP($AB173&amp;"-"&amp;$F173,Bonuses!$B$1:$G$1000,6,FALSE)&amp;" yrs, "&amp;VLOOKUP($AB173&amp;"-"&amp;$F173,Bonuses!$B$1:$G$1000,5,FALSE)))</f>
        <v/>
      </c>
    </row>
    <row r="174" spans="1:31" s="21" customFormat="1">
      <c r="A174" s="21" t="s">
        <v>858</v>
      </c>
      <c r="B174" s="21">
        <f t="shared" si="8"/>
        <v>1</v>
      </c>
      <c r="C174" s="21" t="str">
        <f t="shared" si="9"/>
        <v>B</v>
      </c>
      <c r="D174" s="17" t="e">
        <f>IF($C174="B",VLOOKUP($A174,Bat!$A$4:$BD$2323,D$1,FALSE),VLOOKUP($A174,Pit!$A$4:$AZ$2261,D$2,FALSE))</f>
        <v>#N/A</v>
      </c>
      <c r="E174" s="16" t="e">
        <f>IF($C174="B",VLOOKUP($A174,Bat!$A$4:$BD$2323,E$1,FALSE),VLOOKUP($A174,Pit!$A$4:$AZ$2261,E$2,FALSE))</f>
        <v>#N/A</v>
      </c>
      <c r="F174" s="16" t="e">
        <f>IF($C174="B",VLOOKUP($A174,Bat!$A$4:$BD$2323,F$1,FALSE),VLOOKUP($A174,Pit!$A$4:$AZ$2261,F$2,FALSE))</f>
        <v>#N/A</v>
      </c>
      <c r="G174" s="16" t="e">
        <f>IF($C174="B",VLOOKUP($A174,Bat!$A$4:$BD$2323,G$1,FALSE),VLOOKUP($A174,Pit!$A$4:$AZ$2261,G$2,FALSE))</f>
        <v>#N/A</v>
      </c>
      <c r="H174" s="16" t="e">
        <f>IF($C174="B",VLOOKUP($A174,Bat!$A$4:$BD$2323,H$1,FALSE),VLOOKUP($A174,Pit!$A$4:$AZ$2261,H$2,FALSE))</f>
        <v>#N/A</v>
      </c>
      <c r="I174" s="16" t="e">
        <f>IF($C174="B",VLOOKUP($A174,Bat!$A$4:$BD$2323,I$1,FALSE),VLOOKUP($A174,Pit!$A$4:$AZ$2261,I$2,FALSE))</f>
        <v>#N/A</v>
      </c>
      <c r="J174" s="16" t="e">
        <f>IF($C174="B",VLOOKUP($A174,Bat!$A$4:$BD$2323,J$1,FALSE),VLOOKUP($A174,Pit!$A$4:$AZ$2261,J$2,FALSE))</f>
        <v>#N/A</v>
      </c>
      <c r="K174" s="17" t="e">
        <f>IF($C174="B",VLOOKUP($A174,Bat!$A$4:$BD$2323,K$1,FALSE),VLOOKUP($A174,Pit!$A$4:$AZ$2261,K$2,FALSE))</f>
        <v>#N/A</v>
      </c>
      <c r="L174" s="16" t="e">
        <f>IF($C174="B",VLOOKUP($A174,Bat!$A$4:$BD$2323,L$1,FALSE),VLOOKUP($A174,Pit!$A$4:$AZ$2261,L$2,FALSE))</f>
        <v>#N/A</v>
      </c>
      <c r="M174" s="16" t="e">
        <f>IF($C174="B",VLOOKUP($A174,Bat!$A$4:$BD$2323,M$1,FALSE),VLOOKUP($A174,Pit!$A$4:$AZ$2261,M$2,FALSE))</f>
        <v>#N/A</v>
      </c>
      <c r="N174" s="16" t="e">
        <f>IF($C174="B",VLOOKUP($A174,Bat!$A$4:$BD$2323,N$1,FALSE),VLOOKUP($A174,Pit!$A$4:$AZ$2261,N$2,FALSE))</f>
        <v>#N/A</v>
      </c>
      <c r="O174" s="16" t="e">
        <f>IF($C174="B",VLOOKUP($A174,Bat!$A$4:$BD$2323,O$1,FALSE),VLOOKUP($A174,Pit!$A$4:$AZ$2261,O$2,FALSE))</f>
        <v>#N/A</v>
      </c>
      <c r="P174" s="17" t="e">
        <f>IF($C174="B",VLOOKUP($A174,Bat!$A$4:$BD$2323,P$1,FALSE),VLOOKUP($A174,Pit!$A$4:$AZ$2261,P$2,FALSE))</f>
        <v>#N/A</v>
      </c>
      <c r="Q174" s="18" t="e">
        <f>IF($C174="B",VLOOKUP($A174,Bat!$A$4:$BD$2323,Q$1,FALSE),VLOOKUP($A174,Pit!$A$4:$AZ$2261,Q$2,FALSE))</f>
        <v>#N/A</v>
      </c>
      <c r="R174" s="19" t="e">
        <f>IF($C174="B",VLOOKUP($A174,Bat!$A$4:$BD$2323,R$1,FALSE),VLOOKUP($A174,Pit!$A$4:$AZ$2261,R$2,FALSE))</f>
        <v>#N/A</v>
      </c>
      <c r="S174" s="20" t="e">
        <f>IF($C174="B",VLOOKUP($A174,Bat!$A$4:$BD$2323,S$1,FALSE),VLOOKUP($A174,Pit!$A$4:$AZ$2261,S$2,FALSE))</f>
        <v>#N/A</v>
      </c>
      <c r="T174" s="17" t="e">
        <f>IF(S174="Slot","",VLOOKUP(IF($C174="B",VLOOKUP($A174,Bat!$A$4:$AT$2323,T$1,FALSE),VLOOKUP($A174,Pit!$A$4:$BD$2261,T$2,FALSE)),COND!$A$34:$B$40,2,FALSE))</f>
        <v>#N/A</v>
      </c>
      <c r="U174" s="21" t="e">
        <f>IF($C174="B",VLOOKUP($A174,Bat!$A$4:$AR$1287,44,FALSE),VLOOKUP($A174,Pit!$A$4:$BB$1239,54,FALSE))</f>
        <v>#N/A</v>
      </c>
      <c r="W174" s="21" t="e">
        <f t="shared" si="10"/>
        <v>#N/A</v>
      </c>
      <c r="X174" s="22" t="e">
        <f t="shared" si="11"/>
        <v>#N/A</v>
      </c>
      <c r="Y174" s="16" t="str">
        <f>IF(ISERROR(VLOOKUP($E174&amp;$F174,Results!$A$2:$G$413,Y$1,FALSE)),"",VLOOKUP($E174&amp;$F174,Results!$A$2:$G$413,Y$1,FALSE))</f>
        <v/>
      </c>
      <c r="Z174" s="16" t="str">
        <f>IF(ISERROR(VLOOKUP($E174&amp;$F174,Results!$A$2:$G$413,Z$1,FALSE)),"",VLOOKUP($E174&amp;$F174,Results!$A$2:$G$413,Z$1,FALSE))</f>
        <v/>
      </c>
      <c r="AA174" s="16" t="str">
        <f>IF(ISERROR(VLOOKUP($E174&amp;$F174,Results!$A$2:$G$413,AA$1,FALSE)),"",VLOOKUP($E174&amp;$F174,Results!$A$2:$G$413,AA$1,FALSE))</f>
        <v/>
      </c>
      <c r="AB174" s="16" t="str">
        <f>IF(ISERROR(VLOOKUP($E174&amp;$F174,Results!$A$2:$G$413,AB$1,FALSE)),"",VLOOKUP($E174&amp;$F174,Results!$A$2:$G$413,AB$1,FALSE))</f>
        <v/>
      </c>
      <c r="AC174" s="16"/>
      <c r="AD174" s="20" t="str">
        <f>IF(ISERROR(VLOOKUP($AB174&amp;"-"&amp;$F174,Bonuses!$B$1:$G$1000,4,FALSE)),"",INT(VLOOKUP($AB174&amp;"-"&amp;$F174,Bonuses!$B$1:$G$1000,4,FALSE)))</f>
        <v/>
      </c>
      <c r="AE174" s="16" t="str">
        <f>IF(ISERROR(VLOOKUP($AB174&amp;"-"&amp;$F174,Bonuses!$B$1:$G$1000,5,FALSE)),"",IF(VLOOKUP($AB174&amp;"-"&amp;$F174,Bonuses!$B$1:$G$1000,5,FALSE)="","",VLOOKUP($AB174&amp;"-"&amp;$F174,Bonuses!$B$1:$G$1000,6,FALSE)&amp;" yrs, "&amp;VLOOKUP($AB174&amp;"-"&amp;$F174,Bonuses!$B$1:$G$1000,5,FALSE)))</f>
        <v/>
      </c>
    </row>
    <row r="175" spans="1:31" s="21" customFormat="1">
      <c r="A175" s="21" t="s">
        <v>432</v>
      </c>
      <c r="B175" s="21">
        <f t="shared" si="8"/>
        <v>1</v>
      </c>
      <c r="C175" s="21" t="str">
        <f t="shared" si="9"/>
        <v>B</v>
      </c>
      <c r="D175" s="17">
        <f>IF($C175="B",VLOOKUP($A175,Bat!$A$4:$BD$2323,D$1,FALSE),VLOOKUP($A175,Pit!$A$4:$AZ$2261,D$2,FALSE))</f>
        <v>13764</v>
      </c>
      <c r="E175" s="16" t="str">
        <f>IF($C175="B",VLOOKUP($A175,Bat!$A$4:$BD$2323,E$1,FALSE),VLOOKUP($A175,Pit!$A$4:$AZ$2261,E$2,FALSE))</f>
        <v>C</v>
      </c>
      <c r="F175" s="16" t="str">
        <f>IF($C175="B",VLOOKUP($A175,Bat!$A$4:$BD$2323,F$1,FALSE),VLOOKUP($A175,Pit!$A$4:$AZ$2261,F$2,FALSE))</f>
        <v>Carlos Flores</v>
      </c>
      <c r="G175" s="16">
        <f>IF($C175="B",VLOOKUP($A175,Bat!$A$4:$BD$2323,G$1,FALSE),VLOOKUP($A175,Pit!$A$4:$AZ$2261,G$2,FALSE))</f>
        <v>18</v>
      </c>
      <c r="H175" s="16" t="str">
        <f>IF($C175="B",VLOOKUP($A175,Bat!$A$4:$BD$2323,H$1,FALSE),VLOOKUP($A175,Pit!$A$4:$AZ$2261,H$2,FALSE))</f>
        <v>R</v>
      </c>
      <c r="I175" s="16" t="str">
        <f>IF($C175="B",VLOOKUP($A175,Bat!$A$4:$BD$2323,I$1,FALSE),VLOOKUP($A175,Pit!$A$4:$AZ$2261,I$2,FALSE))</f>
        <v>R</v>
      </c>
      <c r="J175" s="16" t="str">
        <f>IF($C175="B",VLOOKUP($A175,Bat!$A$4:$BD$2323,J$1,FALSE),VLOOKUP($A175,Pit!$A$4:$AZ$2261,J$2,FALSE))</f>
        <v>Normal</v>
      </c>
      <c r="K175" s="17" t="str">
        <f>IF($C175="B",VLOOKUP($A175,Bat!$A$4:$BD$2323,K$1,FALSE),VLOOKUP($A175,Pit!$A$4:$AZ$2261,K$2,FALSE))</f>
        <v>Normal</v>
      </c>
      <c r="L175" s="16">
        <f>IF($C175="B",VLOOKUP($A175,Bat!$A$4:$BD$2323,L$1,FALSE),VLOOKUP($A175,Pit!$A$4:$AZ$2261,L$2,FALSE))</f>
        <v>5</v>
      </c>
      <c r="M175" s="16">
        <f>IF($C175="B",VLOOKUP($A175,Bat!$A$4:$BD$2323,M$1,FALSE),VLOOKUP($A175,Pit!$A$4:$AZ$2261,M$2,FALSE))</f>
        <v>5</v>
      </c>
      <c r="N175" s="16">
        <f>IF($C175="B",VLOOKUP($A175,Bat!$A$4:$BD$2323,N$1,FALSE),VLOOKUP($A175,Pit!$A$4:$AZ$2261,N$2,FALSE))</f>
        <v>1</v>
      </c>
      <c r="O175" s="16">
        <f>IF($C175="B",VLOOKUP($A175,Bat!$A$4:$BD$2323,O$1,FALSE),VLOOKUP($A175,Pit!$A$4:$AZ$2261,O$2,FALSE))</f>
        <v>3</v>
      </c>
      <c r="P175" s="17">
        <f>IF($C175="B",VLOOKUP($A175,Bat!$A$4:$BD$2323,P$1,FALSE),VLOOKUP($A175,Pit!$A$4:$AZ$2261,P$2,FALSE))</f>
        <v>4</v>
      </c>
      <c r="Q175" s="18">
        <f>IF($C175="B",VLOOKUP($A175,Bat!$A$4:$BD$2323,Q$1,FALSE),VLOOKUP($A175,Pit!$A$4:$AZ$2261,Q$2,FALSE))</f>
        <v>7.7283899147860193</v>
      </c>
      <c r="R175" s="19">
        <f>IF($C175="B",VLOOKUP($A175,Bat!$A$4:$BD$2323,R$1,FALSE),VLOOKUP($A175,Pit!$A$4:$AZ$2261,R$2,FALSE))</f>
        <v>-0.40817428425391444</v>
      </c>
      <c r="S175" s="20" t="str">
        <f>IF($C175="B",VLOOKUP($A175,Bat!$A$4:$BD$2323,S$1,FALSE),VLOOKUP($A175,Pit!$A$4:$AZ$2261,S$2,FALSE))</f>
        <v>Slot</v>
      </c>
      <c r="T175" s="17" t="str">
        <f>IF(S175="Slot","",VLOOKUP(IF($C175="B",VLOOKUP($A175,Bat!$A$4:$AT$2323,T$1,FALSE),VLOOKUP($A175,Pit!$A$4:$BD$2261,T$2,FALSE)),COND!$A$34:$B$40,2,FALSE))</f>
        <v/>
      </c>
      <c r="U175" s="21" t="str">
        <f>IF($C175="B",VLOOKUP($A175,Bat!$A$4:$AR$1287,44,FALSE),VLOOKUP($A175,Pit!$A$4:$BB$1239,54,FALSE))</f>
        <v/>
      </c>
      <c r="W175" s="21" t="str">
        <f t="shared" si="10"/>
        <v/>
      </c>
      <c r="X175" s="22" t="e">
        <f t="shared" si="11"/>
        <v>#N/A</v>
      </c>
      <c r="Y175" s="16" t="str">
        <f>IF(ISERROR(VLOOKUP($E175&amp;$F175,Results!$A$2:$G$413,Y$1,FALSE)),"",VLOOKUP($E175&amp;$F175,Results!$A$2:$G$413,Y$1,FALSE))</f>
        <v/>
      </c>
      <c r="Z175" s="16" t="str">
        <f>IF(ISERROR(VLOOKUP($E175&amp;$F175,Results!$A$2:$G$413,Z$1,FALSE)),"",VLOOKUP($E175&amp;$F175,Results!$A$2:$G$413,Z$1,FALSE))</f>
        <v/>
      </c>
      <c r="AA175" s="16" t="str">
        <f>IF(ISERROR(VLOOKUP($E175&amp;$F175,Results!$A$2:$G$413,AA$1,FALSE)),"",VLOOKUP($E175&amp;$F175,Results!$A$2:$G$413,AA$1,FALSE))</f>
        <v/>
      </c>
      <c r="AB175" s="16" t="str">
        <f>IF(ISERROR(VLOOKUP($E175&amp;$F175,Results!$A$2:$G$413,AB$1,FALSE)),"",VLOOKUP($E175&amp;$F175,Results!$A$2:$G$413,AB$1,FALSE))</f>
        <v/>
      </c>
      <c r="AC175" s="16"/>
      <c r="AD175" s="20" t="str">
        <f>IF(ISERROR(VLOOKUP($AB175&amp;"-"&amp;$F175,Bonuses!$B$1:$G$1000,4,FALSE)),"",INT(VLOOKUP($AB175&amp;"-"&amp;$F175,Bonuses!$B$1:$G$1000,4,FALSE)))</f>
        <v/>
      </c>
      <c r="AE175" s="16" t="str">
        <f>IF(ISERROR(VLOOKUP($AB175&amp;"-"&amp;$F175,Bonuses!$B$1:$G$1000,5,FALSE)),"",IF(VLOOKUP($AB175&amp;"-"&amp;$F175,Bonuses!$B$1:$G$1000,5,FALSE)="","",VLOOKUP($AB175&amp;"-"&amp;$F175,Bonuses!$B$1:$G$1000,6,FALSE)&amp;" yrs, "&amp;VLOOKUP($AB175&amp;"-"&amp;$F175,Bonuses!$B$1:$G$1000,5,FALSE)))</f>
        <v/>
      </c>
    </row>
    <row r="176" spans="1:31" s="21" customFormat="1">
      <c r="A176" s="21" t="s">
        <v>870</v>
      </c>
      <c r="B176" s="21">
        <f t="shared" si="8"/>
        <v>1</v>
      </c>
      <c r="C176" s="21" t="str">
        <f t="shared" si="9"/>
        <v>B</v>
      </c>
      <c r="D176" s="17" t="e">
        <f>IF($C176="B",VLOOKUP($A176,Bat!$A$4:$BD$2323,D$1,FALSE),VLOOKUP($A176,Pit!$A$4:$AZ$2261,D$2,FALSE))</f>
        <v>#N/A</v>
      </c>
      <c r="E176" s="16" t="str">
        <f>IF($C176="B",VLOOKUP($A176,Bat!$A$4:$BD$2323,E$1,FALSE),VLOOKUP($A176,Pit!$A$4:$AZ$2261,E$2,FALSE))</f>
        <v>LF</v>
      </c>
      <c r="F176" s="16" t="str">
        <f>IF($C176="B",VLOOKUP($A176,Bat!$A$4:$BD$2323,F$1,FALSE),VLOOKUP($A176,Pit!$A$4:$AZ$2261,F$2,FALSE))</f>
        <v>Salvador Velásquez</v>
      </c>
      <c r="G176" s="16">
        <f>IF($C176="B",VLOOKUP($A176,Bat!$A$4:$BD$2323,G$1,FALSE),VLOOKUP($A176,Pit!$A$4:$AZ$2261,G$2,FALSE))</f>
        <v>18</v>
      </c>
      <c r="H176" s="16" t="str">
        <f>IF($C176="B",VLOOKUP($A176,Bat!$A$4:$BD$2323,H$1,FALSE),VLOOKUP($A176,Pit!$A$4:$AZ$2261,H$2,FALSE))</f>
        <v>L</v>
      </c>
      <c r="I176" s="16" t="str">
        <f>IF($C176="B",VLOOKUP($A176,Bat!$A$4:$BD$2323,I$1,FALSE),VLOOKUP($A176,Pit!$A$4:$AZ$2261,I$2,FALSE))</f>
        <v>L</v>
      </c>
      <c r="J176" s="16" t="str">
        <f>IF($C176="B",VLOOKUP($A176,Bat!$A$4:$BD$2323,J$1,FALSE),VLOOKUP($A176,Pit!$A$4:$AZ$2261,J$2,FALSE))</f>
        <v>Very Low</v>
      </c>
      <c r="K176" s="17" t="str">
        <f>IF($C176="B",VLOOKUP($A176,Bat!$A$4:$BD$2323,K$1,FALSE),VLOOKUP($A176,Pit!$A$4:$AZ$2261,K$2,FALSE))</f>
        <v>Very Low</v>
      </c>
      <c r="L176" s="16">
        <f>IF($C176="B",VLOOKUP($A176,Bat!$A$4:$BD$2323,L$1,FALSE),VLOOKUP($A176,Pit!$A$4:$AZ$2261,L$2,FALSE))</f>
        <v>5</v>
      </c>
      <c r="M176" s="16">
        <f>IF($C176="B",VLOOKUP($A176,Bat!$A$4:$BD$2323,M$1,FALSE),VLOOKUP($A176,Pit!$A$4:$AZ$2261,M$2,FALSE))</f>
        <v>4</v>
      </c>
      <c r="N176" s="16">
        <f>IF($C176="B",VLOOKUP($A176,Bat!$A$4:$BD$2323,N$1,FALSE),VLOOKUP($A176,Pit!$A$4:$AZ$2261,N$2,FALSE))</f>
        <v>3</v>
      </c>
      <c r="O176" s="16">
        <f>IF($C176="B",VLOOKUP($A176,Bat!$A$4:$BD$2323,O$1,FALSE),VLOOKUP($A176,Pit!$A$4:$AZ$2261,O$2,FALSE))</f>
        <v>3</v>
      </c>
      <c r="P176" s="17">
        <f>IF($C176="B",VLOOKUP($A176,Bat!$A$4:$BD$2323,P$1,FALSE),VLOOKUP($A176,Pit!$A$4:$AZ$2261,P$2,FALSE))</f>
        <v>4</v>
      </c>
      <c r="Q176" s="18">
        <f>IF($C176="B",VLOOKUP($A176,Bat!$A$4:$BD$2323,Q$1,FALSE),VLOOKUP($A176,Pit!$A$4:$AZ$2261,Q$2,FALSE))</f>
        <v>7.6924805492685469</v>
      </c>
      <c r="R176" s="19">
        <f>IF($C176="B",VLOOKUP($A176,Bat!$A$4:$BD$2323,R$1,FALSE),VLOOKUP($A176,Pit!$A$4:$AZ$2261,R$2,FALSE))</f>
        <v>-0.41316294448449953</v>
      </c>
      <c r="S176" s="20" t="str">
        <f>IF($C176="B",VLOOKUP($A176,Bat!$A$4:$BD$2323,S$1,FALSE),VLOOKUP($A176,Pit!$A$4:$AZ$2261,S$2,FALSE))</f>
        <v>Slot</v>
      </c>
      <c r="T176" s="17" t="str">
        <f>IF(S176="Slot","",VLOOKUP(IF($C176="B",VLOOKUP($A176,Bat!$A$4:$AT$2323,T$1,FALSE),VLOOKUP($A176,Pit!$A$4:$BD$2261,T$2,FALSE)),COND!$A$34:$B$40,2,FALSE))</f>
        <v/>
      </c>
      <c r="U176" s="21" t="str">
        <f>IF($C176="B",VLOOKUP($A176,Bat!$A$4:$AR$1287,44,FALSE),VLOOKUP($A176,Pit!$A$4:$BB$1239,54,FALSE))</f>
        <v/>
      </c>
      <c r="W176" s="21" t="str">
        <f t="shared" si="10"/>
        <v/>
      </c>
      <c r="X176" s="22" t="e">
        <f t="shared" si="11"/>
        <v>#N/A</v>
      </c>
      <c r="Y176" s="16" t="str">
        <f>IF(ISERROR(VLOOKUP($E176&amp;$F176,Results!$A$2:$G$413,Y$1,FALSE)),"",VLOOKUP($E176&amp;$F176,Results!$A$2:$G$413,Y$1,FALSE))</f>
        <v/>
      </c>
      <c r="Z176" s="16" t="str">
        <f>IF(ISERROR(VLOOKUP($E176&amp;$F176,Results!$A$2:$G$413,Z$1,FALSE)),"",VLOOKUP($E176&amp;$F176,Results!$A$2:$G$413,Z$1,FALSE))</f>
        <v/>
      </c>
      <c r="AA176" s="16" t="str">
        <f>IF(ISERROR(VLOOKUP($E176&amp;$F176,Results!$A$2:$G$413,AA$1,FALSE)),"",VLOOKUP($E176&amp;$F176,Results!$A$2:$G$413,AA$1,FALSE))</f>
        <v/>
      </c>
      <c r="AB176" s="16" t="str">
        <f>IF(ISERROR(VLOOKUP($E176&amp;$F176,Results!$A$2:$G$413,AB$1,FALSE)),"",VLOOKUP($E176&amp;$F176,Results!$A$2:$G$413,AB$1,FALSE))</f>
        <v/>
      </c>
      <c r="AC176" s="16"/>
      <c r="AD176" s="20" t="str">
        <f>IF(ISERROR(VLOOKUP($AB176&amp;"-"&amp;$F176,Bonuses!$B$1:$G$1000,4,FALSE)),"",INT(VLOOKUP($AB176&amp;"-"&amp;$F176,Bonuses!$B$1:$G$1000,4,FALSE)))</f>
        <v/>
      </c>
      <c r="AE176" s="16" t="str">
        <f>IF(ISERROR(VLOOKUP($AB176&amp;"-"&amp;$F176,Bonuses!$B$1:$G$1000,5,FALSE)),"",IF(VLOOKUP($AB176&amp;"-"&amp;$F176,Bonuses!$B$1:$G$1000,5,FALSE)="","",VLOOKUP($AB176&amp;"-"&amp;$F176,Bonuses!$B$1:$G$1000,6,FALSE)&amp;" yrs, "&amp;VLOOKUP($AB176&amp;"-"&amp;$F176,Bonuses!$B$1:$G$1000,5,FALSE)))</f>
        <v/>
      </c>
    </row>
    <row r="177" spans="1:31" s="21" customFormat="1">
      <c r="A177" s="21" t="s">
        <v>866</v>
      </c>
      <c r="B177" s="21">
        <f t="shared" si="8"/>
        <v>1</v>
      </c>
      <c r="C177" s="21" t="str">
        <f t="shared" si="9"/>
        <v>B</v>
      </c>
      <c r="D177" s="17">
        <f>IF($C177="B",VLOOKUP($A177,Bat!$A$4:$BD$2323,D$1,FALSE),VLOOKUP($A177,Pit!$A$4:$AZ$2261,D$2,FALSE))</f>
        <v>1291</v>
      </c>
      <c r="E177" s="16" t="str">
        <f>IF($C177="B",VLOOKUP($A177,Bat!$A$4:$BD$2323,E$1,FALSE),VLOOKUP($A177,Pit!$A$4:$AZ$2261,E$2,FALSE))</f>
        <v>3B</v>
      </c>
      <c r="F177" s="16" t="str">
        <f>IF($C177="B",VLOOKUP($A177,Bat!$A$4:$BD$2323,F$1,FALSE),VLOOKUP($A177,Pit!$A$4:$AZ$2261,F$2,FALSE))</f>
        <v>Wesley Jordan</v>
      </c>
      <c r="G177" s="16">
        <f>IF($C177="B",VLOOKUP($A177,Bat!$A$4:$BD$2323,G$1,FALSE),VLOOKUP($A177,Pit!$A$4:$AZ$2261,G$2,FALSE))</f>
        <v>18</v>
      </c>
      <c r="H177" s="16" t="str">
        <f>IF($C177="B",VLOOKUP($A177,Bat!$A$4:$BD$2323,H$1,FALSE),VLOOKUP($A177,Pit!$A$4:$AZ$2261,H$2,FALSE))</f>
        <v>S</v>
      </c>
      <c r="I177" s="16" t="str">
        <f>IF($C177="B",VLOOKUP($A177,Bat!$A$4:$BD$2323,I$1,FALSE),VLOOKUP($A177,Pit!$A$4:$AZ$2261,I$2,FALSE))</f>
        <v>R</v>
      </c>
      <c r="J177" s="16" t="str">
        <f>IF($C177="B",VLOOKUP($A177,Bat!$A$4:$BD$2323,J$1,FALSE),VLOOKUP($A177,Pit!$A$4:$AZ$2261,J$2,FALSE))</f>
        <v>High</v>
      </c>
      <c r="K177" s="17" t="str">
        <f>IF($C177="B",VLOOKUP($A177,Bat!$A$4:$BD$2323,K$1,FALSE),VLOOKUP($A177,Pit!$A$4:$AZ$2261,K$2,FALSE))</f>
        <v>Very High</v>
      </c>
      <c r="L177" s="16">
        <f>IF($C177="B",VLOOKUP($A177,Bat!$A$4:$BD$2323,L$1,FALSE),VLOOKUP($A177,Pit!$A$4:$AZ$2261,L$2,FALSE))</f>
        <v>5</v>
      </c>
      <c r="M177" s="16">
        <f>IF($C177="B",VLOOKUP($A177,Bat!$A$4:$BD$2323,M$1,FALSE),VLOOKUP($A177,Pit!$A$4:$AZ$2261,M$2,FALSE))</f>
        <v>5</v>
      </c>
      <c r="N177" s="16">
        <f>IF($C177="B",VLOOKUP($A177,Bat!$A$4:$BD$2323,N$1,FALSE),VLOOKUP($A177,Pit!$A$4:$AZ$2261,N$2,FALSE))</f>
        <v>2</v>
      </c>
      <c r="O177" s="16">
        <f>IF($C177="B",VLOOKUP($A177,Bat!$A$4:$BD$2323,O$1,FALSE),VLOOKUP($A177,Pit!$A$4:$AZ$2261,O$2,FALSE))</f>
        <v>3</v>
      </c>
      <c r="P177" s="17">
        <f>IF($C177="B",VLOOKUP($A177,Bat!$A$4:$BD$2323,P$1,FALSE),VLOOKUP($A177,Pit!$A$4:$AZ$2261,P$2,FALSE))</f>
        <v>4</v>
      </c>
      <c r="Q177" s="18">
        <f>IF($C177="B",VLOOKUP($A177,Bat!$A$4:$BD$2323,Q$1,FALSE),VLOOKUP($A177,Pit!$A$4:$AZ$2261,Q$2,FALSE))</f>
        <v>7.6584611764061705</v>
      </c>
      <c r="R177" s="19">
        <f>IF($C177="B",VLOOKUP($A177,Bat!$A$4:$BD$2323,R$1,FALSE),VLOOKUP($A177,Pit!$A$4:$AZ$2261,R$2,FALSE))</f>
        <v>-0.41788904003150673</v>
      </c>
      <c r="S177" s="20" t="str">
        <f>IF($C177="B",VLOOKUP($A177,Bat!$A$4:$BD$2323,S$1,FALSE),VLOOKUP($A177,Pit!$A$4:$AZ$2261,S$2,FALSE))</f>
        <v>Slot</v>
      </c>
      <c r="T177" s="17" t="str">
        <f>IF(S177="Slot","",VLOOKUP(IF($C177="B",VLOOKUP($A177,Bat!$A$4:$AT$2323,T$1,FALSE),VLOOKUP($A177,Pit!$A$4:$BD$2261,T$2,FALSE)),COND!$A$34:$B$40,2,FALSE))</f>
        <v/>
      </c>
      <c r="U177" s="21" t="str">
        <f>IF($C177="B",VLOOKUP($A177,Bat!$A$4:$AR$1287,44,FALSE),VLOOKUP($A177,Pit!$A$4:$BB$1239,54,FALSE))</f>
        <v/>
      </c>
      <c r="W177" s="21" t="str">
        <f t="shared" si="10"/>
        <v/>
      </c>
      <c r="X177" s="22" t="e">
        <f t="shared" si="11"/>
        <v>#N/A</v>
      </c>
      <c r="Y177" s="16" t="str">
        <f>IF(ISERROR(VLOOKUP($E177&amp;$F177,Results!$A$2:$G$413,Y$1,FALSE)),"",VLOOKUP($E177&amp;$F177,Results!$A$2:$G$413,Y$1,FALSE))</f>
        <v/>
      </c>
      <c r="Z177" s="16" t="str">
        <f>IF(ISERROR(VLOOKUP($E177&amp;$F177,Results!$A$2:$G$413,Z$1,FALSE)),"",VLOOKUP($E177&amp;$F177,Results!$A$2:$G$413,Z$1,FALSE))</f>
        <v/>
      </c>
      <c r="AA177" s="16" t="str">
        <f>IF(ISERROR(VLOOKUP($E177&amp;$F177,Results!$A$2:$G$413,AA$1,FALSE)),"",VLOOKUP($E177&amp;$F177,Results!$A$2:$G$413,AA$1,FALSE))</f>
        <v/>
      </c>
      <c r="AB177" s="16" t="str">
        <f>IF(ISERROR(VLOOKUP($E177&amp;$F177,Results!$A$2:$G$413,AB$1,FALSE)),"",VLOOKUP($E177&amp;$F177,Results!$A$2:$G$413,AB$1,FALSE))</f>
        <v/>
      </c>
      <c r="AC177" s="16"/>
      <c r="AD177" s="20" t="str">
        <f>IF(ISERROR(VLOOKUP($AB177&amp;"-"&amp;$F177,Bonuses!$B$1:$G$1000,4,FALSE)),"",INT(VLOOKUP($AB177&amp;"-"&amp;$F177,Bonuses!$B$1:$G$1000,4,FALSE)))</f>
        <v/>
      </c>
      <c r="AE177" s="16" t="str">
        <f>IF(ISERROR(VLOOKUP($AB177&amp;"-"&amp;$F177,Bonuses!$B$1:$G$1000,5,FALSE)),"",IF(VLOOKUP($AB177&amp;"-"&amp;$F177,Bonuses!$B$1:$G$1000,5,FALSE)="","",VLOOKUP($AB177&amp;"-"&amp;$F177,Bonuses!$B$1:$G$1000,6,FALSE)&amp;" yrs, "&amp;VLOOKUP($AB177&amp;"-"&amp;$F177,Bonuses!$B$1:$G$1000,5,FALSE)))</f>
        <v/>
      </c>
    </row>
    <row r="178" spans="1:31" s="21" customFormat="1">
      <c r="A178" s="21" t="s">
        <v>851</v>
      </c>
      <c r="B178" s="21">
        <f t="shared" si="8"/>
        <v>1</v>
      </c>
      <c r="C178" s="21" t="str">
        <f t="shared" si="9"/>
        <v>B</v>
      </c>
      <c r="D178" s="17" t="e">
        <f>IF($C178="B",VLOOKUP($A178,Bat!$A$4:$BD$2323,D$1,FALSE),VLOOKUP($A178,Pit!$A$4:$AZ$2261,D$2,FALSE))</f>
        <v>#N/A</v>
      </c>
      <c r="E178" s="16" t="str">
        <f>IF($C178="B",VLOOKUP($A178,Bat!$A$4:$BD$2323,E$1,FALSE),VLOOKUP($A178,Pit!$A$4:$AZ$2261,E$2,FALSE))</f>
        <v>3B</v>
      </c>
      <c r="F178" s="16" t="str">
        <f>IF($C178="B",VLOOKUP($A178,Bat!$A$4:$BD$2323,F$1,FALSE),VLOOKUP($A178,Pit!$A$4:$AZ$2261,F$2,FALSE))</f>
        <v>Tony Hernández</v>
      </c>
      <c r="G178" s="16">
        <f>IF($C178="B",VLOOKUP($A178,Bat!$A$4:$BD$2323,G$1,FALSE),VLOOKUP($A178,Pit!$A$4:$AZ$2261,G$2,FALSE))</f>
        <v>21</v>
      </c>
      <c r="H178" s="16" t="str">
        <f>IF($C178="B",VLOOKUP($A178,Bat!$A$4:$BD$2323,H$1,FALSE),VLOOKUP($A178,Pit!$A$4:$AZ$2261,H$2,FALSE))</f>
        <v>R</v>
      </c>
      <c r="I178" s="16" t="str">
        <f>IF($C178="B",VLOOKUP($A178,Bat!$A$4:$BD$2323,I$1,FALSE),VLOOKUP($A178,Pit!$A$4:$AZ$2261,I$2,FALSE))</f>
        <v>R</v>
      </c>
      <c r="J178" s="16" t="str">
        <f>IF($C178="B",VLOOKUP($A178,Bat!$A$4:$BD$2323,J$1,FALSE),VLOOKUP($A178,Pit!$A$4:$AZ$2261,J$2,FALSE))</f>
        <v>Normal</v>
      </c>
      <c r="K178" s="17" t="str">
        <f>IF($C178="B",VLOOKUP($A178,Bat!$A$4:$BD$2323,K$1,FALSE),VLOOKUP($A178,Pit!$A$4:$AZ$2261,K$2,FALSE))</f>
        <v>Low</v>
      </c>
      <c r="L178" s="16">
        <f>IF($C178="B",VLOOKUP($A178,Bat!$A$4:$BD$2323,L$1,FALSE),VLOOKUP($A178,Pit!$A$4:$AZ$2261,L$2,FALSE))</f>
        <v>4</v>
      </c>
      <c r="M178" s="16">
        <f>IF($C178="B",VLOOKUP($A178,Bat!$A$4:$BD$2323,M$1,FALSE),VLOOKUP($A178,Pit!$A$4:$AZ$2261,M$2,FALSE))</f>
        <v>7</v>
      </c>
      <c r="N178" s="16">
        <f>IF($C178="B",VLOOKUP($A178,Bat!$A$4:$BD$2323,N$1,FALSE),VLOOKUP($A178,Pit!$A$4:$AZ$2261,N$2,FALSE))</f>
        <v>2</v>
      </c>
      <c r="O178" s="16">
        <f>IF($C178="B",VLOOKUP($A178,Bat!$A$4:$BD$2323,O$1,FALSE),VLOOKUP($A178,Pit!$A$4:$AZ$2261,O$2,FALSE))</f>
        <v>5</v>
      </c>
      <c r="P178" s="17">
        <f>IF($C178="B",VLOOKUP($A178,Bat!$A$4:$BD$2323,P$1,FALSE),VLOOKUP($A178,Pit!$A$4:$AZ$2261,P$2,FALSE))</f>
        <v>4</v>
      </c>
      <c r="Q178" s="18">
        <f>IF($C178="B",VLOOKUP($A178,Bat!$A$4:$BD$2323,Q$1,FALSE),VLOOKUP($A178,Pit!$A$4:$AZ$2261,Q$2,FALSE))</f>
        <v>7.6100002559321611</v>
      </c>
      <c r="R178" s="19">
        <f>IF($C178="B",VLOOKUP($A178,Bat!$A$4:$BD$2323,R$1,FALSE),VLOOKUP($A178,Pit!$A$4:$AZ$2261,R$2,FALSE))</f>
        <v>-0.42462140812608101</v>
      </c>
      <c r="S178" s="20" t="str">
        <f>IF($C178="B",VLOOKUP($A178,Bat!$A$4:$BD$2323,S$1,FALSE),VLOOKUP($A178,Pit!$A$4:$AZ$2261,S$2,FALSE))</f>
        <v>Slot</v>
      </c>
      <c r="T178" s="17" t="str">
        <f>IF(S178="Slot","",VLOOKUP(IF($C178="B",VLOOKUP($A178,Bat!$A$4:$AT$2323,T$1,FALSE),VLOOKUP($A178,Pit!$A$4:$BD$2261,T$2,FALSE)),COND!$A$34:$B$40,2,FALSE))</f>
        <v/>
      </c>
      <c r="U178" s="21" t="str">
        <f>IF($C178="B",VLOOKUP($A178,Bat!$A$4:$AR$1287,44,FALSE),VLOOKUP($A178,Pit!$A$4:$BB$1239,54,FALSE))</f>
        <v/>
      </c>
      <c r="W178" s="21" t="str">
        <f t="shared" si="10"/>
        <v/>
      </c>
      <c r="X178" s="22" t="e">
        <f t="shared" si="11"/>
        <v>#N/A</v>
      </c>
      <c r="Y178" s="16" t="str">
        <f>IF(ISERROR(VLOOKUP($E178&amp;$F178,Results!$A$2:$G$413,Y$1,FALSE)),"",VLOOKUP($E178&amp;$F178,Results!$A$2:$G$413,Y$1,FALSE))</f>
        <v/>
      </c>
      <c r="Z178" s="16" t="str">
        <f>IF(ISERROR(VLOOKUP($E178&amp;$F178,Results!$A$2:$G$413,Z$1,FALSE)),"",VLOOKUP($E178&amp;$F178,Results!$A$2:$G$413,Z$1,FALSE))</f>
        <v/>
      </c>
      <c r="AA178" s="16" t="str">
        <f>IF(ISERROR(VLOOKUP($E178&amp;$F178,Results!$A$2:$G$413,AA$1,FALSE)),"",VLOOKUP($E178&amp;$F178,Results!$A$2:$G$413,AA$1,FALSE))</f>
        <v/>
      </c>
      <c r="AB178" s="16" t="str">
        <f>IF(ISERROR(VLOOKUP($E178&amp;$F178,Results!$A$2:$G$413,AB$1,FALSE)),"",VLOOKUP($E178&amp;$F178,Results!$A$2:$G$413,AB$1,FALSE))</f>
        <v/>
      </c>
      <c r="AC178" s="16"/>
      <c r="AD178" s="20" t="str">
        <f>IF(ISERROR(VLOOKUP($AB178&amp;"-"&amp;$F178,Bonuses!$B$1:$G$1000,4,FALSE)),"",INT(VLOOKUP($AB178&amp;"-"&amp;$F178,Bonuses!$B$1:$G$1000,4,FALSE)))</f>
        <v/>
      </c>
      <c r="AE178" s="16" t="str">
        <f>IF(ISERROR(VLOOKUP($AB178&amp;"-"&amp;$F178,Bonuses!$B$1:$G$1000,5,FALSE)),"",IF(VLOOKUP($AB178&amp;"-"&amp;$F178,Bonuses!$B$1:$G$1000,5,FALSE)="","",VLOOKUP($AB178&amp;"-"&amp;$F178,Bonuses!$B$1:$G$1000,6,FALSE)&amp;" yrs, "&amp;VLOOKUP($AB178&amp;"-"&amp;$F178,Bonuses!$B$1:$G$1000,5,FALSE)))</f>
        <v/>
      </c>
    </row>
    <row r="179" spans="1:31" s="21" customFormat="1">
      <c r="A179" s="21" t="s">
        <v>865</v>
      </c>
      <c r="B179" s="21">
        <f t="shared" si="8"/>
        <v>1</v>
      </c>
      <c r="C179" s="21" t="str">
        <f t="shared" si="9"/>
        <v>B</v>
      </c>
      <c r="D179" s="17">
        <f>IF($C179="B",VLOOKUP($A179,Bat!$A$4:$BD$2323,D$1,FALSE),VLOOKUP($A179,Pit!$A$4:$AZ$2261,D$2,FALSE))</f>
        <v>6169</v>
      </c>
      <c r="E179" s="16" t="str">
        <f>IF($C179="B",VLOOKUP($A179,Bat!$A$4:$BD$2323,E$1,FALSE),VLOOKUP($A179,Pit!$A$4:$AZ$2261,E$2,FALSE))</f>
        <v>CF</v>
      </c>
      <c r="F179" s="16" t="str">
        <f>IF($C179="B",VLOOKUP($A179,Bat!$A$4:$BD$2323,F$1,FALSE),VLOOKUP($A179,Pit!$A$4:$AZ$2261,F$2,FALSE))</f>
        <v>Alejandro Fierro</v>
      </c>
      <c r="G179" s="16">
        <f>IF($C179="B",VLOOKUP($A179,Bat!$A$4:$BD$2323,G$1,FALSE),VLOOKUP($A179,Pit!$A$4:$AZ$2261,G$2,FALSE))</f>
        <v>21</v>
      </c>
      <c r="H179" s="16" t="str">
        <f>IF($C179="B",VLOOKUP($A179,Bat!$A$4:$BD$2323,H$1,FALSE),VLOOKUP($A179,Pit!$A$4:$AZ$2261,H$2,FALSE))</f>
        <v>L</v>
      </c>
      <c r="I179" s="16" t="str">
        <f>IF($C179="B",VLOOKUP($A179,Bat!$A$4:$BD$2323,I$1,FALSE),VLOOKUP($A179,Pit!$A$4:$AZ$2261,I$2,FALSE))</f>
        <v>L</v>
      </c>
      <c r="J179" s="16" t="str">
        <f>IF($C179="B",VLOOKUP($A179,Bat!$A$4:$BD$2323,J$1,FALSE),VLOOKUP($A179,Pit!$A$4:$AZ$2261,J$2,FALSE))</f>
        <v>Normal</v>
      </c>
      <c r="K179" s="17" t="str">
        <f>IF($C179="B",VLOOKUP($A179,Bat!$A$4:$BD$2323,K$1,FALSE),VLOOKUP($A179,Pit!$A$4:$AZ$2261,K$2,FALSE))</f>
        <v>Very Low</v>
      </c>
      <c r="L179" s="16">
        <f>IF($C179="B",VLOOKUP($A179,Bat!$A$4:$BD$2323,L$1,FALSE),VLOOKUP($A179,Pit!$A$4:$AZ$2261,L$2,FALSE))</f>
        <v>5</v>
      </c>
      <c r="M179" s="16">
        <f>IF($C179="B",VLOOKUP($A179,Bat!$A$4:$BD$2323,M$1,FALSE),VLOOKUP($A179,Pit!$A$4:$AZ$2261,M$2,FALSE))</f>
        <v>6</v>
      </c>
      <c r="N179" s="16">
        <f>IF($C179="B",VLOOKUP($A179,Bat!$A$4:$BD$2323,N$1,FALSE),VLOOKUP($A179,Pit!$A$4:$AZ$2261,N$2,FALSE))</f>
        <v>2</v>
      </c>
      <c r="O179" s="16">
        <f>IF($C179="B",VLOOKUP($A179,Bat!$A$4:$BD$2323,O$1,FALSE),VLOOKUP($A179,Pit!$A$4:$AZ$2261,O$2,FALSE))</f>
        <v>2</v>
      </c>
      <c r="P179" s="17">
        <f>IF($C179="B",VLOOKUP($A179,Bat!$A$4:$BD$2323,P$1,FALSE),VLOOKUP($A179,Pit!$A$4:$AZ$2261,P$2,FALSE))</f>
        <v>5</v>
      </c>
      <c r="Q179" s="18">
        <f>IF($C179="B",VLOOKUP($A179,Bat!$A$4:$BD$2323,Q$1,FALSE),VLOOKUP($A179,Pit!$A$4:$AZ$2261,Q$2,FALSE))</f>
        <v>7.5926357456985105</v>
      </c>
      <c r="R179" s="19">
        <f>IF($C179="B",VLOOKUP($A179,Bat!$A$4:$BD$2323,R$1,FALSE),VLOOKUP($A179,Pit!$A$4:$AZ$2261,R$2,FALSE))</f>
        <v>-0.42703374931835436</v>
      </c>
      <c r="S179" s="20" t="str">
        <f>IF($C179="B",VLOOKUP($A179,Bat!$A$4:$BD$2323,S$1,FALSE),VLOOKUP($A179,Pit!$A$4:$AZ$2261,S$2,FALSE))</f>
        <v>Slot</v>
      </c>
      <c r="T179" s="17" t="str">
        <f>IF(S179="Slot","",VLOOKUP(IF($C179="B",VLOOKUP($A179,Bat!$A$4:$AT$2323,T$1,FALSE),VLOOKUP($A179,Pit!$A$4:$BD$2261,T$2,FALSE)),COND!$A$34:$B$40,2,FALSE))</f>
        <v/>
      </c>
      <c r="U179" s="21" t="str">
        <f>IF($C179="B",VLOOKUP($A179,Bat!$A$4:$AR$1287,44,FALSE),VLOOKUP($A179,Pit!$A$4:$BB$1239,54,FALSE))</f>
        <v/>
      </c>
      <c r="W179" s="21" t="str">
        <f t="shared" si="10"/>
        <v/>
      </c>
      <c r="X179" s="22" t="e">
        <f t="shared" si="11"/>
        <v>#N/A</v>
      </c>
      <c r="Y179" s="16" t="str">
        <f>IF(ISERROR(VLOOKUP($E179&amp;$F179,Results!$A$2:$G$413,Y$1,FALSE)),"",VLOOKUP($E179&amp;$F179,Results!$A$2:$G$413,Y$1,FALSE))</f>
        <v/>
      </c>
      <c r="Z179" s="16" t="str">
        <f>IF(ISERROR(VLOOKUP($E179&amp;$F179,Results!$A$2:$G$413,Z$1,FALSE)),"",VLOOKUP($E179&amp;$F179,Results!$A$2:$G$413,Z$1,FALSE))</f>
        <v/>
      </c>
      <c r="AA179" s="16" t="str">
        <f>IF(ISERROR(VLOOKUP($E179&amp;$F179,Results!$A$2:$G$413,AA$1,FALSE)),"",VLOOKUP($E179&amp;$F179,Results!$A$2:$G$413,AA$1,FALSE))</f>
        <v/>
      </c>
      <c r="AB179" s="16" t="str">
        <f>IF(ISERROR(VLOOKUP($E179&amp;$F179,Results!$A$2:$G$413,AB$1,FALSE)),"",VLOOKUP($E179&amp;$F179,Results!$A$2:$G$413,AB$1,FALSE))</f>
        <v/>
      </c>
      <c r="AC179" s="16"/>
      <c r="AD179" s="20" t="str">
        <f>IF(ISERROR(VLOOKUP($AB179&amp;"-"&amp;$F179,Bonuses!$B$1:$G$1000,4,FALSE)),"",INT(VLOOKUP($AB179&amp;"-"&amp;$F179,Bonuses!$B$1:$G$1000,4,FALSE)))</f>
        <v/>
      </c>
      <c r="AE179" s="16" t="str">
        <f>IF(ISERROR(VLOOKUP($AB179&amp;"-"&amp;$F179,Bonuses!$B$1:$G$1000,5,FALSE)),"",IF(VLOOKUP($AB179&amp;"-"&amp;$F179,Bonuses!$B$1:$G$1000,5,FALSE)="","",VLOOKUP($AB179&amp;"-"&amp;$F179,Bonuses!$B$1:$G$1000,6,FALSE)&amp;" yrs, "&amp;VLOOKUP($AB179&amp;"-"&amp;$F179,Bonuses!$B$1:$G$1000,5,FALSE)))</f>
        <v/>
      </c>
    </row>
    <row r="180" spans="1:31" s="21" customFormat="1">
      <c r="A180" s="21" t="s">
        <v>855</v>
      </c>
      <c r="B180" s="21">
        <f t="shared" si="8"/>
        <v>1</v>
      </c>
      <c r="C180" s="21" t="str">
        <f t="shared" si="9"/>
        <v>B</v>
      </c>
      <c r="D180" s="17">
        <f>IF($C180="B",VLOOKUP($A180,Bat!$A$4:$BD$2323,D$1,FALSE),VLOOKUP($A180,Pit!$A$4:$AZ$2261,D$2,FALSE))</f>
        <v>1069</v>
      </c>
      <c r="E180" s="16" t="str">
        <f>IF($C180="B",VLOOKUP($A180,Bat!$A$4:$BD$2323,E$1,FALSE),VLOOKUP($A180,Pit!$A$4:$AZ$2261,E$2,FALSE))</f>
        <v>1B</v>
      </c>
      <c r="F180" s="16" t="str">
        <f>IF($C180="B",VLOOKUP($A180,Bat!$A$4:$BD$2323,F$1,FALSE),VLOOKUP($A180,Pit!$A$4:$AZ$2261,F$2,FALSE))</f>
        <v>Ralph Pollock</v>
      </c>
      <c r="G180" s="16">
        <f>IF($C180="B",VLOOKUP($A180,Bat!$A$4:$BD$2323,G$1,FALSE),VLOOKUP($A180,Pit!$A$4:$AZ$2261,G$2,FALSE))</f>
        <v>18</v>
      </c>
      <c r="H180" s="16" t="str">
        <f>IF($C180="B",VLOOKUP($A180,Bat!$A$4:$BD$2323,H$1,FALSE),VLOOKUP($A180,Pit!$A$4:$AZ$2261,H$2,FALSE))</f>
        <v>R</v>
      </c>
      <c r="I180" s="16" t="str">
        <f>IF($C180="B",VLOOKUP($A180,Bat!$A$4:$BD$2323,I$1,FALSE),VLOOKUP($A180,Pit!$A$4:$AZ$2261,I$2,FALSE))</f>
        <v>R</v>
      </c>
      <c r="J180" s="16" t="str">
        <f>IF($C180="B",VLOOKUP($A180,Bat!$A$4:$BD$2323,J$1,FALSE),VLOOKUP($A180,Pit!$A$4:$AZ$2261,J$2,FALSE))</f>
        <v>High</v>
      </c>
      <c r="K180" s="17" t="str">
        <f>IF($C180="B",VLOOKUP($A180,Bat!$A$4:$BD$2323,K$1,FALSE),VLOOKUP($A180,Pit!$A$4:$AZ$2261,K$2,FALSE))</f>
        <v>Normal</v>
      </c>
      <c r="L180" s="16">
        <f>IF($C180="B",VLOOKUP($A180,Bat!$A$4:$BD$2323,L$1,FALSE),VLOOKUP($A180,Pit!$A$4:$AZ$2261,L$2,FALSE))</f>
        <v>4</v>
      </c>
      <c r="M180" s="16">
        <f>IF($C180="B",VLOOKUP($A180,Bat!$A$4:$BD$2323,M$1,FALSE),VLOOKUP($A180,Pit!$A$4:$AZ$2261,M$2,FALSE))</f>
        <v>5</v>
      </c>
      <c r="N180" s="16">
        <f>IF($C180="B",VLOOKUP($A180,Bat!$A$4:$BD$2323,N$1,FALSE),VLOOKUP($A180,Pit!$A$4:$AZ$2261,N$2,FALSE))</f>
        <v>6</v>
      </c>
      <c r="O180" s="16">
        <f>IF($C180="B",VLOOKUP($A180,Bat!$A$4:$BD$2323,O$1,FALSE),VLOOKUP($A180,Pit!$A$4:$AZ$2261,O$2,FALSE))</f>
        <v>3</v>
      </c>
      <c r="P180" s="17">
        <f>IF($C180="B",VLOOKUP($A180,Bat!$A$4:$BD$2323,P$1,FALSE),VLOOKUP($A180,Pit!$A$4:$AZ$2261,P$2,FALSE))</f>
        <v>4</v>
      </c>
      <c r="Q180" s="18">
        <f>IF($C180="B",VLOOKUP($A180,Bat!$A$4:$BD$2323,Q$1,FALSE),VLOOKUP($A180,Pit!$A$4:$AZ$2261,Q$2,FALSE))</f>
        <v>7.5196368671594751</v>
      </c>
      <c r="R180" s="19">
        <f>IF($C180="B",VLOOKUP($A180,Bat!$A$4:$BD$2323,R$1,FALSE),VLOOKUP($A180,Pit!$A$4:$AZ$2261,R$2,FALSE))</f>
        <v>-0.4371750201817397</v>
      </c>
      <c r="S180" s="20" t="str">
        <f>IF($C180="B",VLOOKUP($A180,Bat!$A$4:$BD$2323,S$1,FALSE),VLOOKUP($A180,Pit!$A$4:$AZ$2261,S$2,FALSE))</f>
        <v>Slot</v>
      </c>
      <c r="T180" s="17" t="str">
        <f>IF(S180="Slot","",VLOOKUP(IF($C180="B",VLOOKUP($A180,Bat!$A$4:$AT$2323,T$1,FALSE),VLOOKUP($A180,Pit!$A$4:$BD$2261,T$2,FALSE)),COND!$A$34:$B$40,2,FALSE))</f>
        <v/>
      </c>
      <c r="U180" s="21" t="str">
        <f>IF($C180="B",VLOOKUP($A180,Bat!$A$4:$AR$1287,44,FALSE),VLOOKUP($A180,Pit!$A$4:$BB$1239,54,FALSE))</f>
        <v/>
      </c>
      <c r="W180" s="21" t="str">
        <f t="shared" si="10"/>
        <v/>
      </c>
      <c r="X180" s="22" t="e">
        <f t="shared" si="11"/>
        <v>#N/A</v>
      </c>
      <c r="Y180" s="16" t="str">
        <f>IF(ISERROR(VLOOKUP($E180&amp;$F180,Results!$A$2:$G$413,Y$1,FALSE)),"",VLOOKUP($E180&amp;$F180,Results!$A$2:$G$413,Y$1,FALSE))</f>
        <v/>
      </c>
      <c r="Z180" s="16" t="str">
        <f>IF(ISERROR(VLOOKUP($E180&amp;$F180,Results!$A$2:$G$413,Z$1,FALSE)),"",VLOOKUP($E180&amp;$F180,Results!$A$2:$G$413,Z$1,FALSE))</f>
        <v/>
      </c>
      <c r="AA180" s="16" t="str">
        <f>IF(ISERROR(VLOOKUP($E180&amp;$F180,Results!$A$2:$G$413,AA$1,FALSE)),"",VLOOKUP($E180&amp;$F180,Results!$A$2:$G$413,AA$1,FALSE))</f>
        <v/>
      </c>
      <c r="AB180" s="16" t="str">
        <f>IF(ISERROR(VLOOKUP($E180&amp;$F180,Results!$A$2:$G$413,AB$1,FALSE)),"",VLOOKUP($E180&amp;$F180,Results!$A$2:$G$413,AB$1,FALSE))</f>
        <v/>
      </c>
      <c r="AC180" s="16"/>
      <c r="AD180" s="20" t="str">
        <f>IF(ISERROR(VLOOKUP($AB180&amp;"-"&amp;$F180,Bonuses!$B$1:$G$1000,4,FALSE)),"",INT(VLOOKUP($AB180&amp;"-"&amp;$F180,Bonuses!$B$1:$G$1000,4,FALSE)))</f>
        <v/>
      </c>
      <c r="AE180" s="16" t="str">
        <f>IF(ISERROR(VLOOKUP($AB180&amp;"-"&amp;$F180,Bonuses!$B$1:$G$1000,5,FALSE)),"",IF(VLOOKUP($AB180&amp;"-"&amp;$F180,Bonuses!$B$1:$G$1000,5,FALSE)="","",VLOOKUP($AB180&amp;"-"&amp;$F180,Bonuses!$B$1:$G$1000,6,FALSE)&amp;" yrs, "&amp;VLOOKUP($AB180&amp;"-"&amp;$F180,Bonuses!$B$1:$G$1000,5,FALSE)))</f>
        <v/>
      </c>
    </row>
    <row r="181" spans="1:31" s="21" customFormat="1">
      <c r="A181" s="21" t="s">
        <v>861</v>
      </c>
      <c r="B181" s="21">
        <f t="shared" si="8"/>
        <v>1</v>
      </c>
      <c r="C181" s="21" t="str">
        <f t="shared" si="9"/>
        <v>B</v>
      </c>
      <c r="D181" s="17" t="e">
        <f>IF($C181="B",VLOOKUP($A181,Bat!$A$4:$BD$2323,D$1,FALSE),VLOOKUP($A181,Pit!$A$4:$AZ$2261,D$2,FALSE))</f>
        <v>#N/A</v>
      </c>
      <c r="E181" s="16" t="str">
        <f>IF($C181="B",VLOOKUP($A181,Bat!$A$4:$BD$2323,E$1,FALSE),VLOOKUP($A181,Pit!$A$4:$AZ$2261,E$2,FALSE))</f>
        <v>CF</v>
      </c>
      <c r="F181" s="16" t="str">
        <f>IF($C181="B",VLOOKUP($A181,Bat!$A$4:$BD$2323,F$1,FALSE),VLOOKUP($A181,Pit!$A$4:$AZ$2261,F$2,FALSE))</f>
        <v>Edgardo Martínez</v>
      </c>
      <c r="G181" s="16">
        <f>IF($C181="B",VLOOKUP($A181,Bat!$A$4:$BD$2323,G$1,FALSE),VLOOKUP($A181,Pit!$A$4:$AZ$2261,G$2,FALSE))</f>
        <v>21</v>
      </c>
      <c r="H181" s="16" t="str">
        <f>IF($C181="B",VLOOKUP($A181,Bat!$A$4:$BD$2323,H$1,FALSE),VLOOKUP($A181,Pit!$A$4:$AZ$2261,H$2,FALSE))</f>
        <v>L</v>
      </c>
      <c r="I181" s="16" t="str">
        <f>IF($C181="B",VLOOKUP($A181,Bat!$A$4:$BD$2323,I$1,FALSE),VLOOKUP($A181,Pit!$A$4:$AZ$2261,I$2,FALSE))</f>
        <v>R</v>
      </c>
      <c r="J181" s="16" t="str">
        <f>IF($C181="B",VLOOKUP($A181,Bat!$A$4:$BD$2323,J$1,FALSE),VLOOKUP($A181,Pit!$A$4:$AZ$2261,J$2,FALSE))</f>
        <v>Low</v>
      </c>
      <c r="K181" s="17" t="str">
        <f>IF($C181="B",VLOOKUP($A181,Bat!$A$4:$BD$2323,K$1,FALSE),VLOOKUP($A181,Pit!$A$4:$AZ$2261,K$2,FALSE))</f>
        <v>High</v>
      </c>
      <c r="L181" s="16">
        <f>IF($C181="B",VLOOKUP($A181,Bat!$A$4:$BD$2323,L$1,FALSE),VLOOKUP($A181,Pit!$A$4:$AZ$2261,L$2,FALSE))</f>
        <v>5</v>
      </c>
      <c r="M181" s="16">
        <f>IF($C181="B",VLOOKUP($A181,Bat!$A$4:$BD$2323,M$1,FALSE),VLOOKUP($A181,Pit!$A$4:$AZ$2261,M$2,FALSE))</f>
        <v>5</v>
      </c>
      <c r="N181" s="16">
        <f>IF($C181="B",VLOOKUP($A181,Bat!$A$4:$BD$2323,N$1,FALSE),VLOOKUP($A181,Pit!$A$4:$AZ$2261,N$2,FALSE))</f>
        <v>1</v>
      </c>
      <c r="O181" s="16">
        <f>IF($C181="B",VLOOKUP($A181,Bat!$A$4:$BD$2323,O$1,FALSE),VLOOKUP($A181,Pit!$A$4:$AZ$2261,O$2,FALSE))</f>
        <v>3</v>
      </c>
      <c r="P181" s="17">
        <f>IF($C181="B",VLOOKUP($A181,Bat!$A$4:$BD$2323,P$1,FALSE),VLOOKUP($A181,Pit!$A$4:$AZ$2261,P$2,FALSE))</f>
        <v>4</v>
      </c>
      <c r="Q181" s="18">
        <f>IF($C181="B",VLOOKUP($A181,Bat!$A$4:$BD$2323,Q$1,FALSE),VLOOKUP($A181,Pit!$A$4:$AZ$2261,Q$2,FALSE))</f>
        <v>7.226902736489496</v>
      </c>
      <c r="R181" s="19">
        <f>IF($C181="B",VLOOKUP($A181,Bat!$A$4:$BD$2323,R$1,FALSE),VLOOKUP($A181,Pit!$A$4:$AZ$2261,R$2,FALSE))</f>
        <v>-0.47784271493946673</v>
      </c>
      <c r="S181" s="20" t="str">
        <f>IF($C181="B",VLOOKUP($A181,Bat!$A$4:$BD$2323,S$1,FALSE),VLOOKUP($A181,Pit!$A$4:$AZ$2261,S$2,FALSE))</f>
        <v>Slot</v>
      </c>
      <c r="T181" s="17" t="str">
        <f>IF(S181="Slot","",VLOOKUP(IF($C181="B",VLOOKUP($A181,Bat!$A$4:$AT$2323,T$1,FALSE),VLOOKUP($A181,Pit!$A$4:$BD$2261,T$2,FALSE)),COND!$A$34:$B$40,2,FALSE))</f>
        <v/>
      </c>
      <c r="U181" s="21" t="str">
        <f>IF($C181="B",VLOOKUP($A181,Bat!$A$4:$AR$1287,44,FALSE),VLOOKUP($A181,Pit!$A$4:$BB$1239,54,FALSE))</f>
        <v/>
      </c>
      <c r="W181" s="21" t="str">
        <f t="shared" si="10"/>
        <v/>
      </c>
      <c r="X181" s="22" t="e">
        <f t="shared" si="11"/>
        <v>#N/A</v>
      </c>
      <c r="Y181" s="16" t="str">
        <f>IF(ISERROR(VLOOKUP($E181&amp;$F181,Results!$A$2:$G$413,Y$1,FALSE)),"",VLOOKUP($E181&amp;$F181,Results!$A$2:$G$413,Y$1,FALSE))</f>
        <v/>
      </c>
      <c r="Z181" s="16" t="str">
        <f>IF(ISERROR(VLOOKUP($E181&amp;$F181,Results!$A$2:$G$413,Z$1,FALSE)),"",VLOOKUP($E181&amp;$F181,Results!$A$2:$G$413,Z$1,FALSE))</f>
        <v/>
      </c>
      <c r="AA181" s="16" t="str">
        <f>IF(ISERROR(VLOOKUP($E181&amp;$F181,Results!$A$2:$G$413,AA$1,FALSE)),"",VLOOKUP($E181&amp;$F181,Results!$A$2:$G$413,AA$1,FALSE))</f>
        <v/>
      </c>
      <c r="AB181" s="16" t="str">
        <f>IF(ISERROR(VLOOKUP($E181&amp;$F181,Results!$A$2:$G$413,AB$1,FALSE)),"",VLOOKUP($E181&amp;$F181,Results!$A$2:$G$413,AB$1,FALSE))</f>
        <v/>
      </c>
      <c r="AC181" s="16"/>
      <c r="AD181" s="20" t="str">
        <f>IF(ISERROR(VLOOKUP($AB181&amp;"-"&amp;$F181,Bonuses!$B$1:$G$1000,4,FALSE)),"",INT(VLOOKUP($AB181&amp;"-"&amp;$F181,Bonuses!$B$1:$G$1000,4,FALSE)))</f>
        <v/>
      </c>
      <c r="AE181" s="16" t="str">
        <f>IF(ISERROR(VLOOKUP($AB181&amp;"-"&amp;$F181,Bonuses!$B$1:$G$1000,5,FALSE)),"",IF(VLOOKUP($AB181&amp;"-"&amp;$F181,Bonuses!$B$1:$G$1000,5,FALSE)="","",VLOOKUP($AB181&amp;"-"&amp;$F181,Bonuses!$B$1:$G$1000,6,FALSE)&amp;" yrs, "&amp;VLOOKUP($AB181&amp;"-"&amp;$F181,Bonuses!$B$1:$G$1000,5,FALSE)))</f>
        <v/>
      </c>
    </row>
    <row r="182" spans="1:31" s="21" customFormat="1">
      <c r="A182" s="21" t="s">
        <v>433</v>
      </c>
      <c r="B182" s="21">
        <f t="shared" si="8"/>
        <v>1</v>
      </c>
      <c r="C182" s="21" t="str">
        <f t="shared" si="9"/>
        <v>B</v>
      </c>
      <c r="D182" s="17">
        <f>IF($C182="B",VLOOKUP($A182,Bat!$A$4:$BD$2323,D$1,FALSE),VLOOKUP($A182,Pit!$A$4:$AZ$2261,D$2,FALSE))</f>
        <v>3109</v>
      </c>
      <c r="E182" s="16" t="str">
        <f>IF($C182="B",VLOOKUP($A182,Bat!$A$4:$BD$2323,E$1,FALSE),VLOOKUP($A182,Pit!$A$4:$AZ$2261,E$2,FALSE))</f>
        <v>C</v>
      </c>
      <c r="F182" s="16" t="str">
        <f>IF($C182="B",VLOOKUP($A182,Bat!$A$4:$BD$2323,F$1,FALSE),VLOOKUP($A182,Pit!$A$4:$AZ$2261,F$2,FALSE))</f>
        <v>Wu-han Khoo</v>
      </c>
      <c r="G182" s="16">
        <f>IF($C182="B",VLOOKUP($A182,Bat!$A$4:$BD$2323,G$1,FALSE),VLOOKUP($A182,Pit!$A$4:$AZ$2261,G$2,FALSE))</f>
        <v>21</v>
      </c>
      <c r="H182" s="16" t="str">
        <f>IF($C182="B",VLOOKUP($A182,Bat!$A$4:$BD$2323,H$1,FALSE),VLOOKUP($A182,Pit!$A$4:$AZ$2261,H$2,FALSE))</f>
        <v>R</v>
      </c>
      <c r="I182" s="16" t="str">
        <f>IF($C182="B",VLOOKUP($A182,Bat!$A$4:$BD$2323,I$1,FALSE),VLOOKUP($A182,Pit!$A$4:$AZ$2261,I$2,FALSE))</f>
        <v>R</v>
      </c>
      <c r="J182" s="16" t="str">
        <f>IF($C182="B",VLOOKUP($A182,Bat!$A$4:$BD$2323,J$1,FALSE),VLOOKUP($A182,Pit!$A$4:$AZ$2261,J$2,FALSE))</f>
        <v>Very Low</v>
      </c>
      <c r="K182" s="17" t="str">
        <f>IF($C182="B",VLOOKUP($A182,Bat!$A$4:$BD$2323,K$1,FALSE),VLOOKUP($A182,Pit!$A$4:$AZ$2261,K$2,FALSE))</f>
        <v>Very High</v>
      </c>
      <c r="L182" s="16">
        <f>IF($C182="B",VLOOKUP($A182,Bat!$A$4:$BD$2323,L$1,FALSE),VLOOKUP($A182,Pit!$A$4:$AZ$2261,L$2,FALSE))</f>
        <v>5</v>
      </c>
      <c r="M182" s="16">
        <f>IF($C182="B",VLOOKUP($A182,Bat!$A$4:$BD$2323,M$1,FALSE),VLOOKUP($A182,Pit!$A$4:$AZ$2261,M$2,FALSE))</f>
        <v>4</v>
      </c>
      <c r="N182" s="16">
        <f>IF($C182="B",VLOOKUP($A182,Bat!$A$4:$BD$2323,N$1,FALSE),VLOOKUP($A182,Pit!$A$4:$AZ$2261,N$2,FALSE))</f>
        <v>1</v>
      </c>
      <c r="O182" s="16">
        <f>IF($C182="B",VLOOKUP($A182,Bat!$A$4:$BD$2323,O$1,FALSE),VLOOKUP($A182,Pit!$A$4:$AZ$2261,O$2,FALSE))</f>
        <v>4</v>
      </c>
      <c r="P182" s="17">
        <f>IF($C182="B",VLOOKUP($A182,Bat!$A$4:$BD$2323,P$1,FALSE),VLOOKUP($A182,Pit!$A$4:$AZ$2261,P$2,FALSE))</f>
        <v>5</v>
      </c>
      <c r="Q182" s="18">
        <f>IF($C182="B",VLOOKUP($A182,Bat!$A$4:$BD$2323,Q$1,FALSE),VLOOKUP($A182,Pit!$A$4:$AZ$2261,Q$2,FALSE))</f>
        <v>7.1335332874028907</v>
      </c>
      <c r="R182" s="19">
        <f>IF($C182="B",VLOOKUP($A182,Bat!$A$4:$BD$2323,R$1,FALSE),VLOOKUP($A182,Pit!$A$4:$AZ$2261,R$2,FALSE))</f>
        <v>-0.49081393987473731</v>
      </c>
      <c r="S182" s="20" t="str">
        <f>IF($C182="B",VLOOKUP($A182,Bat!$A$4:$BD$2323,S$1,FALSE),VLOOKUP($A182,Pit!$A$4:$AZ$2261,S$2,FALSE))</f>
        <v>Slot</v>
      </c>
      <c r="T182" s="17" t="str">
        <f>IF(S182="Slot","",VLOOKUP(IF($C182="B",VLOOKUP($A182,Bat!$A$4:$AT$2323,T$1,FALSE),VLOOKUP($A182,Pit!$A$4:$BD$2261,T$2,FALSE)),COND!$A$34:$B$40,2,FALSE))</f>
        <v/>
      </c>
      <c r="U182" s="21" t="str">
        <f>IF($C182="B",VLOOKUP($A182,Bat!$A$4:$AR$1287,44,FALSE),VLOOKUP($A182,Pit!$A$4:$BB$1239,54,FALSE))</f>
        <v/>
      </c>
      <c r="W182" s="21" t="str">
        <f t="shared" si="10"/>
        <v/>
      </c>
      <c r="X182" s="22" t="e">
        <f t="shared" si="11"/>
        <v>#N/A</v>
      </c>
      <c r="Y182" s="16" t="str">
        <f>IF(ISERROR(VLOOKUP($E182&amp;$F182,Results!$A$2:$G$413,Y$1,FALSE)),"",VLOOKUP($E182&amp;$F182,Results!$A$2:$G$413,Y$1,FALSE))</f>
        <v/>
      </c>
      <c r="Z182" s="16" t="str">
        <f>IF(ISERROR(VLOOKUP($E182&amp;$F182,Results!$A$2:$G$413,Z$1,FALSE)),"",VLOOKUP($E182&amp;$F182,Results!$A$2:$G$413,Z$1,FALSE))</f>
        <v/>
      </c>
      <c r="AA182" s="16" t="str">
        <f>IF(ISERROR(VLOOKUP($E182&amp;$F182,Results!$A$2:$G$413,AA$1,FALSE)),"",VLOOKUP($E182&amp;$F182,Results!$A$2:$G$413,AA$1,FALSE))</f>
        <v/>
      </c>
      <c r="AB182" s="16" t="str">
        <f>IF(ISERROR(VLOOKUP($E182&amp;$F182,Results!$A$2:$G$413,AB$1,FALSE)),"",VLOOKUP($E182&amp;$F182,Results!$A$2:$G$413,AB$1,FALSE))</f>
        <v/>
      </c>
      <c r="AC182" s="16"/>
      <c r="AD182" s="20" t="str">
        <f>IF(ISERROR(VLOOKUP($AB182&amp;"-"&amp;$F182,Bonuses!$B$1:$G$1000,4,FALSE)),"",INT(VLOOKUP($AB182&amp;"-"&amp;$F182,Bonuses!$B$1:$G$1000,4,FALSE)))</f>
        <v/>
      </c>
      <c r="AE182" s="16" t="str">
        <f>IF(ISERROR(VLOOKUP($AB182&amp;"-"&amp;$F182,Bonuses!$B$1:$G$1000,5,FALSE)),"",IF(VLOOKUP($AB182&amp;"-"&amp;$F182,Bonuses!$B$1:$G$1000,5,FALSE)="","",VLOOKUP($AB182&amp;"-"&amp;$F182,Bonuses!$B$1:$G$1000,6,FALSE)&amp;" yrs, "&amp;VLOOKUP($AB182&amp;"-"&amp;$F182,Bonuses!$B$1:$G$1000,5,FALSE)))</f>
        <v/>
      </c>
    </row>
    <row r="183" spans="1:31" s="21" customFormat="1">
      <c r="A183" s="21" t="s">
        <v>881</v>
      </c>
      <c r="B183" s="21">
        <f t="shared" si="8"/>
        <v>1</v>
      </c>
      <c r="C183" s="21" t="str">
        <f t="shared" si="9"/>
        <v>B</v>
      </c>
      <c r="D183" s="17">
        <f>IF($C183="B",VLOOKUP($A183,Bat!$A$4:$BD$2323,D$1,FALSE),VLOOKUP($A183,Pit!$A$4:$AZ$2261,D$2,FALSE))</f>
        <v>13797</v>
      </c>
      <c r="E183" s="16" t="str">
        <f>IF($C183="B",VLOOKUP($A183,Bat!$A$4:$BD$2323,E$1,FALSE),VLOOKUP($A183,Pit!$A$4:$AZ$2261,E$2,FALSE))</f>
        <v>LF</v>
      </c>
      <c r="F183" s="16" t="str">
        <f>IF($C183="B",VLOOKUP($A183,Bat!$A$4:$BD$2323,F$1,FALSE),VLOOKUP($A183,Pit!$A$4:$AZ$2261,F$2,FALSE))</f>
        <v>Mario Padilla</v>
      </c>
      <c r="G183" s="16">
        <f>IF($C183="B",VLOOKUP($A183,Bat!$A$4:$BD$2323,G$1,FALSE),VLOOKUP($A183,Pit!$A$4:$AZ$2261,G$2,FALSE))</f>
        <v>18</v>
      </c>
      <c r="H183" s="16" t="str">
        <f>IF($C183="B",VLOOKUP($A183,Bat!$A$4:$BD$2323,H$1,FALSE),VLOOKUP($A183,Pit!$A$4:$AZ$2261,H$2,FALSE))</f>
        <v>R</v>
      </c>
      <c r="I183" s="16" t="str">
        <f>IF($C183="B",VLOOKUP($A183,Bat!$A$4:$BD$2323,I$1,FALSE),VLOOKUP($A183,Pit!$A$4:$AZ$2261,I$2,FALSE))</f>
        <v>R</v>
      </c>
      <c r="J183" s="16" t="str">
        <f>IF($C183="B",VLOOKUP($A183,Bat!$A$4:$BD$2323,J$1,FALSE),VLOOKUP($A183,Pit!$A$4:$AZ$2261,J$2,FALSE))</f>
        <v>Low</v>
      </c>
      <c r="K183" s="17" t="str">
        <f>IF($C183="B",VLOOKUP($A183,Bat!$A$4:$BD$2323,K$1,FALSE),VLOOKUP($A183,Pit!$A$4:$AZ$2261,K$2,FALSE))</f>
        <v>Normal</v>
      </c>
      <c r="L183" s="16">
        <f>IF($C183="B",VLOOKUP($A183,Bat!$A$4:$BD$2323,L$1,FALSE),VLOOKUP($A183,Pit!$A$4:$AZ$2261,L$2,FALSE))</f>
        <v>5</v>
      </c>
      <c r="M183" s="16">
        <f>IF($C183="B",VLOOKUP($A183,Bat!$A$4:$BD$2323,M$1,FALSE),VLOOKUP($A183,Pit!$A$4:$AZ$2261,M$2,FALSE))</f>
        <v>3</v>
      </c>
      <c r="N183" s="16">
        <f>IF($C183="B",VLOOKUP($A183,Bat!$A$4:$BD$2323,N$1,FALSE),VLOOKUP($A183,Pit!$A$4:$AZ$2261,N$2,FALSE))</f>
        <v>3</v>
      </c>
      <c r="O183" s="16">
        <f>IF($C183="B",VLOOKUP($A183,Bat!$A$4:$BD$2323,O$1,FALSE),VLOOKUP($A183,Pit!$A$4:$AZ$2261,O$2,FALSE))</f>
        <v>3</v>
      </c>
      <c r="P183" s="17">
        <f>IF($C183="B",VLOOKUP($A183,Bat!$A$4:$BD$2323,P$1,FALSE),VLOOKUP($A183,Pit!$A$4:$AZ$2261,P$2,FALSE))</f>
        <v>4</v>
      </c>
      <c r="Q183" s="18">
        <f>IF($C183="B",VLOOKUP($A183,Bat!$A$4:$BD$2323,Q$1,FALSE),VLOOKUP($A183,Pit!$A$4:$AZ$2261,Q$2,FALSE))</f>
        <v>6.9746560058822347</v>
      </c>
      <c r="R183" s="19">
        <f>IF($C183="B",VLOOKUP($A183,Bat!$A$4:$BD$2323,R$1,FALSE),VLOOKUP($A183,Pit!$A$4:$AZ$2261,R$2,FALSE))</f>
        <v>-0.5128857521845348</v>
      </c>
      <c r="S183" s="20" t="str">
        <f>IF($C183="B",VLOOKUP($A183,Bat!$A$4:$BD$2323,S$1,FALSE),VLOOKUP($A183,Pit!$A$4:$AZ$2261,S$2,FALSE))</f>
        <v>Slot</v>
      </c>
      <c r="T183" s="17" t="str">
        <f>IF(S183="Slot","",VLOOKUP(IF($C183="B",VLOOKUP($A183,Bat!$A$4:$AT$2323,T$1,FALSE),VLOOKUP($A183,Pit!$A$4:$BD$2261,T$2,FALSE)),COND!$A$34:$B$40,2,FALSE))</f>
        <v/>
      </c>
      <c r="U183" s="21" t="str">
        <f>IF($C183="B",VLOOKUP($A183,Bat!$A$4:$AR$1287,44,FALSE),VLOOKUP($A183,Pit!$A$4:$BB$1239,54,FALSE))</f>
        <v/>
      </c>
      <c r="W183" s="21" t="str">
        <f t="shared" si="10"/>
        <v/>
      </c>
      <c r="X183" s="22" t="e">
        <f t="shared" si="11"/>
        <v>#N/A</v>
      </c>
      <c r="Y183" s="16" t="str">
        <f>IF(ISERROR(VLOOKUP($E183&amp;$F183,Results!$A$2:$G$413,Y$1,FALSE)),"",VLOOKUP($E183&amp;$F183,Results!$A$2:$G$413,Y$1,FALSE))</f>
        <v/>
      </c>
      <c r="Z183" s="16" t="str">
        <f>IF(ISERROR(VLOOKUP($E183&amp;$F183,Results!$A$2:$G$413,Z$1,FALSE)),"",VLOOKUP($E183&amp;$F183,Results!$A$2:$G$413,Z$1,FALSE))</f>
        <v/>
      </c>
      <c r="AA183" s="16" t="str">
        <f>IF(ISERROR(VLOOKUP($E183&amp;$F183,Results!$A$2:$G$413,AA$1,FALSE)),"",VLOOKUP($E183&amp;$F183,Results!$A$2:$G$413,AA$1,FALSE))</f>
        <v/>
      </c>
      <c r="AB183" s="16" t="str">
        <f>IF(ISERROR(VLOOKUP($E183&amp;$F183,Results!$A$2:$G$413,AB$1,FALSE)),"",VLOOKUP($E183&amp;$F183,Results!$A$2:$G$413,AB$1,FALSE))</f>
        <v/>
      </c>
      <c r="AC183" s="16"/>
      <c r="AD183" s="20" t="str">
        <f>IF(ISERROR(VLOOKUP($AB183&amp;"-"&amp;$F183,Bonuses!$B$1:$G$1000,4,FALSE)),"",INT(VLOOKUP($AB183&amp;"-"&amp;$F183,Bonuses!$B$1:$G$1000,4,FALSE)))</f>
        <v/>
      </c>
      <c r="AE183" s="16" t="str">
        <f>IF(ISERROR(VLOOKUP($AB183&amp;"-"&amp;$F183,Bonuses!$B$1:$G$1000,5,FALSE)),"",IF(VLOOKUP($AB183&amp;"-"&amp;$F183,Bonuses!$B$1:$G$1000,5,FALSE)="","",VLOOKUP($AB183&amp;"-"&amp;$F183,Bonuses!$B$1:$G$1000,6,FALSE)&amp;" yrs, "&amp;VLOOKUP($AB183&amp;"-"&amp;$F183,Bonuses!$B$1:$G$1000,5,FALSE)))</f>
        <v/>
      </c>
    </row>
    <row r="184" spans="1:31" s="21" customFormat="1">
      <c r="A184" s="21" t="s">
        <v>867</v>
      </c>
      <c r="B184" s="21">
        <f t="shared" si="8"/>
        <v>1</v>
      </c>
      <c r="C184" s="21" t="str">
        <f t="shared" si="9"/>
        <v>B</v>
      </c>
      <c r="D184" s="17">
        <f>IF($C184="B",VLOOKUP($A184,Bat!$A$4:$BD$2323,D$1,FALSE),VLOOKUP($A184,Pit!$A$4:$AZ$2261,D$2,FALSE))</f>
        <v>2689</v>
      </c>
      <c r="E184" s="16" t="str">
        <f>IF($C184="B",VLOOKUP($A184,Bat!$A$4:$BD$2323,E$1,FALSE),VLOOKUP($A184,Pit!$A$4:$AZ$2261,E$2,FALSE))</f>
        <v>RF</v>
      </c>
      <c r="F184" s="16" t="str">
        <f>IF($C184="B",VLOOKUP($A184,Bat!$A$4:$BD$2323,F$1,FALSE),VLOOKUP($A184,Pit!$A$4:$AZ$2261,F$2,FALSE))</f>
        <v>Juan Carlos Robles</v>
      </c>
      <c r="G184" s="16">
        <f>IF($C184="B",VLOOKUP($A184,Bat!$A$4:$BD$2323,G$1,FALSE),VLOOKUP($A184,Pit!$A$4:$AZ$2261,G$2,FALSE))</f>
        <v>21</v>
      </c>
      <c r="H184" s="16" t="str">
        <f>IF($C184="B",VLOOKUP($A184,Bat!$A$4:$BD$2323,H$1,FALSE),VLOOKUP($A184,Pit!$A$4:$AZ$2261,H$2,FALSE))</f>
        <v>R</v>
      </c>
      <c r="I184" s="16" t="str">
        <f>IF($C184="B",VLOOKUP($A184,Bat!$A$4:$BD$2323,I$1,FALSE),VLOOKUP($A184,Pit!$A$4:$AZ$2261,I$2,FALSE))</f>
        <v>R</v>
      </c>
      <c r="J184" s="16" t="str">
        <f>IF($C184="B",VLOOKUP($A184,Bat!$A$4:$BD$2323,J$1,FALSE),VLOOKUP($A184,Pit!$A$4:$AZ$2261,J$2,FALSE))</f>
        <v>Low</v>
      </c>
      <c r="K184" s="17" t="str">
        <f>IF($C184="B",VLOOKUP($A184,Bat!$A$4:$BD$2323,K$1,FALSE),VLOOKUP($A184,Pit!$A$4:$AZ$2261,K$2,FALSE))</f>
        <v>High</v>
      </c>
      <c r="L184" s="16">
        <f>IF($C184="B",VLOOKUP($A184,Bat!$A$4:$BD$2323,L$1,FALSE),VLOOKUP($A184,Pit!$A$4:$AZ$2261,L$2,FALSE))</f>
        <v>5</v>
      </c>
      <c r="M184" s="16">
        <f>IF($C184="B",VLOOKUP($A184,Bat!$A$4:$BD$2323,M$1,FALSE),VLOOKUP($A184,Pit!$A$4:$AZ$2261,M$2,FALSE))</f>
        <v>2</v>
      </c>
      <c r="N184" s="16">
        <f>IF($C184="B",VLOOKUP($A184,Bat!$A$4:$BD$2323,N$1,FALSE),VLOOKUP($A184,Pit!$A$4:$AZ$2261,N$2,FALSE))</f>
        <v>4</v>
      </c>
      <c r="O184" s="16">
        <f>IF($C184="B",VLOOKUP($A184,Bat!$A$4:$BD$2323,O$1,FALSE),VLOOKUP($A184,Pit!$A$4:$AZ$2261,O$2,FALSE))</f>
        <v>2</v>
      </c>
      <c r="P184" s="17">
        <f>IF($C184="B",VLOOKUP($A184,Bat!$A$4:$BD$2323,P$1,FALSE),VLOOKUP($A184,Pit!$A$4:$AZ$2261,P$2,FALSE))</f>
        <v>4</v>
      </c>
      <c r="Q184" s="18">
        <f>IF($C184="B",VLOOKUP($A184,Bat!$A$4:$BD$2323,Q$1,FALSE),VLOOKUP($A184,Pit!$A$4:$AZ$2261,Q$2,FALSE))</f>
        <v>6.9640857172161414</v>
      </c>
      <c r="R184" s="19">
        <f>IF($C184="B",VLOOKUP($A184,Bat!$A$4:$BD$2323,R$1,FALSE),VLOOKUP($A184,Pit!$A$4:$AZ$2261,R$2,FALSE))</f>
        <v>-0.51435421529811132</v>
      </c>
      <c r="S184" s="20" t="str">
        <f>IF($C184="B",VLOOKUP($A184,Bat!$A$4:$BD$2323,S$1,FALSE),VLOOKUP($A184,Pit!$A$4:$AZ$2261,S$2,FALSE))</f>
        <v>Slot</v>
      </c>
      <c r="T184" s="17" t="str">
        <f>IF(S184="Slot","",VLOOKUP(IF($C184="B",VLOOKUP($A184,Bat!$A$4:$AT$2323,T$1,FALSE),VLOOKUP($A184,Pit!$A$4:$BD$2261,T$2,FALSE)),COND!$A$34:$B$40,2,FALSE))</f>
        <v/>
      </c>
      <c r="U184" s="21" t="str">
        <f>IF($C184="B",VLOOKUP($A184,Bat!$A$4:$AR$1287,44,FALSE),VLOOKUP($A184,Pit!$A$4:$BB$1239,54,FALSE))</f>
        <v/>
      </c>
      <c r="W184" s="21" t="str">
        <f t="shared" si="10"/>
        <v/>
      </c>
      <c r="X184" s="22" t="e">
        <f t="shared" si="11"/>
        <v>#N/A</v>
      </c>
      <c r="Y184" s="16" t="str">
        <f>IF(ISERROR(VLOOKUP($E184&amp;$F184,Results!$A$2:$G$413,Y$1,FALSE)),"",VLOOKUP($E184&amp;$F184,Results!$A$2:$G$413,Y$1,FALSE))</f>
        <v/>
      </c>
      <c r="Z184" s="16" t="str">
        <f>IF(ISERROR(VLOOKUP($E184&amp;$F184,Results!$A$2:$G$413,Z$1,FALSE)),"",VLOOKUP($E184&amp;$F184,Results!$A$2:$G$413,Z$1,FALSE))</f>
        <v/>
      </c>
      <c r="AA184" s="16" t="str">
        <f>IF(ISERROR(VLOOKUP($E184&amp;$F184,Results!$A$2:$G$413,AA$1,FALSE)),"",VLOOKUP($E184&amp;$F184,Results!$A$2:$G$413,AA$1,FALSE))</f>
        <v/>
      </c>
      <c r="AB184" s="16" t="str">
        <f>IF(ISERROR(VLOOKUP($E184&amp;$F184,Results!$A$2:$G$413,AB$1,FALSE)),"",VLOOKUP($E184&amp;$F184,Results!$A$2:$G$413,AB$1,FALSE))</f>
        <v/>
      </c>
      <c r="AC184" s="16"/>
      <c r="AD184" s="20" t="str">
        <f>IF(ISERROR(VLOOKUP($AB184&amp;"-"&amp;$F184,Bonuses!$B$1:$G$1000,4,FALSE)),"",INT(VLOOKUP($AB184&amp;"-"&amp;$F184,Bonuses!$B$1:$G$1000,4,FALSE)))</f>
        <v/>
      </c>
      <c r="AE184" s="16" t="str">
        <f>IF(ISERROR(VLOOKUP($AB184&amp;"-"&amp;$F184,Bonuses!$B$1:$G$1000,5,FALSE)),"",IF(VLOOKUP($AB184&amp;"-"&amp;$F184,Bonuses!$B$1:$G$1000,5,FALSE)="","",VLOOKUP($AB184&amp;"-"&amp;$F184,Bonuses!$B$1:$G$1000,6,FALSE)&amp;" yrs, "&amp;VLOOKUP($AB184&amp;"-"&amp;$F184,Bonuses!$B$1:$G$1000,5,FALSE)))</f>
        <v/>
      </c>
    </row>
    <row r="185" spans="1:31" s="21" customFormat="1">
      <c r="A185" s="21" t="s">
        <v>884</v>
      </c>
      <c r="B185" s="21">
        <f t="shared" si="8"/>
        <v>1</v>
      </c>
      <c r="C185" s="21" t="str">
        <f t="shared" si="9"/>
        <v>B</v>
      </c>
      <c r="D185" s="17" t="e">
        <f>IF($C185="B",VLOOKUP($A185,Bat!$A$4:$BD$2323,D$1,FALSE),VLOOKUP($A185,Pit!$A$4:$AZ$2261,D$2,FALSE))</f>
        <v>#N/A</v>
      </c>
      <c r="E185" s="16" t="e">
        <f>IF($C185="B",VLOOKUP($A185,Bat!$A$4:$BD$2323,E$1,FALSE),VLOOKUP($A185,Pit!$A$4:$AZ$2261,E$2,FALSE))</f>
        <v>#N/A</v>
      </c>
      <c r="F185" s="16" t="e">
        <f>IF($C185="B",VLOOKUP($A185,Bat!$A$4:$BD$2323,F$1,FALSE),VLOOKUP($A185,Pit!$A$4:$AZ$2261,F$2,FALSE))</f>
        <v>#N/A</v>
      </c>
      <c r="G185" s="16" t="e">
        <f>IF($C185="B",VLOOKUP($A185,Bat!$A$4:$BD$2323,G$1,FALSE),VLOOKUP($A185,Pit!$A$4:$AZ$2261,G$2,FALSE))</f>
        <v>#N/A</v>
      </c>
      <c r="H185" s="16" t="e">
        <f>IF($C185="B",VLOOKUP($A185,Bat!$A$4:$BD$2323,H$1,FALSE),VLOOKUP($A185,Pit!$A$4:$AZ$2261,H$2,FALSE))</f>
        <v>#N/A</v>
      </c>
      <c r="I185" s="16" t="e">
        <f>IF($C185="B",VLOOKUP($A185,Bat!$A$4:$BD$2323,I$1,FALSE),VLOOKUP($A185,Pit!$A$4:$AZ$2261,I$2,FALSE))</f>
        <v>#N/A</v>
      </c>
      <c r="J185" s="16" t="e">
        <f>IF($C185="B",VLOOKUP($A185,Bat!$A$4:$BD$2323,J$1,FALSE),VLOOKUP($A185,Pit!$A$4:$AZ$2261,J$2,FALSE))</f>
        <v>#N/A</v>
      </c>
      <c r="K185" s="17" t="e">
        <f>IF($C185="B",VLOOKUP($A185,Bat!$A$4:$BD$2323,K$1,FALSE),VLOOKUP($A185,Pit!$A$4:$AZ$2261,K$2,FALSE))</f>
        <v>#N/A</v>
      </c>
      <c r="L185" s="16" t="e">
        <f>IF($C185="B",VLOOKUP($A185,Bat!$A$4:$BD$2323,L$1,FALSE),VLOOKUP($A185,Pit!$A$4:$AZ$2261,L$2,FALSE))</f>
        <v>#N/A</v>
      </c>
      <c r="M185" s="16" t="e">
        <f>IF($C185="B",VLOOKUP($A185,Bat!$A$4:$BD$2323,M$1,FALSE),VLOOKUP($A185,Pit!$A$4:$AZ$2261,M$2,FALSE))</f>
        <v>#N/A</v>
      </c>
      <c r="N185" s="16" t="e">
        <f>IF($C185="B",VLOOKUP($A185,Bat!$A$4:$BD$2323,N$1,FALSE),VLOOKUP($A185,Pit!$A$4:$AZ$2261,N$2,FALSE))</f>
        <v>#N/A</v>
      </c>
      <c r="O185" s="16" t="e">
        <f>IF($C185="B",VLOOKUP($A185,Bat!$A$4:$BD$2323,O$1,FALSE),VLOOKUP($A185,Pit!$A$4:$AZ$2261,O$2,FALSE))</f>
        <v>#N/A</v>
      </c>
      <c r="P185" s="17" t="e">
        <f>IF($C185="B",VLOOKUP($A185,Bat!$A$4:$BD$2323,P$1,FALSE),VLOOKUP($A185,Pit!$A$4:$AZ$2261,P$2,FALSE))</f>
        <v>#N/A</v>
      </c>
      <c r="Q185" s="18" t="e">
        <f>IF($C185="B",VLOOKUP($A185,Bat!$A$4:$BD$2323,Q$1,FALSE),VLOOKUP($A185,Pit!$A$4:$AZ$2261,Q$2,FALSE))</f>
        <v>#N/A</v>
      </c>
      <c r="R185" s="19" t="e">
        <f>IF($C185="B",VLOOKUP($A185,Bat!$A$4:$BD$2323,R$1,FALSE),VLOOKUP($A185,Pit!$A$4:$AZ$2261,R$2,FALSE))</f>
        <v>#N/A</v>
      </c>
      <c r="S185" s="20" t="e">
        <f>IF($C185="B",VLOOKUP($A185,Bat!$A$4:$BD$2323,S$1,FALSE),VLOOKUP($A185,Pit!$A$4:$AZ$2261,S$2,FALSE))</f>
        <v>#N/A</v>
      </c>
      <c r="T185" s="17" t="e">
        <f>IF(S185="Slot","",VLOOKUP(IF($C185="B",VLOOKUP($A185,Bat!$A$4:$AT$2323,T$1,FALSE),VLOOKUP($A185,Pit!$A$4:$BD$2261,T$2,FALSE)),COND!$A$34:$B$40,2,FALSE))</f>
        <v>#N/A</v>
      </c>
      <c r="U185" s="21" t="e">
        <f>IF($C185="B",VLOOKUP($A185,Bat!$A$4:$AR$1287,44,FALSE),VLOOKUP($A185,Pit!$A$4:$BB$1239,54,FALSE))</f>
        <v>#N/A</v>
      </c>
      <c r="W185" s="21" t="e">
        <f t="shared" si="10"/>
        <v>#N/A</v>
      </c>
      <c r="X185" s="22" t="e">
        <f t="shared" si="11"/>
        <v>#N/A</v>
      </c>
      <c r="Y185" s="16" t="str">
        <f>IF(ISERROR(VLOOKUP($E185&amp;$F185,Results!$A$2:$G$413,Y$1,FALSE)),"",VLOOKUP($E185&amp;$F185,Results!$A$2:$G$413,Y$1,FALSE))</f>
        <v/>
      </c>
      <c r="Z185" s="16" t="str">
        <f>IF(ISERROR(VLOOKUP($E185&amp;$F185,Results!$A$2:$G$413,Z$1,FALSE)),"",VLOOKUP($E185&amp;$F185,Results!$A$2:$G$413,Z$1,FALSE))</f>
        <v/>
      </c>
      <c r="AA185" s="16" t="str">
        <f>IF(ISERROR(VLOOKUP($E185&amp;$F185,Results!$A$2:$G$413,AA$1,FALSE)),"",VLOOKUP($E185&amp;$F185,Results!$A$2:$G$413,AA$1,FALSE))</f>
        <v/>
      </c>
      <c r="AB185" s="16" t="str">
        <f>IF(ISERROR(VLOOKUP($E185&amp;$F185,Results!$A$2:$G$413,AB$1,FALSE)),"",VLOOKUP($E185&amp;$F185,Results!$A$2:$G$413,AB$1,FALSE))</f>
        <v/>
      </c>
      <c r="AC185" s="16"/>
      <c r="AD185" s="20" t="str">
        <f>IF(ISERROR(VLOOKUP($AB185&amp;"-"&amp;$F185,Bonuses!$B$1:$G$1000,4,FALSE)),"",INT(VLOOKUP($AB185&amp;"-"&amp;$F185,Bonuses!$B$1:$G$1000,4,FALSE)))</f>
        <v/>
      </c>
      <c r="AE185" s="16" t="str">
        <f>IF(ISERROR(VLOOKUP($AB185&amp;"-"&amp;$F185,Bonuses!$B$1:$G$1000,5,FALSE)),"",IF(VLOOKUP($AB185&amp;"-"&amp;$F185,Bonuses!$B$1:$G$1000,5,FALSE)="","",VLOOKUP($AB185&amp;"-"&amp;$F185,Bonuses!$B$1:$G$1000,6,FALSE)&amp;" yrs, "&amp;VLOOKUP($AB185&amp;"-"&amp;$F185,Bonuses!$B$1:$G$1000,5,FALSE)))</f>
        <v/>
      </c>
    </row>
    <row r="186" spans="1:31" s="21" customFormat="1">
      <c r="A186" s="21" t="s">
        <v>892</v>
      </c>
      <c r="B186" s="21">
        <f t="shared" si="8"/>
        <v>1</v>
      </c>
      <c r="C186" s="21" t="str">
        <f t="shared" si="9"/>
        <v>B</v>
      </c>
      <c r="D186" s="17">
        <f>IF($C186="B",VLOOKUP($A186,Bat!$A$4:$BD$2323,D$1,FALSE),VLOOKUP($A186,Pit!$A$4:$AZ$2261,D$2,FALSE))</f>
        <v>2984</v>
      </c>
      <c r="E186" s="16" t="str">
        <f>IF($C186="B",VLOOKUP($A186,Bat!$A$4:$BD$2323,E$1,FALSE),VLOOKUP($A186,Pit!$A$4:$AZ$2261,E$2,FALSE))</f>
        <v>1B</v>
      </c>
      <c r="F186" s="16" t="str">
        <f>IF($C186="B",VLOOKUP($A186,Bat!$A$4:$BD$2323,F$1,FALSE),VLOOKUP($A186,Pit!$A$4:$AZ$2261,F$2,FALSE))</f>
        <v>Nate Boyce</v>
      </c>
      <c r="G186" s="16">
        <f>IF($C186="B",VLOOKUP($A186,Bat!$A$4:$BD$2323,G$1,FALSE),VLOOKUP($A186,Pit!$A$4:$AZ$2261,G$2,FALSE))</f>
        <v>21</v>
      </c>
      <c r="H186" s="16" t="str">
        <f>IF($C186="B",VLOOKUP($A186,Bat!$A$4:$BD$2323,H$1,FALSE),VLOOKUP($A186,Pit!$A$4:$AZ$2261,H$2,FALSE))</f>
        <v>R</v>
      </c>
      <c r="I186" s="16" t="str">
        <f>IF($C186="B",VLOOKUP($A186,Bat!$A$4:$BD$2323,I$1,FALSE),VLOOKUP($A186,Pit!$A$4:$AZ$2261,I$2,FALSE))</f>
        <v>L</v>
      </c>
      <c r="J186" s="16" t="str">
        <f>IF($C186="B",VLOOKUP($A186,Bat!$A$4:$BD$2323,J$1,FALSE),VLOOKUP($A186,Pit!$A$4:$AZ$2261,J$2,FALSE))</f>
        <v>Very Low</v>
      </c>
      <c r="K186" s="17" t="str">
        <f>IF($C186="B",VLOOKUP($A186,Bat!$A$4:$BD$2323,K$1,FALSE),VLOOKUP($A186,Pit!$A$4:$AZ$2261,K$2,FALSE))</f>
        <v>Low</v>
      </c>
      <c r="L186" s="16">
        <f>IF($C186="B",VLOOKUP($A186,Bat!$A$4:$BD$2323,L$1,FALSE),VLOOKUP($A186,Pit!$A$4:$AZ$2261,L$2,FALSE))</f>
        <v>5</v>
      </c>
      <c r="M186" s="16">
        <f>IF($C186="B",VLOOKUP($A186,Bat!$A$4:$BD$2323,M$1,FALSE),VLOOKUP($A186,Pit!$A$4:$AZ$2261,M$2,FALSE))</f>
        <v>5</v>
      </c>
      <c r="N186" s="16">
        <f>IF($C186="B",VLOOKUP($A186,Bat!$A$4:$BD$2323,N$1,FALSE),VLOOKUP($A186,Pit!$A$4:$AZ$2261,N$2,FALSE))</f>
        <v>2</v>
      </c>
      <c r="O186" s="16">
        <f>IF($C186="B",VLOOKUP($A186,Bat!$A$4:$BD$2323,O$1,FALSE),VLOOKUP($A186,Pit!$A$4:$AZ$2261,O$2,FALSE))</f>
        <v>3</v>
      </c>
      <c r="P186" s="17">
        <f>IF($C186="B",VLOOKUP($A186,Bat!$A$4:$BD$2323,P$1,FALSE),VLOOKUP($A186,Pit!$A$4:$AZ$2261,P$2,FALSE))</f>
        <v>4</v>
      </c>
      <c r="Q186" s="18">
        <f>IF($C186="B",VLOOKUP($A186,Bat!$A$4:$BD$2323,Q$1,FALSE),VLOOKUP($A186,Pit!$A$4:$AZ$2261,Q$2,FALSE))</f>
        <v>6.7547937029892671</v>
      </c>
      <c r="R186" s="19">
        <f>IF($C186="B",VLOOKUP($A186,Bat!$A$4:$BD$2323,R$1,FALSE),VLOOKUP($A186,Pit!$A$4:$AZ$2261,R$2,FALSE))</f>
        <v>-0.54342982643483917</v>
      </c>
      <c r="S186" s="20" t="str">
        <f>IF($C186="B",VLOOKUP($A186,Bat!$A$4:$BD$2323,S$1,FALSE),VLOOKUP($A186,Pit!$A$4:$AZ$2261,S$2,FALSE))</f>
        <v>Slot</v>
      </c>
      <c r="T186" s="17" t="str">
        <f>IF(S186="Slot","",VLOOKUP(IF($C186="B",VLOOKUP($A186,Bat!$A$4:$AT$2323,T$1,FALSE),VLOOKUP($A186,Pit!$A$4:$BD$2261,T$2,FALSE)),COND!$A$34:$B$40,2,FALSE))</f>
        <v/>
      </c>
      <c r="U186" s="21" t="str">
        <f>IF($C186="B",VLOOKUP($A186,Bat!$A$4:$AR$1287,44,FALSE),VLOOKUP($A186,Pit!$A$4:$BB$1239,54,FALSE))</f>
        <v/>
      </c>
      <c r="W186" s="21" t="str">
        <f t="shared" si="10"/>
        <v/>
      </c>
      <c r="X186" s="22" t="e">
        <f t="shared" si="11"/>
        <v>#N/A</v>
      </c>
      <c r="Y186" s="16" t="str">
        <f>IF(ISERROR(VLOOKUP($E186&amp;$F186,Results!$A$2:$G$413,Y$1,FALSE)),"",VLOOKUP($E186&amp;$F186,Results!$A$2:$G$413,Y$1,FALSE))</f>
        <v/>
      </c>
      <c r="Z186" s="16" t="str">
        <f>IF(ISERROR(VLOOKUP($E186&amp;$F186,Results!$A$2:$G$413,Z$1,FALSE)),"",VLOOKUP($E186&amp;$F186,Results!$A$2:$G$413,Z$1,FALSE))</f>
        <v/>
      </c>
      <c r="AA186" s="16" t="str">
        <f>IF(ISERROR(VLOOKUP($E186&amp;$F186,Results!$A$2:$G$413,AA$1,FALSE)),"",VLOOKUP($E186&amp;$F186,Results!$A$2:$G$413,AA$1,FALSE))</f>
        <v/>
      </c>
      <c r="AB186" s="16" t="str">
        <f>IF(ISERROR(VLOOKUP($E186&amp;$F186,Results!$A$2:$G$413,AB$1,FALSE)),"",VLOOKUP($E186&amp;$F186,Results!$A$2:$G$413,AB$1,FALSE))</f>
        <v/>
      </c>
      <c r="AC186" s="16"/>
      <c r="AD186" s="20" t="str">
        <f>IF(ISERROR(VLOOKUP($AB186&amp;"-"&amp;$F186,Bonuses!$B$1:$G$1000,4,FALSE)),"",INT(VLOOKUP($AB186&amp;"-"&amp;$F186,Bonuses!$B$1:$G$1000,4,FALSE)))</f>
        <v/>
      </c>
      <c r="AE186" s="16" t="str">
        <f>IF(ISERROR(VLOOKUP($AB186&amp;"-"&amp;$F186,Bonuses!$B$1:$G$1000,5,FALSE)),"",IF(VLOOKUP($AB186&amp;"-"&amp;$F186,Bonuses!$B$1:$G$1000,5,FALSE)="","",VLOOKUP($AB186&amp;"-"&amp;$F186,Bonuses!$B$1:$G$1000,6,FALSE)&amp;" yrs, "&amp;VLOOKUP($AB186&amp;"-"&amp;$F186,Bonuses!$B$1:$G$1000,5,FALSE)))</f>
        <v/>
      </c>
    </row>
    <row r="187" spans="1:31" s="21" customFormat="1">
      <c r="A187" s="21" t="s">
        <v>259</v>
      </c>
      <c r="B187" s="21">
        <f t="shared" si="8"/>
        <v>1</v>
      </c>
      <c r="C187" s="21" t="str">
        <f t="shared" si="9"/>
        <v>B</v>
      </c>
      <c r="D187" s="17">
        <f>IF($C187="B",VLOOKUP($A187,Bat!$A$4:$BD$2323,D$1,FALSE),VLOOKUP($A187,Pit!$A$4:$AZ$2261,D$2,FALSE))</f>
        <v>13763</v>
      </c>
      <c r="E187" s="16" t="str">
        <f>IF($C187="B",VLOOKUP($A187,Bat!$A$4:$BD$2323,E$1,FALSE),VLOOKUP($A187,Pit!$A$4:$AZ$2261,E$2,FALSE))</f>
        <v>C</v>
      </c>
      <c r="F187" s="16" t="str">
        <f>IF($C187="B",VLOOKUP($A187,Bat!$A$4:$BD$2323,F$1,FALSE),VLOOKUP($A187,Pit!$A$4:$AZ$2261,F$2,FALSE))</f>
        <v>Alan Bradshaw</v>
      </c>
      <c r="G187" s="16">
        <f>IF($C187="B",VLOOKUP($A187,Bat!$A$4:$BD$2323,G$1,FALSE),VLOOKUP($A187,Pit!$A$4:$AZ$2261,G$2,FALSE))</f>
        <v>18</v>
      </c>
      <c r="H187" s="16" t="str">
        <f>IF($C187="B",VLOOKUP($A187,Bat!$A$4:$BD$2323,H$1,FALSE),VLOOKUP($A187,Pit!$A$4:$AZ$2261,H$2,FALSE))</f>
        <v>R</v>
      </c>
      <c r="I187" s="16" t="str">
        <f>IF($C187="B",VLOOKUP($A187,Bat!$A$4:$BD$2323,I$1,FALSE),VLOOKUP($A187,Pit!$A$4:$AZ$2261,I$2,FALSE))</f>
        <v>R</v>
      </c>
      <c r="J187" s="16" t="str">
        <f>IF($C187="B",VLOOKUP($A187,Bat!$A$4:$BD$2323,J$1,FALSE),VLOOKUP($A187,Pit!$A$4:$AZ$2261,J$2,FALSE))</f>
        <v>Very Low</v>
      </c>
      <c r="K187" s="17" t="str">
        <f>IF($C187="B",VLOOKUP($A187,Bat!$A$4:$BD$2323,K$1,FALSE),VLOOKUP($A187,Pit!$A$4:$AZ$2261,K$2,FALSE))</f>
        <v>High</v>
      </c>
      <c r="L187" s="16">
        <f>IF($C187="B",VLOOKUP($A187,Bat!$A$4:$BD$2323,L$1,FALSE),VLOOKUP($A187,Pit!$A$4:$AZ$2261,L$2,FALSE))</f>
        <v>5</v>
      </c>
      <c r="M187" s="16">
        <f>IF($C187="B",VLOOKUP($A187,Bat!$A$4:$BD$2323,M$1,FALSE),VLOOKUP($A187,Pit!$A$4:$AZ$2261,M$2,FALSE))</f>
        <v>5</v>
      </c>
      <c r="N187" s="16">
        <f>IF($C187="B",VLOOKUP($A187,Bat!$A$4:$BD$2323,N$1,FALSE),VLOOKUP($A187,Pit!$A$4:$AZ$2261,N$2,FALSE))</f>
        <v>1</v>
      </c>
      <c r="O187" s="16">
        <f>IF($C187="B",VLOOKUP($A187,Bat!$A$4:$BD$2323,O$1,FALSE),VLOOKUP($A187,Pit!$A$4:$AZ$2261,O$2,FALSE))</f>
        <v>3</v>
      </c>
      <c r="P187" s="17">
        <f>IF($C187="B",VLOOKUP($A187,Bat!$A$4:$BD$2323,P$1,FALSE),VLOOKUP($A187,Pit!$A$4:$AZ$2261,P$2,FALSE))</f>
        <v>4</v>
      </c>
      <c r="Q187" s="18">
        <f>IF($C187="B",VLOOKUP($A187,Bat!$A$4:$BD$2323,Q$1,FALSE),VLOOKUP($A187,Pit!$A$4:$AZ$2261,Q$2,FALSE))</f>
        <v>6.7450565814526859</v>
      </c>
      <c r="R187" s="19">
        <f>IF($C187="B",VLOOKUP($A187,Bat!$A$4:$BD$2323,R$1,FALSE),VLOOKUP($A187,Pit!$A$4:$AZ$2261,R$2,FALSE))</f>
        <v>-0.54478254292731743</v>
      </c>
      <c r="S187" s="20" t="str">
        <f>IF($C187="B",VLOOKUP($A187,Bat!$A$4:$BD$2323,S$1,FALSE),VLOOKUP($A187,Pit!$A$4:$AZ$2261,S$2,FALSE))</f>
        <v>Slot</v>
      </c>
      <c r="T187" s="17" t="str">
        <f>IF(S187="Slot","",VLOOKUP(IF($C187="B",VLOOKUP($A187,Bat!$A$4:$AT$2323,T$1,FALSE),VLOOKUP($A187,Pit!$A$4:$BD$2261,T$2,FALSE)),COND!$A$34:$B$40,2,FALSE))</f>
        <v/>
      </c>
      <c r="U187" s="21" t="str">
        <f>IF($C187="B",VLOOKUP($A187,Bat!$A$4:$AR$1287,44,FALSE),VLOOKUP($A187,Pit!$A$4:$BB$1239,54,FALSE))</f>
        <v/>
      </c>
      <c r="W187" s="21" t="str">
        <f t="shared" si="10"/>
        <v/>
      </c>
      <c r="X187" s="22" t="e">
        <f t="shared" si="11"/>
        <v>#N/A</v>
      </c>
      <c r="Y187" s="16" t="str">
        <f>IF(ISERROR(VLOOKUP($E187&amp;$F187,Results!$A$2:$G$413,Y$1,FALSE)),"",VLOOKUP($E187&amp;$F187,Results!$A$2:$G$413,Y$1,FALSE))</f>
        <v/>
      </c>
      <c r="Z187" s="16" t="str">
        <f>IF(ISERROR(VLOOKUP($E187&amp;$F187,Results!$A$2:$G$413,Z$1,FALSE)),"",VLOOKUP($E187&amp;$F187,Results!$A$2:$G$413,Z$1,FALSE))</f>
        <v/>
      </c>
      <c r="AA187" s="16" t="str">
        <f>IF(ISERROR(VLOOKUP($E187&amp;$F187,Results!$A$2:$G$413,AA$1,FALSE)),"",VLOOKUP($E187&amp;$F187,Results!$A$2:$G$413,AA$1,FALSE))</f>
        <v/>
      </c>
      <c r="AB187" s="16" t="str">
        <f>IF(ISERROR(VLOOKUP($E187&amp;$F187,Results!$A$2:$G$413,AB$1,FALSE)),"",VLOOKUP($E187&amp;$F187,Results!$A$2:$G$413,AB$1,FALSE))</f>
        <v/>
      </c>
      <c r="AC187" s="16"/>
      <c r="AD187" s="20" t="str">
        <f>IF(ISERROR(VLOOKUP($AB187&amp;"-"&amp;$F187,Bonuses!$B$1:$G$1000,4,FALSE)),"",INT(VLOOKUP($AB187&amp;"-"&amp;$F187,Bonuses!$B$1:$G$1000,4,FALSE)))</f>
        <v/>
      </c>
      <c r="AE187" s="16" t="str">
        <f>IF(ISERROR(VLOOKUP($AB187&amp;"-"&amp;$F187,Bonuses!$B$1:$G$1000,5,FALSE)),"",IF(VLOOKUP($AB187&amp;"-"&amp;$F187,Bonuses!$B$1:$G$1000,5,FALSE)="","",VLOOKUP($AB187&amp;"-"&amp;$F187,Bonuses!$B$1:$G$1000,6,FALSE)&amp;" yrs, "&amp;VLOOKUP($AB187&amp;"-"&amp;$F187,Bonuses!$B$1:$G$1000,5,FALSE)))</f>
        <v/>
      </c>
    </row>
    <row r="188" spans="1:31" s="21" customFormat="1">
      <c r="A188" s="21" t="s">
        <v>883</v>
      </c>
      <c r="B188" s="21">
        <f t="shared" si="8"/>
        <v>1</v>
      </c>
      <c r="C188" s="21" t="str">
        <f t="shared" si="9"/>
        <v>B</v>
      </c>
      <c r="D188" s="17">
        <f>IF($C188="B",VLOOKUP($A188,Bat!$A$4:$BD$2323,D$1,FALSE),VLOOKUP($A188,Pit!$A$4:$AZ$2261,D$2,FALSE))</f>
        <v>13811</v>
      </c>
      <c r="E188" s="16" t="str">
        <f>IF($C188="B",VLOOKUP($A188,Bat!$A$4:$BD$2323,E$1,FALSE),VLOOKUP($A188,Pit!$A$4:$AZ$2261,E$2,FALSE))</f>
        <v>1B</v>
      </c>
      <c r="F188" s="16" t="str">
        <f>IF($C188="B",VLOOKUP($A188,Bat!$A$4:$BD$2323,F$1,FALSE),VLOOKUP($A188,Pit!$A$4:$AZ$2261,F$2,FALSE))</f>
        <v>Carlos Ilana</v>
      </c>
      <c r="G188" s="16">
        <f>IF($C188="B",VLOOKUP($A188,Bat!$A$4:$BD$2323,G$1,FALSE),VLOOKUP($A188,Pit!$A$4:$AZ$2261,G$2,FALSE))</f>
        <v>18</v>
      </c>
      <c r="H188" s="16" t="str">
        <f>IF($C188="B",VLOOKUP($A188,Bat!$A$4:$BD$2323,H$1,FALSE),VLOOKUP($A188,Pit!$A$4:$AZ$2261,H$2,FALSE))</f>
        <v>R</v>
      </c>
      <c r="I188" s="16" t="str">
        <f>IF($C188="B",VLOOKUP($A188,Bat!$A$4:$BD$2323,I$1,FALSE),VLOOKUP($A188,Pit!$A$4:$AZ$2261,I$2,FALSE))</f>
        <v>R</v>
      </c>
      <c r="J188" s="16" t="str">
        <f>IF($C188="B",VLOOKUP($A188,Bat!$A$4:$BD$2323,J$1,FALSE),VLOOKUP($A188,Pit!$A$4:$AZ$2261,J$2,FALSE))</f>
        <v>Very High</v>
      </c>
      <c r="K188" s="17" t="str">
        <f>IF($C188="B",VLOOKUP($A188,Bat!$A$4:$BD$2323,K$1,FALSE),VLOOKUP($A188,Pit!$A$4:$AZ$2261,K$2,FALSE))</f>
        <v>Very Low</v>
      </c>
      <c r="L188" s="16">
        <f>IF($C188="B",VLOOKUP($A188,Bat!$A$4:$BD$2323,L$1,FALSE),VLOOKUP($A188,Pit!$A$4:$AZ$2261,L$2,FALSE))</f>
        <v>5</v>
      </c>
      <c r="M188" s="16">
        <f>IF($C188="B",VLOOKUP($A188,Bat!$A$4:$BD$2323,M$1,FALSE),VLOOKUP($A188,Pit!$A$4:$AZ$2261,M$2,FALSE))</f>
        <v>3</v>
      </c>
      <c r="N188" s="16">
        <f>IF($C188="B",VLOOKUP($A188,Bat!$A$4:$BD$2323,N$1,FALSE),VLOOKUP($A188,Pit!$A$4:$AZ$2261,N$2,FALSE))</f>
        <v>4</v>
      </c>
      <c r="O188" s="16">
        <f>IF($C188="B",VLOOKUP($A188,Bat!$A$4:$BD$2323,O$1,FALSE),VLOOKUP($A188,Pit!$A$4:$AZ$2261,O$2,FALSE))</f>
        <v>2</v>
      </c>
      <c r="P188" s="17">
        <f>IF($C188="B",VLOOKUP($A188,Bat!$A$4:$BD$2323,P$1,FALSE),VLOOKUP($A188,Pit!$A$4:$AZ$2261,P$2,FALSE))</f>
        <v>4</v>
      </c>
      <c r="Q188" s="18">
        <f>IF($C188="B",VLOOKUP($A188,Bat!$A$4:$BD$2323,Q$1,FALSE),VLOOKUP($A188,Pit!$A$4:$AZ$2261,Q$2,FALSE))</f>
        <v>6.7448793340540796</v>
      </c>
      <c r="R188" s="19">
        <f>IF($C188="B",VLOOKUP($A188,Bat!$A$4:$BD$2323,R$1,FALSE),VLOOKUP($A188,Pit!$A$4:$AZ$2261,R$2,FALSE))</f>
        <v>-0.54480716678339669</v>
      </c>
      <c r="S188" s="20">
        <f>IF($C188="B",VLOOKUP($A188,Bat!$A$4:$BD$2323,S$1,FALSE),VLOOKUP($A188,Pit!$A$4:$AZ$2261,S$2,FALSE))</f>
        <v>2800000</v>
      </c>
      <c r="T188" s="17" t="str">
        <f>IF(S188="Slot","",VLOOKUP(IF($C188="B",VLOOKUP($A188,Bat!$A$4:$AT$2323,T$1,FALSE),VLOOKUP($A188,Pit!$A$4:$BD$2261,T$2,FALSE)),COND!$A$34:$B$40,2,FALSE))</f>
        <v>EH</v>
      </c>
      <c r="U188" s="21" t="str">
        <f>IF($C188="B",VLOOKUP($A188,Bat!$A$4:$AR$1287,44,FALSE),VLOOKUP($A188,Pit!$A$4:$BB$1239,54,FALSE))</f>
        <v/>
      </c>
      <c r="W188" s="21" t="str">
        <f t="shared" si="10"/>
        <v/>
      </c>
      <c r="X188" s="22" t="e">
        <f t="shared" si="11"/>
        <v>#N/A</v>
      </c>
      <c r="Y188" s="16" t="str">
        <f>IF(ISERROR(VLOOKUP($E188&amp;$F188,Results!$A$2:$G$413,Y$1,FALSE)),"",VLOOKUP($E188&amp;$F188,Results!$A$2:$G$413,Y$1,FALSE))</f>
        <v/>
      </c>
      <c r="Z188" s="16" t="str">
        <f>IF(ISERROR(VLOOKUP($E188&amp;$F188,Results!$A$2:$G$413,Z$1,FALSE)),"",VLOOKUP($E188&amp;$F188,Results!$A$2:$G$413,Z$1,FALSE))</f>
        <v/>
      </c>
      <c r="AA188" s="16" t="str">
        <f>IF(ISERROR(VLOOKUP($E188&amp;$F188,Results!$A$2:$G$413,AA$1,FALSE)),"",VLOOKUP($E188&amp;$F188,Results!$A$2:$G$413,AA$1,FALSE))</f>
        <v/>
      </c>
      <c r="AB188" s="16" t="str">
        <f>IF(ISERROR(VLOOKUP($E188&amp;$F188,Results!$A$2:$G$413,AB$1,FALSE)),"",VLOOKUP($E188&amp;$F188,Results!$A$2:$G$413,AB$1,FALSE))</f>
        <v/>
      </c>
      <c r="AC188" s="16"/>
      <c r="AD188" s="20" t="str">
        <f>IF(ISERROR(VLOOKUP($AB188&amp;"-"&amp;$F188,Bonuses!$B$1:$G$1000,4,FALSE)),"",INT(VLOOKUP($AB188&amp;"-"&amp;$F188,Bonuses!$B$1:$G$1000,4,FALSE)))</f>
        <v/>
      </c>
      <c r="AE188" s="16" t="str">
        <f>IF(ISERROR(VLOOKUP($AB188&amp;"-"&amp;$F188,Bonuses!$B$1:$G$1000,5,FALSE)),"",IF(VLOOKUP($AB188&amp;"-"&amp;$F188,Bonuses!$B$1:$G$1000,5,FALSE)="","",VLOOKUP($AB188&amp;"-"&amp;$F188,Bonuses!$B$1:$G$1000,6,FALSE)&amp;" yrs, "&amp;VLOOKUP($AB188&amp;"-"&amp;$F188,Bonuses!$B$1:$G$1000,5,FALSE)))</f>
        <v/>
      </c>
    </row>
    <row r="189" spans="1:31" s="21" customFormat="1">
      <c r="A189" s="21" t="s">
        <v>854</v>
      </c>
      <c r="B189" s="21">
        <f t="shared" si="8"/>
        <v>1</v>
      </c>
      <c r="C189" s="21" t="str">
        <f t="shared" si="9"/>
        <v>B</v>
      </c>
      <c r="D189" s="17">
        <f>IF($C189="B",VLOOKUP($A189,Bat!$A$4:$BD$2323,D$1,FALSE),VLOOKUP($A189,Pit!$A$4:$AZ$2261,D$2,FALSE))</f>
        <v>2719</v>
      </c>
      <c r="E189" s="16" t="str">
        <f>IF($C189="B",VLOOKUP($A189,Bat!$A$4:$BD$2323,E$1,FALSE),VLOOKUP($A189,Pit!$A$4:$AZ$2261,E$2,FALSE))</f>
        <v>2B</v>
      </c>
      <c r="F189" s="16" t="str">
        <f>IF($C189="B",VLOOKUP($A189,Bat!$A$4:$BD$2323,F$1,FALSE),VLOOKUP($A189,Pit!$A$4:$AZ$2261,F$2,FALSE))</f>
        <v>Mario Zavala</v>
      </c>
      <c r="G189" s="16">
        <f>IF($C189="B",VLOOKUP($A189,Bat!$A$4:$BD$2323,G$1,FALSE),VLOOKUP($A189,Pit!$A$4:$AZ$2261,G$2,FALSE))</f>
        <v>21</v>
      </c>
      <c r="H189" s="16" t="str">
        <f>IF($C189="B",VLOOKUP($A189,Bat!$A$4:$BD$2323,H$1,FALSE),VLOOKUP($A189,Pit!$A$4:$AZ$2261,H$2,FALSE))</f>
        <v>R</v>
      </c>
      <c r="I189" s="16" t="str">
        <f>IF($C189="B",VLOOKUP($A189,Bat!$A$4:$BD$2323,I$1,FALSE),VLOOKUP($A189,Pit!$A$4:$AZ$2261,I$2,FALSE))</f>
        <v>R</v>
      </c>
      <c r="J189" s="16" t="str">
        <f>IF($C189="B",VLOOKUP($A189,Bat!$A$4:$BD$2323,J$1,FALSE),VLOOKUP($A189,Pit!$A$4:$AZ$2261,J$2,FALSE))</f>
        <v>Normal</v>
      </c>
      <c r="K189" s="17" t="str">
        <f>IF($C189="B",VLOOKUP($A189,Bat!$A$4:$BD$2323,K$1,FALSE),VLOOKUP($A189,Pit!$A$4:$AZ$2261,K$2,FALSE))</f>
        <v>Normal</v>
      </c>
      <c r="L189" s="16">
        <f>IF($C189="B",VLOOKUP($A189,Bat!$A$4:$BD$2323,L$1,FALSE),VLOOKUP($A189,Pit!$A$4:$AZ$2261,L$2,FALSE))</f>
        <v>4</v>
      </c>
      <c r="M189" s="16">
        <f>IF($C189="B",VLOOKUP($A189,Bat!$A$4:$BD$2323,M$1,FALSE),VLOOKUP($A189,Pit!$A$4:$AZ$2261,M$2,FALSE))</f>
        <v>9</v>
      </c>
      <c r="N189" s="16">
        <f>IF($C189="B",VLOOKUP($A189,Bat!$A$4:$BD$2323,N$1,FALSE),VLOOKUP($A189,Pit!$A$4:$AZ$2261,N$2,FALSE))</f>
        <v>1</v>
      </c>
      <c r="O189" s="16">
        <f>IF($C189="B",VLOOKUP($A189,Bat!$A$4:$BD$2323,O$1,FALSE),VLOOKUP($A189,Pit!$A$4:$AZ$2261,O$2,FALSE))</f>
        <v>3</v>
      </c>
      <c r="P189" s="17">
        <f>IF($C189="B",VLOOKUP($A189,Bat!$A$4:$BD$2323,P$1,FALSE),VLOOKUP($A189,Pit!$A$4:$AZ$2261,P$2,FALSE))</f>
        <v>5</v>
      </c>
      <c r="Q189" s="18">
        <f>IF($C189="B",VLOOKUP($A189,Bat!$A$4:$BD$2323,Q$1,FALSE),VLOOKUP($A189,Pit!$A$4:$AZ$2261,Q$2,FALSE))</f>
        <v>6.7226209449645458</v>
      </c>
      <c r="R189" s="19">
        <f>IF($C189="B",VLOOKUP($A189,Bat!$A$4:$BD$2323,R$1,FALSE),VLOOKUP($A189,Pit!$A$4:$AZ$2261,R$2,FALSE))</f>
        <v>-0.54789938350312173</v>
      </c>
      <c r="S189" s="20" t="str">
        <f>IF($C189="B",VLOOKUP($A189,Bat!$A$4:$BD$2323,S$1,FALSE),VLOOKUP($A189,Pit!$A$4:$AZ$2261,S$2,FALSE))</f>
        <v>Slot</v>
      </c>
      <c r="T189" s="17" t="str">
        <f>IF(S189="Slot","",VLOOKUP(IF($C189="B",VLOOKUP($A189,Bat!$A$4:$AT$2323,T$1,FALSE),VLOOKUP($A189,Pit!$A$4:$BD$2261,T$2,FALSE)),COND!$A$34:$B$40,2,FALSE))</f>
        <v/>
      </c>
      <c r="U189" s="21" t="str">
        <f>IF($C189="B",VLOOKUP($A189,Bat!$A$4:$AR$1287,44,FALSE),VLOOKUP($A189,Pit!$A$4:$BB$1239,54,FALSE))</f>
        <v/>
      </c>
      <c r="W189" s="21" t="str">
        <f t="shared" si="10"/>
        <v/>
      </c>
      <c r="X189" s="22" t="e">
        <f t="shared" si="11"/>
        <v>#N/A</v>
      </c>
      <c r="Y189" s="16" t="str">
        <f>IF(ISERROR(VLOOKUP($E189&amp;$F189,Results!$A$2:$G$413,Y$1,FALSE)),"",VLOOKUP($E189&amp;$F189,Results!$A$2:$G$413,Y$1,FALSE))</f>
        <v/>
      </c>
      <c r="Z189" s="16" t="str">
        <f>IF(ISERROR(VLOOKUP($E189&amp;$F189,Results!$A$2:$G$413,Z$1,FALSE)),"",VLOOKUP($E189&amp;$F189,Results!$A$2:$G$413,Z$1,FALSE))</f>
        <v/>
      </c>
      <c r="AA189" s="16" t="str">
        <f>IF(ISERROR(VLOOKUP($E189&amp;$F189,Results!$A$2:$G$413,AA$1,FALSE)),"",VLOOKUP($E189&amp;$F189,Results!$A$2:$G$413,AA$1,FALSE))</f>
        <v/>
      </c>
      <c r="AB189" s="16" t="str">
        <f>IF(ISERROR(VLOOKUP($E189&amp;$F189,Results!$A$2:$G$413,AB$1,FALSE)),"",VLOOKUP($E189&amp;$F189,Results!$A$2:$G$413,AB$1,FALSE))</f>
        <v/>
      </c>
      <c r="AC189" s="16"/>
      <c r="AD189" s="20" t="str">
        <f>IF(ISERROR(VLOOKUP($AB189&amp;"-"&amp;$F189,Bonuses!$B$1:$G$1000,4,FALSE)),"",INT(VLOOKUP($AB189&amp;"-"&amp;$F189,Bonuses!$B$1:$G$1000,4,FALSE)))</f>
        <v/>
      </c>
      <c r="AE189" s="16" t="str">
        <f>IF(ISERROR(VLOOKUP($AB189&amp;"-"&amp;$F189,Bonuses!$B$1:$G$1000,5,FALSE)),"",IF(VLOOKUP($AB189&amp;"-"&amp;$F189,Bonuses!$B$1:$G$1000,5,FALSE)="","",VLOOKUP($AB189&amp;"-"&amp;$F189,Bonuses!$B$1:$G$1000,6,FALSE)&amp;" yrs, "&amp;VLOOKUP($AB189&amp;"-"&amp;$F189,Bonuses!$B$1:$G$1000,5,FALSE)))</f>
        <v/>
      </c>
    </row>
    <row r="190" spans="1:31" s="21" customFormat="1">
      <c r="A190" s="21" t="s">
        <v>434</v>
      </c>
      <c r="B190" s="21">
        <f t="shared" si="8"/>
        <v>1</v>
      </c>
      <c r="C190" s="21" t="str">
        <f t="shared" si="9"/>
        <v>B</v>
      </c>
      <c r="D190" s="17">
        <f>IF($C190="B",VLOOKUP($A190,Bat!$A$4:$BD$2323,D$1,FALSE),VLOOKUP($A190,Pit!$A$4:$AZ$2261,D$2,FALSE))</f>
        <v>13817</v>
      </c>
      <c r="E190" s="16" t="str">
        <f>IF($C190="B",VLOOKUP($A190,Bat!$A$4:$BD$2323,E$1,FALSE),VLOOKUP($A190,Pit!$A$4:$AZ$2261,E$2,FALSE))</f>
        <v>C</v>
      </c>
      <c r="F190" s="16" t="str">
        <f>IF($C190="B",VLOOKUP($A190,Bat!$A$4:$BD$2323,F$1,FALSE),VLOOKUP($A190,Pit!$A$4:$AZ$2261,F$2,FALSE))</f>
        <v>Graviel Lomba</v>
      </c>
      <c r="G190" s="16">
        <f>IF($C190="B",VLOOKUP($A190,Bat!$A$4:$BD$2323,G$1,FALSE),VLOOKUP($A190,Pit!$A$4:$AZ$2261,G$2,FALSE))</f>
        <v>18</v>
      </c>
      <c r="H190" s="16" t="str">
        <f>IF($C190="B",VLOOKUP($A190,Bat!$A$4:$BD$2323,H$1,FALSE),VLOOKUP($A190,Pit!$A$4:$AZ$2261,H$2,FALSE))</f>
        <v>R</v>
      </c>
      <c r="I190" s="16" t="str">
        <f>IF($C190="B",VLOOKUP($A190,Bat!$A$4:$BD$2323,I$1,FALSE),VLOOKUP($A190,Pit!$A$4:$AZ$2261,I$2,FALSE))</f>
        <v>R</v>
      </c>
      <c r="J190" s="16" t="str">
        <f>IF($C190="B",VLOOKUP($A190,Bat!$A$4:$BD$2323,J$1,FALSE),VLOOKUP($A190,Pit!$A$4:$AZ$2261,J$2,FALSE))</f>
        <v>Low</v>
      </c>
      <c r="K190" s="17" t="str">
        <f>IF($C190="B",VLOOKUP($A190,Bat!$A$4:$BD$2323,K$1,FALSE),VLOOKUP($A190,Pit!$A$4:$AZ$2261,K$2,FALSE))</f>
        <v>Normal</v>
      </c>
      <c r="L190" s="16">
        <f>IF($C190="B",VLOOKUP($A190,Bat!$A$4:$BD$2323,L$1,FALSE),VLOOKUP($A190,Pit!$A$4:$AZ$2261,L$2,FALSE))</f>
        <v>4</v>
      </c>
      <c r="M190" s="16">
        <f>IF($C190="B",VLOOKUP($A190,Bat!$A$4:$BD$2323,M$1,FALSE),VLOOKUP($A190,Pit!$A$4:$AZ$2261,M$2,FALSE))</f>
        <v>5</v>
      </c>
      <c r="N190" s="16">
        <f>IF($C190="B",VLOOKUP($A190,Bat!$A$4:$BD$2323,N$1,FALSE),VLOOKUP($A190,Pit!$A$4:$AZ$2261,N$2,FALSE))</f>
        <v>3</v>
      </c>
      <c r="O190" s="16">
        <f>IF($C190="B",VLOOKUP($A190,Bat!$A$4:$BD$2323,O$1,FALSE),VLOOKUP($A190,Pit!$A$4:$AZ$2261,O$2,FALSE))</f>
        <v>4</v>
      </c>
      <c r="P190" s="17">
        <f>IF($C190="B",VLOOKUP($A190,Bat!$A$4:$BD$2323,P$1,FALSE),VLOOKUP($A190,Pit!$A$4:$AZ$2261,P$2,FALSE))</f>
        <v>4</v>
      </c>
      <c r="Q190" s="18">
        <f>IF($C190="B",VLOOKUP($A190,Bat!$A$4:$BD$2323,Q$1,FALSE),VLOOKUP($A190,Pit!$A$4:$AZ$2261,Q$2,FALSE))</f>
        <v>6.6610436703758653</v>
      </c>
      <c r="R190" s="19">
        <f>IF($C190="B",VLOOKUP($A190,Bat!$A$4:$BD$2323,R$1,FALSE),VLOOKUP($A190,Pit!$A$4:$AZ$2261,R$2,FALSE))</f>
        <v>-0.55645392342388134</v>
      </c>
      <c r="S190" s="20" t="str">
        <f>IF($C190="B",VLOOKUP($A190,Bat!$A$4:$BD$2323,S$1,FALSE),VLOOKUP($A190,Pit!$A$4:$AZ$2261,S$2,FALSE))</f>
        <v>Slot</v>
      </c>
      <c r="T190" s="17" t="str">
        <f>IF(S190="Slot","",VLOOKUP(IF($C190="B",VLOOKUP($A190,Bat!$A$4:$AT$2323,T$1,FALSE),VLOOKUP($A190,Pit!$A$4:$BD$2261,T$2,FALSE)),COND!$A$34:$B$40,2,FALSE))</f>
        <v/>
      </c>
      <c r="U190" s="21" t="str">
        <f>IF($C190="B",VLOOKUP($A190,Bat!$A$4:$AR$1287,44,FALSE),VLOOKUP($A190,Pit!$A$4:$BB$1239,54,FALSE))</f>
        <v/>
      </c>
      <c r="W190" s="21" t="str">
        <f t="shared" si="10"/>
        <v/>
      </c>
      <c r="X190" s="22" t="e">
        <f t="shared" si="11"/>
        <v>#N/A</v>
      </c>
      <c r="Y190" s="16" t="str">
        <f>IF(ISERROR(VLOOKUP($E190&amp;$F190,Results!$A$2:$G$413,Y$1,FALSE)),"",VLOOKUP($E190&amp;$F190,Results!$A$2:$G$413,Y$1,FALSE))</f>
        <v/>
      </c>
      <c r="Z190" s="16" t="str">
        <f>IF(ISERROR(VLOOKUP($E190&amp;$F190,Results!$A$2:$G$413,Z$1,FALSE)),"",VLOOKUP($E190&amp;$F190,Results!$A$2:$G$413,Z$1,FALSE))</f>
        <v/>
      </c>
      <c r="AA190" s="16" t="str">
        <f>IF(ISERROR(VLOOKUP($E190&amp;$F190,Results!$A$2:$G$413,AA$1,FALSE)),"",VLOOKUP($E190&amp;$F190,Results!$A$2:$G$413,AA$1,FALSE))</f>
        <v/>
      </c>
      <c r="AB190" s="16" t="str">
        <f>IF(ISERROR(VLOOKUP($E190&amp;$F190,Results!$A$2:$G$413,AB$1,FALSE)),"",VLOOKUP($E190&amp;$F190,Results!$A$2:$G$413,AB$1,FALSE))</f>
        <v/>
      </c>
      <c r="AC190" s="16"/>
      <c r="AD190" s="20" t="str">
        <f>IF(ISERROR(VLOOKUP($AB190&amp;"-"&amp;$F190,Bonuses!$B$1:$G$1000,4,FALSE)),"",INT(VLOOKUP($AB190&amp;"-"&amp;$F190,Bonuses!$B$1:$G$1000,4,FALSE)))</f>
        <v/>
      </c>
      <c r="AE190" s="16" t="str">
        <f>IF(ISERROR(VLOOKUP($AB190&amp;"-"&amp;$F190,Bonuses!$B$1:$G$1000,5,FALSE)),"",IF(VLOOKUP($AB190&amp;"-"&amp;$F190,Bonuses!$B$1:$G$1000,5,FALSE)="","",VLOOKUP($AB190&amp;"-"&amp;$F190,Bonuses!$B$1:$G$1000,6,FALSE)&amp;" yrs, "&amp;VLOOKUP($AB190&amp;"-"&amp;$F190,Bonuses!$B$1:$G$1000,5,FALSE)))</f>
        <v/>
      </c>
    </row>
    <row r="191" spans="1:31" s="21" customFormat="1">
      <c r="A191" s="21" t="s">
        <v>873</v>
      </c>
      <c r="B191" s="21">
        <f t="shared" si="8"/>
        <v>1</v>
      </c>
      <c r="C191" s="21" t="str">
        <f t="shared" si="9"/>
        <v>B</v>
      </c>
      <c r="D191" s="17" t="e">
        <f>IF($C191="B",VLOOKUP($A191,Bat!$A$4:$BD$2323,D$1,FALSE),VLOOKUP($A191,Pit!$A$4:$AZ$2261,D$2,FALSE))</f>
        <v>#N/A</v>
      </c>
      <c r="E191" s="16" t="e">
        <f>IF($C191="B",VLOOKUP($A191,Bat!$A$4:$BD$2323,E$1,FALSE),VLOOKUP($A191,Pit!$A$4:$AZ$2261,E$2,FALSE))</f>
        <v>#N/A</v>
      </c>
      <c r="F191" s="16" t="e">
        <f>IF($C191="B",VLOOKUP($A191,Bat!$A$4:$BD$2323,F$1,FALSE),VLOOKUP($A191,Pit!$A$4:$AZ$2261,F$2,FALSE))</f>
        <v>#N/A</v>
      </c>
      <c r="G191" s="16" t="e">
        <f>IF($C191="B",VLOOKUP($A191,Bat!$A$4:$BD$2323,G$1,FALSE),VLOOKUP($A191,Pit!$A$4:$AZ$2261,G$2,FALSE))</f>
        <v>#N/A</v>
      </c>
      <c r="H191" s="16" t="e">
        <f>IF($C191="B",VLOOKUP($A191,Bat!$A$4:$BD$2323,H$1,FALSE),VLOOKUP($A191,Pit!$A$4:$AZ$2261,H$2,FALSE))</f>
        <v>#N/A</v>
      </c>
      <c r="I191" s="16" t="e">
        <f>IF($C191="B",VLOOKUP($A191,Bat!$A$4:$BD$2323,I$1,FALSE),VLOOKUP($A191,Pit!$A$4:$AZ$2261,I$2,FALSE))</f>
        <v>#N/A</v>
      </c>
      <c r="J191" s="16" t="e">
        <f>IF($C191="B",VLOOKUP($A191,Bat!$A$4:$BD$2323,J$1,FALSE),VLOOKUP($A191,Pit!$A$4:$AZ$2261,J$2,FALSE))</f>
        <v>#N/A</v>
      </c>
      <c r="K191" s="17" t="e">
        <f>IF($C191="B",VLOOKUP($A191,Bat!$A$4:$BD$2323,K$1,FALSE),VLOOKUP($A191,Pit!$A$4:$AZ$2261,K$2,FALSE))</f>
        <v>#N/A</v>
      </c>
      <c r="L191" s="16" t="e">
        <f>IF($C191="B",VLOOKUP($A191,Bat!$A$4:$BD$2323,L$1,FALSE),VLOOKUP($A191,Pit!$A$4:$AZ$2261,L$2,FALSE))</f>
        <v>#N/A</v>
      </c>
      <c r="M191" s="16" t="e">
        <f>IF($C191="B",VLOOKUP($A191,Bat!$A$4:$BD$2323,M$1,FALSE),VLOOKUP($A191,Pit!$A$4:$AZ$2261,M$2,FALSE))</f>
        <v>#N/A</v>
      </c>
      <c r="N191" s="16" t="e">
        <f>IF($C191="B",VLOOKUP($A191,Bat!$A$4:$BD$2323,N$1,FALSE),VLOOKUP($A191,Pit!$A$4:$AZ$2261,N$2,FALSE))</f>
        <v>#N/A</v>
      </c>
      <c r="O191" s="16" t="e">
        <f>IF($C191="B",VLOOKUP($A191,Bat!$A$4:$BD$2323,O$1,FALSE),VLOOKUP($A191,Pit!$A$4:$AZ$2261,O$2,FALSE))</f>
        <v>#N/A</v>
      </c>
      <c r="P191" s="17" t="e">
        <f>IF($C191="B",VLOOKUP($A191,Bat!$A$4:$BD$2323,P$1,FALSE),VLOOKUP($A191,Pit!$A$4:$AZ$2261,P$2,FALSE))</f>
        <v>#N/A</v>
      </c>
      <c r="Q191" s="18" t="e">
        <f>IF($C191="B",VLOOKUP($A191,Bat!$A$4:$BD$2323,Q$1,FALSE),VLOOKUP($A191,Pit!$A$4:$AZ$2261,Q$2,FALSE))</f>
        <v>#N/A</v>
      </c>
      <c r="R191" s="19" t="e">
        <f>IF($C191="B",VLOOKUP($A191,Bat!$A$4:$BD$2323,R$1,FALSE),VLOOKUP($A191,Pit!$A$4:$AZ$2261,R$2,FALSE))</f>
        <v>#N/A</v>
      </c>
      <c r="S191" s="20" t="e">
        <f>IF($C191="B",VLOOKUP($A191,Bat!$A$4:$BD$2323,S$1,FALSE),VLOOKUP($A191,Pit!$A$4:$AZ$2261,S$2,FALSE))</f>
        <v>#N/A</v>
      </c>
      <c r="T191" s="17" t="e">
        <f>IF(S191="Slot","",VLOOKUP(IF($C191="B",VLOOKUP($A191,Bat!$A$4:$AT$2323,T$1,FALSE),VLOOKUP($A191,Pit!$A$4:$BD$2261,T$2,FALSE)),COND!$A$34:$B$40,2,FALSE))</f>
        <v>#N/A</v>
      </c>
      <c r="U191" s="21" t="e">
        <f>IF($C191="B",VLOOKUP($A191,Bat!$A$4:$AR$1287,44,FALSE),VLOOKUP($A191,Pit!$A$4:$BB$1239,54,FALSE))</f>
        <v>#N/A</v>
      </c>
      <c r="W191" s="21" t="e">
        <f t="shared" si="10"/>
        <v>#N/A</v>
      </c>
      <c r="X191" s="22" t="e">
        <f t="shared" si="11"/>
        <v>#N/A</v>
      </c>
      <c r="Y191" s="16" t="str">
        <f>IF(ISERROR(VLOOKUP($E191&amp;$F191,Results!$A$2:$G$413,Y$1,FALSE)),"",VLOOKUP($E191&amp;$F191,Results!$A$2:$G$413,Y$1,FALSE))</f>
        <v/>
      </c>
      <c r="Z191" s="16" t="str">
        <f>IF(ISERROR(VLOOKUP($E191&amp;$F191,Results!$A$2:$G$413,Z$1,FALSE)),"",VLOOKUP($E191&amp;$F191,Results!$A$2:$G$413,Z$1,FALSE))</f>
        <v/>
      </c>
      <c r="AA191" s="16" t="str">
        <f>IF(ISERROR(VLOOKUP($E191&amp;$F191,Results!$A$2:$G$413,AA$1,FALSE)),"",VLOOKUP($E191&amp;$F191,Results!$A$2:$G$413,AA$1,FALSE))</f>
        <v/>
      </c>
      <c r="AB191" s="16" t="str">
        <f>IF(ISERROR(VLOOKUP($E191&amp;$F191,Results!$A$2:$G$413,AB$1,FALSE)),"",VLOOKUP($E191&amp;$F191,Results!$A$2:$G$413,AB$1,FALSE))</f>
        <v/>
      </c>
      <c r="AC191" s="16"/>
      <c r="AD191" s="20" t="str">
        <f>IF(ISERROR(VLOOKUP($AB191&amp;"-"&amp;$F191,Bonuses!$B$1:$G$1000,4,FALSE)),"",INT(VLOOKUP($AB191&amp;"-"&amp;$F191,Bonuses!$B$1:$G$1000,4,FALSE)))</f>
        <v/>
      </c>
      <c r="AE191" s="16" t="str">
        <f>IF(ISERROR(VLOOKUP($AB191&amp;"-"&amp;$F191,Bonuses!$B$1:$G$1000,5,FALSE)),"",IF(VLOOKUP($AB191&amp;"-"&amp;$F191,Bonuses!$B$1:$G$1000,5,FALSE)="","",VLOOKUP($AB191&amp;"-"&amp;$F191,Bonuses!$B$1:$G$1000,6,FALSE)&amp;" yrs, "&amp;VLOOKUP($AB191&amp;"-"&amp;$F191,Bonuses!$B$1:$G$1000,5,FALSE)))</f>
        <v/>
      </c>
    </row>
    <row r="192" spans="1:31" s="21" customFormat="1">
      <c r="A192" s="21" t="s">
        <v>430</v>
      </c>
      <c r="B192" s="21">
        <f t="shared" si="8"/>
        <v>1</v>
      </c>
      <c r="C192" s="21" t="str">
        <f t="shared" si="9"/>
        <v>B</v>
      </c>
      <c r="D192" s="17">
        <f>IF($C192="B",VLOOKUP($A192,Bat!$A$4:$BD$2323,D$1,FALSE),VLOOKUP($A192,Pit!$A$4:$AZ$2261,D$2,FALSE))</f>
        <v>4616</v>
      </c>
      <c r="E192" s="16" t="str">
        <f>IF($C192="B",VLOOKUP($A192,Bat!$A$4:$BD$2323,E$1,FALSE),VLOOKUP($A192,Pit!$A$4:$AZ$2261,E$2,FALSE))</f>
        <v>C</v>
      </c>
      <c r="F192" s="16" t="str">
        <f>IF($C192="B",VLOOKUP($A192,Bat!$A$4:$BD$2323,F$1,FALSE),VLOOKUP($A192,Pit!$A$4:$AZ$2261,F$2,FALSE))</f>
        <v>Michael Banks</v>
      </c>
      <c r="G192" s="16">
        <f>IF($C192="B",VLOOKUP($A192,Bat!$A$4:$BD$2323,G$1,FALSE),VLOOKUP($A192,Pit!$A$4:$AZ$2261,G$2,FALSE))</f>
        <v>21</v>
      </c>
      <c r="H192" s="16" t="str">
        <f>IF($C192="B",VLOOKUP($A192,Bat!$A$4:$BD$2323,H$1,FALSE),VLOOKUP($A192,Pit!$A$4:$AZ$2261,H$2,FALSE))</f>
        <v>R</v>
      </c>
      <c r="I192" s="16" t="str">
        <f>IF($C192="B",VLOOKUP($A192,Bat!$A$4:$BD$2323,I$1,FALSE),VLOOKUP($A192,Pit!$A$4:$AZ$2261,I$2,FALSE))</f>
        <v>R</v>
      </c>
      <c r="J192" s="16" t="str">
        <f>IF($C192="B",VLOOKUP($A192,Bat!$A$4:$BD$2323,J$1,FALSE),VLOOKUP($A192,Pit!$A$4:$AZ$2261,J$2,FALSE))</f>
        <v>Low</v>
      </c>
      <c r="K192" s="17" t="str">
        <f>IF($C192="B",VLOOKUP($A192,Bat!$A$4:$BD$2323,K$1,FALSE),VLOOKUP($A192,Pit!$A$4:$AZ$2261,K$2,FALSE))</f>
        <v>Low</v>
      </c>
      <c r="L192" s="16">
        <f>IF($C192="B",VLOOKUP($A192,Bat!$A$4:$BD$2323,L$1,FALSE),VLOOKUP($A192,Pit!$A$4:$AZ$2261,L$2,FALSE))</f>
        <v>4</v>
      </c>
      <c r="M192" s="16">
        <f>IF($C192="B",VLOOKUP($A192,Bat!$A$4:$BD$2323,M$1,FALSE),VLOOKUP($A192,Pit!$A$4:$AZ$2261,M$2,FALSE))</f>
        <v>4</v>
      </c>
      <c r="N192" s="16">
        <f>IF($C192="B",VLOOKUP($A192,Bat!$A$4:$BD$2323,N$1,FALSE),VLOOKUP($A192,Pit!$A$4:$AZ$2261,N$2,FALSE))</f>
        <v>1</v>
      </c>
      <c r="O192" s="16">
        <f>IF($C192="B",VLOOKUP($A192,Bat!$A$4:$BD$2323,O$1,FALSE),VLOOKUP($A192,Pit!$A$4:$AZ$2261,O$2,FALSE))</f>
        <v>5</v>
      </c>
      <c r="P192" s="17">
        <f>IF($C192="B",VLOOKUP($A192,Bat!$A$4:$BD$2323,P$1,FALSE),VLOOKUP($A192,Pit!$A$4:$AZ$2261,P$2,FALSE))</f>
        <v>5</v>
      </c>
      <c r="Q192" s="18">
        <f>IF($C192="B",VLOOKUP($A192,Bat!$A$4:$BD$2323,Q$1,FALSE),VLOOKUP($A192,Pit!$A$4:$AZ$2261,Q$2,FALSE))</f>
        <v>6.5287582571514156</v>
      </c>
      <c r="R192" s="19">
        <f>IF($C192="B",VLOOKUP($A192,Bat!$A$4:$BD$2323,R$1,FALSE),VLOOKUP($A192,Pit!$A$4:$AZ$2261,R$2,FALSE))</f>
        <v>-0.5748314962528478</v>
      </c>
      <c r="S192" s="20" t="str">
        <f>IF($C192="B",VLOOKUP($A192,Bat!$A$4:$BD$2323,S$1,FALSE),VLOOKUP($A192,Pit!$A$4:$AZ$2261,S$2,FALSE))</f>
        <v>Slot</v>
      </c>
      <c r="T192" s="17" t="str">
        <f>IF(S192="Slot","",VLOOKUP(IF($C192="B",VLOOKUP($A192,Bat!$A$4:$AT$2323,T$1,FALSE),VLOOKUP($A192,Pit!$A$4:$BD$2261,T$2,FALSE)),COND!$A$34:$B$40,2,FALSE))</f>
        <v/>
      </c>
      <c r="U192" s="21" t="str">
        <f>IF($C192="B",VLOOKUP($A192,Bat!$A$4:$AR$1287,44,FALSE),VLOOKUP($A192,Pit!$A$4:$BB$1239,54,FALSE))</f>
        <v/>
      </c>
      <c r="W192" s="21" t="str">
        <f t="shared" si="10"/>
        <v/>
      </c>
      <c r="X192" s="22" t="e">
        <f t="shared" si="11"/>
        <v>#N/A</v>
      </c>
      <c r="Y192" s="16" t="str">
        <f>IF(ISERROR(VLOOKUP($E192&amp;$F192,Results!$A$2:$G$413,Y$1,FALSE)),"",VLOOKUP($E192&amp;$F192,Results!$A$2:$G$413,Y$1,FALSE))</f>
        <v/>
      </c>
      <c r="Z192" s="16" t="str">
        <f>IF(ISERROR(VLOOKUP($E192&amp;$F192,Results!$A$2:$G$413,Z$1,FALSE)),"",VLOOKUP($E192&amp;$F192,Results!$A$2:$G$413,Z$1,FALSE))</f>
        <v/>
      </c>
      <c r="AA192" s="16" t="str">
        <f>IF(ISERROR(VLOOKUP($E192&amp;$F192,Results!$A$2:$G$413,AA$1,FALSE)),"",VLOOKUP($E192&amp;$F192,Results!$A$2:$G$413,AA$1,FALSE))</f>
        <v/>
      </c>
      <c r="AB192" s="16" t="str">
        <f>IF(ISERROR(VLOOKUP($E192&amp;$F192,Results!$A$2:$G$413,AB$1,FALSE)),"",VLOOKUP($E192&amp;$F192,Results!$A$2:$G$413,AB$1,FALSE))</f>
        <v/>
      </c>
      <c r="AC192" s="16"/>
      <c r="AD192" s="20" t="str">
        <f>IF(ISERROR(VLOOKUP($AB192&amp;"-"&amp;$F192,Bonuses!$B$1:$G$1000,4,FALSE)),"",INT(VLOOKUP($AB192&amp;"-"&amp;$F192,Bonuses!$B$1:$G$1000,4,FALSE)))</f>
        <v/>
      </c>
      <c r="AE192" s="16" t="str">
        <f>IF(ISERROR(VLOOKUP($AB192&amp;"-"&amp;$F192,Bonuses!$B$1:$G$1000,5,FALSE)),"",IF(VLOOKUP($AB192&amp;"-"&amp;$F192,Bonuses!$B$1:$G$1000,5,FALSE)="","",VLOOKUP($AB192&amp;"-"&amp;$F192,Bonuses!$B$1:$G$1000,6,FALSE)&amp;" yrs, "&amp;VLOOKUP($AB192&amp;"-"&amp;$F192,Bonuses!$B$1:$G$1000,5,FALSE)))</f>
        <v/>
      </c>
    </row>
    <row r="193" spans="1:31" s="21" customFormat="1">
      <c r="A193" s="21" t="s">
        <v>887</v>
      </c>
      <c r="B193" s="21">
        <f t="shared" si="8"/>
        <v>1</v>
      </c>
      <c r="C193" s="21" t="str">
        <f t="shared" si="9"/>
        <v>B</v>
      </c>
      <c r="D193" s="17" t="e">
        <f>IF($C193="B",VLOOKUP($A193,Bat!$A$4:$BD$2323,D$1,FALSE),VLOOKUP($A193,Pit!$A$4:$AZ$2261,D$2,FALSE))</f>
        <v>#N/A</v>
      </c>
      <c r="E193" s="16" t="e">
        <f>IF($C193="B",VLOOKUP($A193,Bat!$A$4:$BD$2323,E$1,FALSE),VLOOKUP($A193,Pit!$A$4:$AZ$2261,E$2,FALSE))</f>
        <v>#N/A</v>
      </c>
      <c r="F193" s="16" t="e">
        <f>IF($C193="B",VLOOKUP($A193,Bat!$A$4:$BD$2323,F$1,FALSE),VLOOKUP($A193,Pit!$A$4:$AZ$2261,F$2,FALSE))</f>
        <v>#N/A</v>
      </c>
      <c r="G193" s="16" t="e">
        <f>IF($C193="B",VLOOKUP($A193,Bat!$A$4:$BD$2323,G$1,FALSE),VLOOKUP($A193,Pit!$A$4:$AZ$2261,G$2,FALSE))</f>
        <v>#N/A</v>
      </c>
      <c r="H193" s="16" t="e">
        <f>IF($C193="B",VLOOKUP($A193,Bat!$A$4:$BD$2323,H$1,FALSE),VLOOKUP($A193,Pit!$A$4:$AZ$2261,H$2,FALSE))</f>
        <v>#N/A</v>
      </c>
      <c r="I193" s="16" t="e">
        <f>IF($C193="B",VLOOKUP($A193,Bat!$A$4:$BD$2323,I$1,FALSE),VLOOKUP($A193,Pit!$A$4:$AZ$2261,I$2,FALSE))</f>
        <v>#N/A</v>
      </c>
      <c r="J193" s="16" t="e">
        <f>IF($C193="B",VLOOKUP($A193,Bat!$A$4:$BD$2323,J$1,FALSE),VLOOKUP($A193,Pit!$A$4:$AZ$2261,J$2,FALSE))</f>
        <v>#N/A</v>
      </c>
      <c r="K193" s="17" t="e">
        <f>IF($C193="B",VLOOKUP($A193,Bat!$A$4:$BD$2323,K$1,FALSE),VLOOKUP($A193,Pit!$A$4:$AZ$2261,K$2,FALSE))</f>
        <v>#N/A</v>
      </c>
      <c r="L193" s="16" t="e">
        <f>IF($C193="B",VLOOKUP($A193,Bat!$A$4:$BD$2323,L$1,FALSE),VLOOKUP($A193,Pit!$A$4:$AZ$2261,L$2,FALSE))</f>
        <v>#N/A</v>
      </c>
      <c r="M193" s="16" t="e">
        <f>IF($C193="B",VLOOKUP($A193,Bat!$A$4:$BD$2323,M$1,FALSE),VLOOKUP($A193,Pit!$A$4:$AZ$2261,M$2,FALSE))</f>
        <v>#N/A</v>
      </c>
      <c r="N193" s="16" t="e">
        <f>IF($C193="B",VLOOKUP($A193,Bat!$A$4:$BD$2323,N$1,FALSE),VLOOKUP($A193,Pit!$A$4:$AZ$2261,N$2,FALSE))</f>
        <v>#N/A</v>
      </c>
      <c r="O193" s="16" t="e">
        <f>IF($C193="B",VLOOKUP($A193,Bat!$A$4:$BD$2323,O$1,FALSE),VLOOKUP($A193,Pit!$A$4:$AZ$2261,O$2,FALSE))</f>
        <v>#N/A</v>
      </c>
      <c r="P193" s="17" t="e">
        <f>IF($C193="B",VLOOKUP($A193,Bat!$A$4:$BD$2323,P$1,FALSE),VLOOKUP($A193,Pit!$A$4:$AZ$2261,P$2,FALSE))</f>
        <v>#N/A</v>
      </c>
      <c r="Q193" s="18" t="e">
        <f>IF($C193="B",VLOOKUP($A193,Bat!$A$4:$BD$2323,Q$1,FALSE),VLOOKUP($A193,Pit!$A$4:$AZ$2261,Q$2,FALSE))</f>
        <v>#N/A</v>
      </c>
      <c r="R193" s="19" t="e">
        <f>IF($C193="B",VLOOKUP($A193,Bat!$A$4:$BD$2323,R$1,FALSE),VLOOKUP($A193,Pit!$A$4:$AZ$2261,R$2,FALSE))</f>
        <v>#N/A</v>
      </c>
      <c r="S193" s="20" t="e">
        <f>IF($C193="B",VLOOKUP($A193,Bat!$A$4:$BD$2323,S$1,FALSE),VLOOKUP($A193,Pit!$A$4:$AZ$2261,S$2,FALSE))</f>
        <v>#N/A</v>
      </c>
      <c r="T193" s="17" t="e">
        <f>IF(S193="Slot","",VLOOKUP(IF($C193="B",VLOOKUP($A193,Bat!$A$4:$AT$2323,T$1,FALSE),VLOOKUP($A193,Pit!$A$4:$BD$2261,T$2,FALSE)),COND!$A$34:$B$40,2,FALSE))</f>
        <v>#N/A</v>
      </c>
      <c r="U193" s="21" t="e">
        <f>IF($C193="B",VLOOKUP($A193,Bat!$A$4:$AR$1287,44,FALSE),VLOOKUP($A193,Pit!$A$4:$BB$1239,54,FALSE))</f>
        <v>#N/A</v>
      </c>
      <c r="W193" s="21" t="e">
        <f t="shared" si="10"/>
        <v>#N/A</v>
      </c>
      <c r="X193" s="22" t="e">
        <f t="shared" si="11"/>
        <v>#N/A</v>
      </c>
      <c r="Y193" s="16" t="str">
        <f>IF(ISERROR(VLOOKUP($E193&amp;$F193,Results!$A$2:$G$413,Y$1,FALSE)),"",VLOOKUP($E193&amp;$F193,Results!$A$2:$G$413,Y$1,FALSE))</f>
        <v/>
      </c>
      <c r="Z193" s="16" t="str">
        <f>IF(ISERROR(VLOOKUP($E193&amp;$F193,Results!$A$2:$G$413,Z$1,FALSE)),"",VLOOKUP($E193&amp;$F193,Results!$A$2:$G$413,Z$1,FALSE))</f>
        <v/>
      </c>
      <c r="AA193" s="16" t="str">
        <f>IF(ISERROR(VLOOKUP($E193&amp;$F193,Results!$A$2:$G$413,AA$1,FALSE)),"",VLOOKUP($E193&amp;$F193,Results!$A$2:$G$413,AA$1,FALSE))</f>
        <v/>
      </c>
      <c r="AB193" s="16" t="str">
        <f>IF(ISERROR(VLOOKUP($E193&amp;$F193,Results!$A$2:$G$413,AB$1,FALSE)),"",VLOOKUP($E193&amp;$F193,Results!$A$2:$G$413,AB$1,FALSE))</f>
        <v/>
      </c>
      <c r="AC193" s="16"/>
      <c r="AD193" s="20" t="str">
        <f>IF(ISERROR(VLOOKUP($AB193&amp;"-"&amp;$F193,Bonuses!$B$1:$G$1000,4,FALSE)),"",INT(VLOOKUP($AB193&amp;"-"&amp;$F193,Bonuses!$B$1:$G$1000,4,FALSE)))</f>
        <v/>
      </c>
      <c r="AE193" s="16" t="str">
        <f>IF(ISERROR(VLOOKUP($AB193&amp;"-"&amp;$F193,Bonuses!$B$1:$G$1000,5,FALSE)),"",IF(VLOOKUP($AB193&amp;"-"&amp;$F193,Bonuses!$B$1:$G$1000,5,FALSE)="","",VLOOKUP($AB193&amp;"-"&amp;$F193,Bonuses!$B$1:$G$1000,6,FALSE)&amp;" yrs, "&amp;VLOOKUP($AB193&amp;"-"&amp;$F193,Bonuses!$B$1:$G$1000,5,FALSE)))</f>
        <v/>
      </c>
    </row>
    <row r="194" spans="1:31" s="21" customFormat="1">
      <c r="A194" s="21" t="s">
        <v>849</v>
      </c>
      <c r="B194" s="21">
        <f t="shared" si="8"/>
        <v>1</v>
      </c>
      <c r="C194" s="21" t="str">
        <f t="shared" si="9"/>
        <v>B</v>
      </c>
      <c r="D194" s="17" t="e">
        <f>IF($C194="B",VLOOKUP($A194,Bat!$A$4:$BD$2323,D$1,FALSE),VLOOKUP($A194,Pit!$A$4:$AZ$2261,D$2,FALSE))</f>
        <v>#N/A</v>
      </c>
      <c r="E194" s="16" t="e">
        <f>IF($C194="B",VLOOKUP($A194,Bat!$A$4:$BD$2323,E$1,FALSE),VLOOKUP($A194,Pit!$A$4:$AZ$2261,E$2,FALSE))</f>
        <v>#N/A</v>
      </c>
      <c r="F194" s="16" t="e">
        <f>IF($C194="B",VLOOKUP($A194,Bat!$A$4:$BD$2323,F$1,FALSE),VLOOKUP($A194,Pit!$A$4:$AZ$2261,F$2,FALSE))</f>
        <v>#N/A</v>
      </c>
      <c r="G194" s="16" t="e">
        <f>IF($C194="B",VLOOKUP($A194,Bat!$A$4:$BD$2323,G$1,FALSE),VLOOKUP($A194,Pit!$A$4:$AZ$2261,G$2,FALSE))</f>
        <v>#N/A</v>
      </c>
      <c r="H194" s="16" t="e">
        <f>IF($C194="B",VLOOKUP($A194,Bat!$A$4:$BD$2323,H$1,FALSE),VLOOKUP($A194,Pit!$A$4:$AZ$2261,H$2,FALSE))</f>
        <v>#N/A</v>
      </c>
      <c r="I194" s="16" t="e">
        <f>IF($C194="B",VLOOKUP($A194,Bat!$A$4:$BD$2323,I$1,FALSE),VLOOKUP($A194,Pit!$A$4:$AZ$2261,I$2,FALSE))</f>
        <v>#N/A</v>
      </c>
      <c r="J194" s="16" t="e">
        <f>IF($C194="B",VLOOKUP($A194,Bat!$A$4:$BD$2323,J$1,FALSE),VLOOKUP($A194,Pit!$A$4:$AZ$2261,J$2,FALSE))</f>
        <v>#N/A</v>
      </c>
      <c r="K194" s="17" t="e">
        <f>IF($C194="B",VLOOKUP($A194,Bat!$A$4:$BD$2323,K$1,FALSE),VLOOKUP($A194,Pit!$A$4:$AZ$2261,K$2,FALSE))</f>
        <v>#N/A</v>
      </c>
      <c r="L194" s="16" t="e">
        <f>IF($C194="B",VLOOKUP($A194,Bat!$A$4:$BD$2323,L$1,FALSE),VLOOKUP($A194,Pit!$A$4:$AZ$2261,L$2,FALSE))</f>
        <v>#N/A</v>
      </c>
      <c r="M194" s="16" t="e">
        <f>IF($C194="B",VLOOKUP($A194,Bat!$A$4:$BD$2323,M$1,FALSE),VLOOKUP($A194,Pit!$A$4:$AZ$2261,M$2,FALSE))</f>
        <v>#N/A</v>
      </c>
      <c r="N194" s="16" t="e">
        <f>IF($C194="B",VLOOKUP($A194,Bat!$A$4:$BD$2323,N$1,FALSE),VLOOKUP($A194,Pit!$A$4:$AZ$2261,N$2,FALSE))</f>
        <v>#N/A</v>
      </c>
      <c r="O194" s="16" t="e">
        <f>IF($C194="B",VLOOKUP($A194,Bat!$A$4:$BD$2323,O$1,FALSE),VLOOKUP($A194,Pit!$A$4:$AZ$2261,O$2,FALSE))</f>
        <v>#N/A</v>
      </c>
      <c r="P194" s="17" t="e">
        <f>IF($C194="B",VLOOKUP($A194,Bat!$A$4:$BD$2323,P$1,FALSE),VLOOKUP($A194,Pit!$A$4:$AZ$2261,P$2,FALSE))</f>
        <v>#N/A</v>
      </c>
      <c r="Q194" s="18" t="e">
        <f>IF($C194="B",VLOOKUP($A194,Bat!$A$4:$BD$2323,Q$1,FALSE),VLOOKUP($A194,Pit!$A$4:$AZ$2261,Q$2,FALSE))</f>
        <v>#N/A</v>
      </c>
      <c r="R194" s="19" t="e">
        <f>IF($C194="B",VLOOKUP($A194,Bat!$A$4:$BD$2323,R$1,FALSE),VLOOKUP($A194,Pit!$A$4:$AZ$2261,R$2,FALSE))</f>
        <v>#N/A</v>
      </c>
      <c r="S194" s="20" t="e">
        <f>IF($C194="B",VLOOKUP($A194,Bat!$A$4:$BD$2323,S$1,FALSE),VLOOKUP($A194,Pit!$A$4:$AZ$2261,S$2,FALSE))</f>
        <v>#N/A</v>
      </c>
      <c r="T194" s="17" t="e">
        <f>IF(S194="Slot","",VLOOKUP(IF($C194="B",VLOOKUP($A194,Bat!$A$4:$AT$2323,T$1,FALSE),VLOOKUP($A194,Pit!$A$4:$BD$2261,T$2,FALSE)),COND!$A$34:$B$40,2,FALSE))</f>
        <v>#N/A</v>
      </c>
      <c r="U194" s="21" t="e">
        <f>IF($C194="B",VLOOKUP($A194,Bat!$A$4:$AR$1287,44,FALSE),VLOOKUP($A194,Pit!$A$4:$BB$1239,54,FALSE))</f>
        <v>#N/A</v>
      </c>
      <c r="W194" s="21" t="e">
        <f t="shared" si="10"/>
        <v>#N/A</v>
      </c>
      <c r="X194" s="22" t="e">
        <f t="shared" si="11"/>
        <v>#N/A</v>
      </c>
      <c r="Y194" s="16" t="str">
        <f>IF(ISERROR(VLOOKUP($E194&amp;$F194,Results!$A$2:$G$413,Y$1,FALSE)),"",VLOOKUP($E194&amp;$F194,Results!$A$2:$G$413,Y$1,FALSE))</f>
        <v/>
      </c>
      <c r="Z194" s="16" t="str">
        <f>IF(ISERROR(VLOOKUP($E194&amp;$F194,Results!$A$2:$G$413,Z$1,FALSE)),"",VLOOKUP($E194&amp;$F194,Results!$A$2:$G$413,Z$1,FALSE))</f>
        <v/>
      </c>
      <c r="AA194" s="16" t="str">
        <f>IF(ISERROR(VLOOKUP($E194&amp;$F194,Results!$A$2:$G$413,AA$1,FALSE)),"",VLOOKUP($E194&amp;$F194,Results!$A$2:$G$413,AA$1,FALSE))</f>
        <v/>
      </c>
      <c r="AB194" s="16" t="str">
        <f>IF(ISERROR(VLOOKUP($E194&amp;$F194,Results!$A$2:$G$413,AB$1,FALSE)),"",VLOOKUP($E194&amp;$F194,Results!$A$2:$G$413,AB$1,FALSE))</f>
        <v/>
      </c>
      <c r="AC194" s="16"/>
      <c r="AD194" s="20" t="str">
        <f>IF(ISERROR(VLOOKUP($AB194&amp;"-"&amp;$F194,Bonuses!$B$1:$G$1000,4,FALSE)),"",INT(VLOOKUP($AB194&amp;"-"&amp;$F194,Bonuses!$B$1:$G$1000,4,FALSE)))</f>
        <v/>
      </c>
      <c r="AE194" s="16" t="str">
        <f>IF(ISERROR(VLOOKUP($AB194&amp;"-"&amp;$F194,Bonuses!$B$1:$G$1000,5,FALSE)),"",IF(VLOOKUP($AB194&amp;"-"&amp;$F194,Bonuses!$B$1:$G$1000,5,FALSE)="","",VLOOKUP($AB194&amp;"-"&amp;$F194,Bonuses!$B$1:$G$1000,6,FALSE)&amp;" yrs, "&amp;VLOOKUP($AB194&amp;"-"&amp;$F194,Bonuses!$B$1:$G$1000,5,FALSE)))</f>
        <v/>
      </c>
    </row>
    <row r="195" spans="1:31" s="21" customFormat="1">
      <c r="A195" s="21" t="s">
        <v>879</v>
      </c>
      <c r="B195" s="21">
        <f t="shared" si="8"/>
        <v>1</v>
      </c>
      <c r="C195" s="21" t="str">
        <f t="shared" si="9"/>
        <v>B</v>
      </c>
      <c r="D195" s="17" t="e">
        <f>IF($C195="B",VLOOKUP($A195,Bat!$A$4:$BD$2323,D$1,FALSE),VLOOKUP($A195,Pit!$A$4:$AZ$2261,D$2,FALSE))</f>
        <v>#N/A</v>
      </c>
      <c r="E195" s="16" t="str">
        <f>IF($C195="B",VLOOKUP($A195,Bat!$A$4:$BD$2323,E$1,FALSE),VLOOKUP($A195,Pit!$A$4:$AZ$2261,E$2,FALSE))</f>
        <v>1B</v>
      </c>
      <c r="F195" s="16" t="str">
        <f>IF($C195="B",VLOOKUP($A195,Bat!$A$4:$BD$2323,F$1,FALSE),VLOOKUP($A195,Pit!$A$4:$AZ$2261,F$2,FALSE))</f>
        <v>Raúl Morales</v>
      </c>
      <c r="G195" s="16">
        <f>IF($C195="B",VLOOKUP($A195,Bat!$A$4:$BD$2323,G$1,FALSE),VLOOKUP($A195,Pit!$A$4:$AZ$2261,G$2,FALSE))</f>
        <v>21</v>
      </c>
      <c r="H195" s="16" t="str">
        <f>IF($C195="B",VLOOKUP($A195,Bat!$A$4:$BD$2323,H$1,FALSE),VLOOKUP($A195,Pit!$A$4:$AZ$2261,H$2,FALSE))</f>
        <v>L</v>
      </c>
      <c r="I195" s="16" t="str">
        <f>IF($C195="B",VLOOKUP($A195,Bat!$A$4:$BD$2323,I$1,FALSE),VLOOKUP($A195,Pit!$A$4:$AZ$2261,I$2,FALSE))</f>
        <v>L</v>
      </c>
      <c r="J195" s="16" t="str">
        <f>IF($C195="B",VLOOKUP($A195,Bat!$A$4:$BD$2323,J$1,FALSE),VLOOKUP($A195,Pit!$A$4:$AZ$2261,J$2,FALSE))</f>
        <v>Very Low</v>
      </c>
      <c r="K195" s="17" t="str">
        <f>IF($C195="B",VLOOKUP($A195,Bat!$A$4:$BD$2323,K$1,FALSE),VLOOKUP($A195,Pit!$A$4:$AZ$2261,K$2,FALSE))</f>
        <v>Low</v>
      </c>
      <c r="L195" s="16">
        <f>IF($C195="B",VLOOKUP($A195,Bat!$A$4:$BD$2323,L$1,FALSE),VLOOKUP($A195,Pit!$A$4:$AZ$2261,L$2,FALSE))</f>
        <v>4</v>
      </c>
      <c r="M195" s="16">
        <f>IF($C195="B",VLOOKUP($A195,Bat!$A$4:$BD$2323,M$1,FALSE),VLOOKUP($A195,Pit!$A$4:$AZ$2261,M$2,FALSE))</f>
        <v>4</v>
      </c>
      <c r="N195" s="16">
        <f>IF($C195="B",VLOOKUP($A195,Bat!$A$4:$BD$2323,N$1,FALSE),VLOOKUP($A195,Pit!$A$4:$AZ$2261,N$2,FALSE))</f>
        <v>5</v>
      </c>
      <c r="O195" s="16">
        <f>IF($C195="B",VLOOKUP($A195,Bat!$A$4:$BD$2323,O$1,FALSE),VLOOKUP($A195,Pit!$A$4:$AZ$2261,O$2,FALSE))</f>
        <v>4</v>
      </c>
      <c r="P195" s="17">
        <f>IF($C195="B",VLOOKUP($A195,Bat!$A$4:$BD$2323,P$1,FALSE),VLOOKUP($A195,Pit!$A$4:$AZ$2261,P$2,FALSE))</f>
        <v>4</v>
      </c>
      <c r="Q195" s="18">
        <f>IF($C195="B",VLOOKUP($A195,Bat!$A$4:$BD$2323,Q$1,FALSE),VLOOKUP($A195,Pit!$A$4:$AZ$2261,Q$2,FALSE))</f>
        <v>6.3961090024767806</v>
      </c>
      <c r="R195" s="19">
        <f>IF($C195="B",VLOOKUP($A195,Bat!$A$4:$BD$2323,R$1,FALSE),VLOOKUP($A195,Pit!$A$4:$AZ$2261,R$2,FALSE))</f>
        <v>-0.59325961526514603</v>
      </c>
      <c r="S195" s="20" t="str">
        <f>IF($C195="B",VLOOKUP($A195,Bat!$A$4:$BD$2323,S$1,FALSE),VLOOKUP($A195,Pit!$A$4:$AZ$2261,S$2,FALSE))</f>
        <v>Slot</v>
      </c>
      <c r="T195" s="17" t="str">
        <f>IF(S195="Slot","",VLOOKUP(IF($C195="B",VLOOKUP($A195,Bat!$A$4:$AT$2323,T$1,FALSE),VLOOKUP($A195,Pit!$A$4:$BD$2261,T$2,FALSE)),COND!$A$34:$B$40,2,FALSE))</f>
        <v/>
      </c>
      <c r="U195" s="21" t="str">
        <f>IF($C195="B",VLOOKUP($A195,Bat!$A$4:$AR$1287,44,FALSE),VLOOKUP($A195,Pit!$A$4:$BB$1239,54,FALSE))</f>
        <v/>
      </c>
      <c r="W195" s="21" t="str">
        <f t="shared" si="10"/>
        <v/>
      </c>
      <c r="X195" s="22" t="e">
        <f t="shared" si="11"/>
        <v>#N/A</v>
      </c>
      <c r="Y195" s="16" t="str">
        <f>IF(ISERROR(VLOOKUP($E195&amp;$F195,Results!$A$2:$G$413,Y$1,FALSE)),"",VLOOKUP($E195&amp;$F195,Results!$A$2:$G$413,Y$1,FALSE))</f>
        <v/>
      </c>
      <c r="Z195" s="16" t="str">
        <f>IF(ISERROR(VLOOKUP($E195&amp;$F195,Results!$A$2:$G$413,Z$1,FALSE)),"",VLOOKUP($E195&amp;$F195,Results!$A$2:$G$413,Z$1,FALSE))</f>
        <v/>
      </c>
      <c r="AA195" s="16" t="str">
        <f>IF(ISERROR(VLOOKUP($E195&amp;$F195,Results!$A$2:$G$413,AA$1,FALSE)),"",VLOOKUP($E195&amp;$F195,Results!$A$2:$G$413,AA$1,FALSE))</f>
        <v/>
      </c>
      <c r="AB195" s="16" t="str">
        <f>IF(ISERROR(VLOOKUP($E195&amp;$F195,Results!$A$2:$G$413,AB$1,FALSE)),"",VLOOKUP($E195&amp;$F195,Results!$A$2:$G$413,AB$1,FALSE))</f>
        <v/>
      </c>
      <c r="AC195" s="16"/>
      <c r="AD195" s="20" t="str">
        <f>IF(ISERROR(VLOOKUP($AB195&amp;"-"&amp;$F195,Bonuses!$B$1:$G$1000,4,FALSE)),"",INT(VLOOKUP($AB195&amp;"-"&amp;$F195,Bonuses!$B$1:$G$1000,4,FALSE)))</f>
        <v/>
      </c>
      <c r="AE195" s="16" t="str">
        <f>IF(ISERROR(VLOOKUP($AB195&amp;"-"&amp;$F195,Bonuses!$B$1:$G$1000,5,FALSE)),"",IF(VLOOKUP($AB195&amp;"-"&amp;$F195,Bonuses!$B$1:$G$1000,5,FALSE)="","",VLOOKUP($AB195&amp;"-"&amp;$F195,Bonuses!$B$1:$G$1000,6,FALSE)&amp;" yrs, "&amp;VLOOKUP($AB195&amp;"-"&amp;$F195,Bonuses!$B$1:$G$1000,5,FALSE)))</f>
        <v/>
      </c>
    </row>
    <row r="196" spans="1:31" s="21" customFormat="1">
      <c r="A196" s="21" t="s">
        <v>868</v>
      </c>
      <c r="B196" s="21">
        <f t="shared" si="8"/>
        <v>1</v>
      </c>
      <c r="C196" s="21" t="str">
        <f t="shared" si="9"/>
        <v>B</v>
      </c>
      <c r="D196" s="17">
        <f>IF($C196="B",VLOOKUP($A196,Bat!$A$4:$BD$2323,D$1,FALSE),VLOOKUP($A196,Pit!$A$4:$AZ$2261,D$2,FALSE))</f>
        <v>8151</v>
      </c>
      <c r="E196" s="16" t="str">
        <f>IF($C196="B",VLOOKUP($A196,Bat!$A$4:$BD$2323,E$1,FALSE),VLOOKUP($A196,Pit!$A$4:$AZ$2261,E$2,FALSE))</f>
        <v>2B</v>
      </c>
      <c r="F196" s="16" t="str">
        <f>IF($C196="B",VLOOKUP($A196,Bat!$A$4:$BD$2323,F$1,FALSE),VLOOKUP($A196,Pit!$A$4:$AZ$2261,F$2,FALSE))</f>
        <v>Chris Thomas</v>
      </c>
      <c r="G196" s="16">
        <f>IF($C196="B",VLOOKUP($A196,Bat!$A$4:$BD$2323,G$1,FALSE),VLOOKUP($A196,Pit!$A$4:$AZ$2261,G$2,FALSE))</f>
        <v>21</v>
      </c>
      <c r="H196" s="16" t="str">
        <f>IF($C196="B",VLOOKUP($A196,Bat!$A$4:$BD$2323,H$1,FALSE),VLOOKUP($A196,Pit!$A$4:$AZ$2261,H$2,FALSE))</f>
        <v>R</v>
      </c>
      <c r="I196" s="16" t="str">
        <f>IF($C196="B",VLOOKUP($A196,Bat!$A$4:$BD$2323,I$1,FALSE),VLOOKUP($A196,Pit!$A$4:$AZ$2261,I$2,FALSE))</f>
        <v>R</v>
      </c>
      <c r="J196" s="16" t="str">
        <f>IF($C196="B",VLOOKUP($A196,Bat!$A$4:$BD$2323,J$1,FALSE),VLOOKUP($A196,Pit!$A$4:$AZ$2261,J$2,FALSE))</f>
        <v>High</v>
      </c>
      <c r="K196" s="17" t="str">
        <f>IF($C196="B",VLOOKUP($A196,Bat!$A$4:$BD$2323,K$1,FALSE),VLOOKUP($A196,Pit!$A$4:$AZ$2261,K$2,FALSE))</f>
        <v>High</v>
      </c>
      <c r="L196" s="16">
        <f>IF($C196="B",VLOOKUP($A196,Bat!$A$4:$BD$2323,L$1,FALSE),VLOOKUP($A196,Pit!$A$4:$AZ$2261,L$2,FALSE))</f>
        <v>4</v>
      </c>
      <c r="M196" s="16">
        <f>IF($C196="B",VLOOKUP($A196,Bat!$A$4:$BD$2323,M$1,FALSE),VLOOKUP($A196,Pit!$A$4:$AZ$2261,M$2,FALSE))</f>
        <v>5</v>
      </c>
      <c r="N196" s="16">
        <f>IF($C196="B",VLOOKUP($A196,Bat!$A$4:$BD$2323,N$1,FALSE),VLOOKUP($A196,Pit!$A$4:$AZ$2261,N$2,FALSE))</f>
        <v>2</v>
      </c>
      <c r="O196" s="16">
        <f>IF($C196="B",VLOOKUP($A196,Bat!$A$4:$BD$2323,O$1,FALSE),VLOOKUP($A196,Pit!$A$4:$AZ$2261,O$2,FALSE))</f>
        <v>5</v>
      </c>
      <c r="P196" s="17">
        <f>IF($C196="B",VLOOKUP($A196,Bat!$A$4:$BD$2323,P$1,FALSE),VLOOKUP($A196,Pit!$A$4:$AZ$2261,P$2,FALSE))</f>
        <v>4</v>
      </c>
      <c r="Q196" s="18">
        <f>IF($C196="B",VLOOKUP($A196,Bat!$A$4:$BD$2323,Q$1,FALSE),VLOOKUP($A196,Pit!$A$4:$AZ$2261,Q$2,FALSE))</f>
        <v>6.3785160743509612</v>
      </c>
      <c r="R196" s="19">
        <f>IF($C196="B",VLOOKUP($A196,Bat!$A$4:$BD$2323,R$1,FALSE),VLOOKUP($A196,Pit!$A$4:$AZ$2261,R$2,FALSE))</f>
        <v>-0.59570368910538452</v>
      </c>
      <c r="S196" s="20" t="str">
        <f>IF($C196="B",VLOOKUP($A196,Bat!$A$4:$BD$2323,S$1,FALSE),VLOOKUP($A196,Pit!$A$4:$AZ$2261,S$2,FALSE))</f>
        <v>Slot</v>
      </c>
      <c r="T196" s="17" t="str">
        <f>IF(S196="Slot","",VLOOKUP(IF($C196="B",VLOOKUP($A196,Bat!$A$4:$AT$2323,T$1,FALSE),VLOOKUP($A196,Pit!$A$4:$BD$2261,T$2,FALSE)),COND!$A$34:$B$40,2,FALSE))</f>
        <v/>
      </c>
      <c r="U196" s="21" t="str">
        <f>IF($C196="B",VLOOKUP($A196,Bat!$A$4:$AR$1287,44,FALSE),VLOOKUP($A196,Pit!$A$4:$BB$1239,54,FALSE))</f>
        <v/>
      </c>
      <c r="W196" s="21" t="str">
        <f t="shared" si="10"/>
        <v/>
      </c>
      <c r="X196" s="22" t="e">
        <f t="shared" si="11"/>
        <v>#N/A</v>
      </c>
      <c r="Y196" s="16" t="str">
        <f>IF(ISERROR(VLOOKUP($E196&amp;$F196,Results!$A$2:$G$413,Y$1,FALSE)),"",VLOOKUP($E196&amp;$F196,Results!$A$2:$G$413,Y$1,FALSE))</f>
        <v/>
      </c>
      <c r="Z196" s="16" t="str">
        <f>IF(ISERROR(VLOOKUP($E196&amp;$F196,Results!$A$2:$G$413,Z$1,FALSE)),"",VLOOKUP($E196&amp;$F196,Results!$A$2:$G$413,Z$1,FALSE))</f>
        <v/>
      </c>
      <c r="AA196" s="16" t="str">
        <f>IF(ISERROR(VLOOKUP($E196&amp;$F196,Results!$A$2:$G$413,AA$1,FALSE)),"",VLOOKUP($E196&amp;$F196,Results!$A$2:$G$413,AA$1,FALSE))</f>
        <v/>
      </c>
      <c r="AB196" s="16" t="str">
        <f>IF(ISERROR(VLOOKUP($E196&amp;$F196,Results!$A$2:$G$413,AB$1,FALSE)),"",VLOOKUP($E196&amp;$F196,Results!$A$2:$G$413,AB$1,FALSE))</f>
        <v/>
      </c>
      <c r="AC196" s="16"/>
      <c r="AD196" s="20" t="str">
        <f>IF(ISERROR(VLOOKUP($AB196&amp;"-"&amp;$F196,Bonuses!$B$1:$G$1000,4,FALSE)),"",INT(VLOOKUP($AB196&amp;"-"&amp;$F196,Bonuses!$B$1:$G$1000,4,FALSE)))</f>
        <v/>
      </c>
      <c r="AE196" s="16" t="str">
        <f>IF(ISERROR(VLOOKUP($AB196&amp;"-"&amp;$F196,Bonuses!$B$1:$G$1000,5,FALSE)),"",IF(VLOOKUP($AB196&amp;"-"&amp;$F196,Bonuses!$B$1:$G$1000,5,FALSE)="","",VLOOKUP($AB196&amp;"-"&amp;$F196,Bonuses!$B$1:$G$1000,6,FALSE)&amp;" yrs, "&amp;VLOOKUP($AB196&amp;"-"&amp;$F196,Bonuses!$B$1:$G$1000,5,FALSE)))</f>
        <v/>
      </c>
    </row>
    <row r="197" spans="1:31" s="21" customFormat="1">
      <c r="A197" s="21" t="s">
        <v>77</v>
      </c>
      <c r="B197" s="21">
        <f t="shared" ref="B197:B260" si="12">COUNTIF($A$5:$A$598,A197)</f>
        <v>1</v>
      </c>
      <c r="C197" s="21" t="str">
        <f t="shared" ref="C197:C260" si="13">IF(OR(MID(A197,1,2)="SP",MID(A197,1,2)="MR",MID(A197,1,2)="CL",MID(A197,1,2)="RP"),"P","B")</f>
        <v>B</v>
      </c>
      <c r="D197" s="17" t="e">
        <f>IF($C197="B",VLOOKUP($A197,Bat!$A$4:$BD$2323,D$1,FALSE),VLOOKUP($A197,Pit!$A$4:$AZ$2261,D$2,FALSE))</f>
        <v>#N/A</v>
      </c>
      <c r="E197" s="16" t="e">
        <f>IF($C197="B",VLOOKUP($A197,Bat!$A$4:$BD$2323,E$1,FALSE),VLOOKUP($A197,Pit!$A$4:$AZ$2261,E$2,FALSE))</f>
        <v>#N/A</v>
      </c>
      <c r="F197" s="16" t="e">
        <f>IF($C197="B",VLOOKUP($A197,Bat!$A$4:$BD$2323,F$1,FALSE),VLOOKUP($A197,Pit!$A$4:$AZ$2261,F$2,FALSE))</f>
        <v>#N/A</v>
      </c>
      <c r="G197" s="16" t="e">
        <f>IF($C197="B",VLOOKUP($A197,Bat!$A$4:$BD$2323,G$1,FALSE),VLOOKUP($A197,Pit!$A$4:$AZ$2261,G$2,FALSE))</f>
        <v>#N/A</v>
      </c>
      <c r="H197" s="16" t="e">
        <f>IF($C197="B",VLOOKUP($A197,Bat!$A$4:$BD$2323,H$1,FALSE),VLOOKUP($A197,Pit!$A$4:$AZ$2261,H$2,FALSE))</f>
        <v>#N/A</v>
      </c>
      <c r="I197" s="16" t="e">
        <f>IF($C197="B",VLOOKUP($A197,Bat!$A$4:$BD$2323,I$1,FALSE),VLOOKUP($A197,Pit!$A$4:$AZ$2261,I$2,FALSE))</f>
        <v>#N/A</v>
      </c>
      <c r="J197" s="16" t="e">
        <f>IF($C197="B",VLOOKUP($A197,Bat!$A$4:$BD$2323,J$1,FALSE),VLOOKUP($A197,Pit!$A$4:$AZ$2261,J$2,FALSE))</f>
        <v>#N/A</v>
      </c>
      <c r="K197" s="17" t="e">
        <f>IF($C197="B",VLOOKUP($A197,Bat!$A$4:$BD$2323,K$1,FALSE),VLOOKUP($A197,Pit!$A$4:$AZ$2261,K$2,FALSE))</f>
        <v>#N/A</v>
      </c>
      <c r="L197" s="16" t="e">
        <f>IF($C197="B",VLOOKUP($A197,Bat!$A$4:$BD$2323,L$1,FALSE),VLOOKUP($A197,Pit!$A$4:$AZ$2261,L$2,FALSE))</f>
        <v>#N/A</v>
      </c>
      <c r="M197" s="16" t="e">
        <f>IF($C197="B",VLOOKUP($A197,Bat!$A$4:$BD$2323,M$1,FALSE),VLOOKUP($A197,Pit!$A$4:$AZ$2261,M$2,FALSE))</f>
        <v>#N/A</v>
      </c>
      <c r="N197" s="16" t="e">
        <f>IF($C197="B",VLOOKUP($A197,Bat!$A$4:$BD$2323,N$1,FALSE),VLOOKUP($A197,Pit!$A$4:$AZ$2261,N$2,FALSE))</f>
        <v>#N/A</v>
      </c>
      <c r="O197" s="16" t="e">
        <f>IF($C197="B",VLOOKUP($A197,Bat!$A$4:$BD$2323,O$1,FALSE),VLOOKUP($A197,Pit!$A$4:$AZ$2261,O$2,FALSE))</f>
        <v>#N/A</v>
      </c>
      <c r="P197" s="17" t="e">
        <f>IF($C197="B",VLOOKUP($A197,Bat!$A$4:$BD$2323,P$1,FALSE),VLOOKUP($A197,Pit!$A$4:$AZ$2261,P$2,FALSE))</f>
        <v>#N/A</v>
      </c>
      <c r="Q197" s="18" t="e">
        <f>IF($C197="B",VLOOKUP($A197,Bat!$A$4:$BD$2323,Q$1,FALSE),VLOOKUP($A197,Pit!$A$4:$AZ$2261,Q$2,FALSE))</f>
        <v>#N/A</v>
      </c>
      <c r="R197" s="19" t="e">
        <f>IF($C197="B",VLOOKUP($A197,Bat!$A$4:$BD$2323,R$1,FALSE),VLOOKUP($A197,Pit!$A$4:$AZ$2261,R$2,FALSE))</f>
        <v>#N/A</v>
      </c>
      <c r="S197" s="20" t="e">
        <f>IF($C197="B",VLOOKUP($A197,Bat!$A$4:$BD$2323,S$1,FALSE),VLOOKUP($A197,Pit!$A$4:$AZ$2261,S$2,FALSE))</f>
        <v>#N/A</v>
      </c>
      <c r="T197" s="17" t="e">
        <f>IF(S197="Slot","",VLOOKUP(IF($C197="B",VLOOKUP($A197,Bat!$A$4:$AT$2323,T$1,FALSE),VLOOKUP($A197,Pit!$A$4:$BD$2261,T$2,FALSE)),COND!$A$34:$B$40,2,FALSE))</f>
        <v>#N/A</v>
      </c>
      <c r="U197" s="21" t="e">
        <f>IF($C197="B",VLOOKUP($A197,Bat!$A$4:$AR$1287,44,FALSE),VLOOKUP($A197,Pit!$A$4:$BB$1239,54,FALSE))</f>
        <v>#N/A</v>
      </c>
      <c r="W197" s="21" t="e">
        <f t="shared" ref="W197:W260" si="14">IF(OR(U197=999,AND(S197&gt;$S$3,S197&lt;&gt;"Slot")),"",U197)</f>
        <v>#N/A</v>
      </c>
      <c r="X197" s="22" t="e">
        <f t="shared" ref="X197:X260" si="15">RANK(R197,$R$5:$R$1469)</f>
        <v>#N/A</v>
      </c>
      <c r="Y197" s="16" t="str">
        <f>IF(ISERROR(VLOOKUP($E197&amp;$F197,Results!$A$2:$G$413,Y$1,FALSE)),"",VLOOKUP($E197&amp;$F197,Results!$A$2:$G$413,Y$1,FALSE))</f>
        <v/>
      </c>
      <c r="Z197" s="16" t="str">
        <f>IF(ISERROR(VLOOKUP($E197&amp;$F197,Results!$A$2:$G$413,Z$1,FALSE)),"",VLOOKUP($E197&amp;$F197,Results!$A$2:$G$413,Z$1,FALSE))</f>
        <v/>
      </c>
      <c r="AA197" s="16" t="str">
        <f>IF(ISERROR(VLOOKUP($E197&amp;$F197,Results!$A$2:$G$413,AA$1,FALSE)),"",VLOOKUP($E197&amp;$F197,Results!$A$2:$G$413,AA$1,FALSE))</f>
        <v/>
      </c>
      <c r="AB197" s="16" t="str">
        <f>IF(ISERROR(VLOOKUP($E197&amp;$F197,Results!$A$2:$G$413,AB$1,FALSE)),"",VLOOKUP($E197&amp;$F197,Results!$A$2:$G$413,AB$1,FALSE))</f>
        <v/>
      </c>
      <c r="AC197" s="16"/>
      <c r="AD197" s="20" t="str">
        <f>IF(ISERROR(VLOOKUP($AB197&amp;"-"&amp;$F197,Bonuses!$B$1:$G$1000,4,FALSE)),"",INT(VLOOKUP($AB197&amp;"-"&amp;$F197,Bonuses!$B$1:$G$1000,4,FALSE)))</f>
        <v/>
      </c>
      <c r="AE197" s="16" t="str">
        <f>IF(ISERROR(VLOOKUP($AB197&amp;"-"&amp;$F197,Bonuses!$B$1:$G$1000,5,FALSE)),"",IF(VLOOKUP($AB197&amp;"-"&amp;$F197,Bonuses!$B$1:$G$1000,5,FALSE)="","",VLOOKUP($AB197&amp;"-"&amp;$F197,Bonuses!$B$1:$G$1000,6,FALSE)&amp;" yrs, "&amp;VLOOKUP($AB197&amp;"-"&amp;$F197,Bonuses!$B$1:$G$1000,5,FALSE)))</f>
        <v/>
      </c>
    </row>
    <row r="198" spans="1:31" s="21" customFormat="1">
      <c r="A198" s="21" t="s">
        <v>72</v>
      </c>
      <c r="B198" s="21">
        <f t="shared" si="12"/>
        <v>1</v>
      </c>
      <c r="C198" s="21" t="str">
        <f t="shared" si="13"/>
        <v>B</v>
      </c>
      <c r="D198" s="17">
        <f>IF($C198="B",VLOOKUP($A198,Bat!$A$4:$BD$2323,D$1,FALSE),VLOOKUP($A198,Pit!$A$4:$AZ$2261,D$2,FALSE))</f>
        <v>2949</v>
      </c>
      <c r="E198" s="16" t="str">
        <f>IF($C198="B",VLOOKUP($A198,Bat!$A$4:$BD$2323,E$1,FALSE),VLOOKUP($A198,Pit!$A$4:$AZ$2261,E$2,FALSE))</f>
        <v>CF</v>
      </c>
      <c r="F198" s="16" t="str">
        <f>IF($C198="B",VLOOKUP($A198,Bat!$A$4:$BD$2323,F$1,FALSE),VLOOKUP($A198,Pit!$A$4:$AZ$2261,F$2,FALSE))</f>
        <v>Bailey Jackson</v>
      </c>
      <c r="G198" s="16">
        <f>IF($C198="B",VLOOKUP($A198,Bat!$A$4:$BD$2323,G$1,FALSE),VLOOKUP($A198,Pit!$A$4:$AZ$2261,G$2,FALSE))</f>
        <v>21</v>
      </c>
      <c r="H198" s="16" t="str">
        <f>IF($C198="B",VLOOKUP($A198,Bat!$A$4:$BD$2323,H$1,FALSE),VLOOKUP($A198,Pit!$A$4:$AZ$2261,H$2,FALSE))</f>
        <v>S</v>
      </c>
      <c r="I198" s="16" t="str">
        <f>IF($C198="B",VLOOKUP($A198,Bat!$A$4:$BD$2323,I$1,FALSE),VLOOKUP($A198,Pit!$A$4:$AZ$2261,I$2,FALSE))</f>
        <v>L</v>
      </c>
      <c r="J198" s="16" t="str">
        <f>IF($C198="B",VLOOKUP($A198,Bat!$A$4:$BD$2323,J$1,FALSE),VLOOKUP($A198,Pit!$A$4:$AZ$2261,J$2,FALSE))</f>
        <v>High</v>
      </c>
      <c r="K198" s="17" t="str">
        <f>IF($C198="B",VLOOKUP($A198,Bat!$A$4:$BD$2323,K$1,FALSE),VLOOKUP($A198,Pit!$A$4:$AZ$2261,K$2,FALSE))</f>
        <v>Low</v>
      </c>
      <c r="L198" s="16">
        <f>IF($C198="B",VLOOKUP($A198,Bat!$A$4:$BD$2323,L$1,FALSE),VLOOKUP($A198,Pit!$A$4:$AZ$2261,L$2,FALSE))</f>
        <v>4</v>
      </c>
      <c r="M198" s="16">
        <f>IF($C198="B",VLOOKUP($A198,Bat!$A$4:$BD$2323,M$1,FALSE),VLOOKUP($A198,Pit!$A$4:$AZ$2261,M$2,FALSE))</f>
        <v>5</v>
      </c>
      <c r="N198" s="16">
        <f>IF($C198="B",VLOOKUP($A198,Bat!$A$4:$BD$2323,N$1,FALSE),VLOOKUP($A198,Pit!$A$4:$AZ$2261,N$2,FALSE))</f>
        <v>3</v>
      </c>
      <c r="O198" s="16">
        <f>IF($C198="B",VLOOKUP($A198,Bat!$A$4:$BD$2323,O$1,FALSE),VLOOKUP($A198,Pit!$A$4:$AZ$2261,O$2,FALSE))</f>
        <v>4</v>
      </c>
      <c r="P198" s="17">
        <f>IF($C198="B",VLOOKUP($A198,Bat!$A$4:$BD$2323,P$1,FALSE),VLOOKUP($A198,Pit!$A$4:$AZ$2261,P$2,FALSE))</f>
        <v>4</v>
      </c>
      <c r="Q198" s="18">
        <f>IF($C198="B",VLOOKUP($A198,Bat!$A$4:$BD$2323,Q$1,FALSE),VLOOKUP($A198,Pit!$A$4:$AZ$2261,Q$2,FALSE))</f>
        <v>6.2826831735928224</v>
      </c>
      <c r="R198" s="19">
        <f>IF($C198="B",VLOOKUP($A198,Bat!$A$4:$BD$2323,R$1,FALSE),VLOOKUP($A198,Pit!$A$4:$AZ$2261,R$2,FALSE))</f>
        <v>-0.60901714574557819</v>
      </c>
      <c r="S198" s="20" t="str">
        <f>IF($C198="B",VLOOKUP($A198,Bat!$A$4:$BD$2323,S$1,FALSE),VLOOKUP($A198,Pit!$A$4:$AZ$2261,S$2,FALSE))</f>
        <v>Slot</v>
      </c>
      <c r="T198" s="17" t="str">
        <f>IF(S198="Slot","",VLOOKUP(IF($C198="B",VLOOKUP($A198,Bat!$A$4:$AT$2323,T$1,FALSE),VLOOKUP($A198,Pit!$A$4:$BD$2261,T$2,FALSE)),COND!$A$34:$B$40,2,FALSE))</f>
        <v/>
      </c>
      <c r="U198" s="21" t="str">
        <f>IF($C198="B",VLOOKUP($A198,Bat!$A$4:$AR$1287,44,FALSE),VLOOKUP($A198,Pit!$A$4:$BB$1239,54,FALSE))</f>
        <v/>
      </c>
      <c r="W198" s="21" t="str">
        <f t="shared" si="14"/>
        <v/>
      </c>
      <c r="X198" s="22" t="e">
        <f t="shared" si="15"/>
        <v>#N/A</v>
      </c>
      <c r="Y198" s="16" t="str">
        <f>IF(ISERROR(VLOOKUP($E198&amp;$F198,Results!$A$2:$G$413,Y$1,FALSE)),"",VLOOKUP($E198&amp;$F198,Results!$A$2:$G$413,Y$1,FALSE))</f>
        <v/>
      </c>
      <c r="Z198" s="16" t="str">
        <f>IF(ISERROR(VLOOKUP($E198&amp;$F198,Results!$A$2:$G$413,Z$1,FALSE)),"",VLOOKUP($E198&amp;$F198,Results!$A$2:$G$413,Z$1,FALSE))</f>
        <v/>
      </c>
      <c r="AA198" s="16" t="str">
        <f>IF(ISERROR(VLOOKUP($E198&amp;$F198,Results!$A$2:$G$413,AA$1,FALSE)),"",VLOOKUP($E198&amp;$F198,Results!$A$2:$G$413,AA$1,FALSE))</f>
        <v/>
      </c>
      <c r="AB198" s="16" t="str">
        <f>IF(ISERROR(VLOOKUP($E198&amp;$F198,Results!$A$2:$G$413,AB$1,FALSE)),"",VLOOKUP($E198&amp;$F198,Results!$A$2:$G$413,AB$1,FALSE))</f>
        <v/>
      </c>
      <c r="AC198" s="16"/>
      <c r="AD198" s="20" t="str">
        <f>IF(ISERROR(VLOOKUP($AB198&amp;"-"&amp;$F198,Bonuses!$B$1:$G$1000,4,FALSE)),"",INT(VLOOKUP($AB198&amp;"-"&amp;$F198,Bonuses!$B$1:$G$1000,4,FALSE)))</f>
        <v/>
      </c>
      <c r="AE198" s="16" t="str">
        <f>IF(ISERROR(VLOOKUP($AB198&amp;"-"&amp;$F198,Bonuses!$B$1:$G$1000,5,FALSE)),"",IF(VLOOKUP($AB198&amp;"-"&amp;$F198,Bonuses!$B$1:$G$1000,5,FALSE)="","",VLOOKUP($AB198&amp;"-"&amp;$F198,Bonuses!$B$1:$G$1000,6,FALSE)&amp;" yrs, "&amp;VLOOKUP($AB198&amp;"-"&amp;$F198,Bonuses!$B$1:$G$1000,5,FALSE)))</f>
        <v/>
      </c>
    </row>
    <row r="199" spans="1:31" s="21" customFormat="1">
      <c r="A199" s="21" t="s">
        <v>895</v>
      </c>
      <c r="B199" s="21">
        <f t="shared" si="12"/>
        <v>1</v>
      </c>
      <c r="C199" s="21" t="str">
        <f t="shared" si="13"/>
        <v>B</v>
      </c>
      <c r="D199" s="17" t="e">
        <f>IF($C199="B",VLOOKUP($A199,Bat!$A$4:$BD$2323,D$1,FALSE),VLOOKUP($A199,Pit!$A$4:$AZ$2261,D$2,FALSE))</f>
        <v>#N/A</v>
      </c>
      <c r="E199" s="16" t="str">
        <f>IF($C199="B",VLOOKUP($A199,Bat!$A$4:$BD$2323,E$1,FALSE),VLOOKUP($A199,Pit!$A$4:$AZ$2261,E$2,FALSE))</f>
        <v>CF</v>
      </c>
      <c r="F199" s="16" t="str">
        <f>IF($C199="B",VLOOKUP($A199,Bat!$A$4:$BD$2323,F$1,FALSE),VLOOKUP($A199,Pit!$A$4:$AZ$2261,F$2,FALSE))</f>
        <v>Iván Cruz</v>
      </c>
      <c r="G199" s="16">
        <f>IF($C199="B",VLOOKUP($A199,Bat!$A$4:$BD$2323,G$1,FALSE),VLOOKUP($A199,Pit!$A$4:$AZ$2261,G$2,FALSE))</f>
        <v>18</v>
      </c>
      <c r="H199" s="16" t="str">
        <f>IF($C199="B",VLOOKUP($A199,Bat!$A$4:$BD$2323,H$1,FALSE),VLOOKUP($A199,Pit!$A$4:$AZ$2261,H$2,FALSE))</f>
        <v>R</v>
      </c>
      <c r="I199" s="16" t="str">
        <f>IF($C199="B",VLOOKUP($A199,Bat!$A$4:$BD$2323,I$1,FALSE),VLOOKUP($A199,Pit!$A$4:$AZ$2261,I$2,FALSE))</f>
        <v>R</v>
      </c>
      <c r="J199" s="16" t="str">
        <f>IF($C199="B",VLOOKUP($A199,Bat!$A$4:$BD$2323,J$1,FALSE),VLOOKUP($A199,Pit!$A$4:$AZ$2261,J$2,FALSE))</f>
        <v>Normal</v>
      </c>
      <c r="K199" s="17" t="str">
        <f>IF($C199="B",VLOOKUP($A199,Bat!$A$4:$BD$2323,K$1,FALSE),VLOOKUP($A199,Pit!$A$4:$AZ$2261,K$2,FALSE))</f>
        <v>Low</v>
      </c>
      <c r="L199" s="16">
        <f>IF($C199="B",VLOOKUP($A199,Bat!$A$4:$BD$2323,L$1,FALSE),VLOOKUP($A199,Pit!$A$4:$AZ$2261,L$2,FALSE))</f>
        <v>5</v>
      </c>
      <c r="M199" s="16">
        <f>IF($C199="B",VLOOKUP($A199,Bat!$A$4:$BD$2323,M$1,FALSE),VLOOKUP($A199,Pit!$A$4:$AZ$2261,M$2,FALSE))</f>
        <v>6</v>
      </c>
      <c r="N199" s="16">
        <f>IF($C199="B",VLOOKUP($A199,Bat!$A$4:$BD$2323,N$1,FALSE),VLOOKUP($A199,Pit!$A$4:$AZ$2261,N$2,FALSE))</f>
        <v>1</v>
      </c>
      <c r="O199" s="16">
        <f>IF($C199="B",VLOOKUP($A199,Bat!$A$4:$BD$2323,O$1,FALSE),VLOOKUP($A199,Pit!$A$4:$AZ$2261,O$2,FALSE))</f>
        <v>2</v>
      </c>
      <c r="P199" s="17">
        <f>IF($C199="B",VLOOKUP($A199,Bat!$A$4:$BD$2323,P$1,FALSE),VLOOKUP($A199,Pit!$A$4:$AZ$2261,P$2,FALSE))</f>
        <v>5</v>
      </c>
      <c r="Q199" s="18">
        <f>IF($C199="B",VLOOKUP($A199,Bat!$A$4:$BD$2323,Q$1,FALSE),VLOOKUP($A199,Pit!$A$4:$AZ$2261,Q$2,FALSE))</f>
        <v>6.2281232812338239</v>
      </c>
      <c r="R199" s="19">
        <f>IF($C199="B",VLOOKUP($A199,Bat!$A$4:$BD$2323,R$1,FALSE),VLOOKUP($A199,Pit!$A$4:$AZ$2261,R$2,FALSE))</f>
        <v>-0.61659680529327754</v>
      </c>
      <c r="S199" s="20" t="str">
        <f>IF($C199="B",VLOOKUP($A199,Bat!$A$4:$BD$2323,S$1,FALSE),VLOOKUP($A199,Pit!$A$4:$AZ$2261,S$2,FALSE))</f>
        <v>Slot</v>
      </c>
      <c r="T199" s="17" t="str">
        <f>IF(S199="Slot","",VLOOKUP(IF($C199="B",VLOOKUP($A199,Bat!$A$4:$AT$2323,T$1,FALSE),VLOOKUP($A199,Pit!$A$4:$BD$2261,T$2,FALSE)),COND!$A$34:$B$40,2,FALSE))</f>
        <v/>
      </c>
      <c r="U199" s="21" t="str">
        <f>IF($C199="B",VLOOKUP($A199,Bat!$A$4:$AR$1287,44,FALSE),VLOOKUP($A199,Pit!$A$4:$BB$1239,54,FALSE))</f>
        <v/>
      </c>
      <c r="W199" s="21" t="str">
        <f t="shared" si="14"/>
        <v/>
      </c>
      <c r="X199" s="22" t="e">
        <f t="shared" si="15"/>
        <v>#N/A</v>
      </c>
      <c r="Y199" s="16" t="str">
        <f>IF(ISERROR(VLOOKUP($E199&amp;$F199,Results!$A$2:$G$413,Y$1,FALSE)),"",VLOOKUP($E199&amp;$F199,Results!$A$2:$G$413,Y$1,FALSE))</f>
        <v/>
      </c>
      <c r="Z199" s="16" t="str">
        <f>IF(ISERROR(VLOOKUP($E199&amp;$F199,Results!$A$2:$G$413,Z$1,FALSE)),"",VLOOKUP($E199&amp;$F199,Results!$A$2:$G$413,Z$1,FALSE))</f>
        <v/>
      </c>
      <c r="AA199" s="16" t="str">
        <f>IF(ISERROR(VLOOKUP($E199&amp;$F199,Results!$A$2:$G$413,AA$1,FALSE)),"",VLOOKUP($E199&amp;$F199,Results!$A$2:$G$413,AA$1,FALSE))</f>
        <v/>
      </c>
      <c r="AB199" s="16" t="str">
        <f>IF(ISERROR(VLOOKUP($E199&amp;$F199,Results!$A$2:$G$413,AB$1,FALSE)),"",VLOOKUP($E199&amp;$F199,Results!$A$2:$G$413,AB$1,FALSE))</f>
        <v/>
      </c>
      <c r="AC199" s="16"/>
      <c r="AD199" s="20" t="str">
        <f>IF(ISERROR(VLOOKUP($AB199&amp;"-"&amp;$F199,Bonuses!$B$1:$G$1000,4,FALSE)),"",INT(VLOOKUP($AB199&amp;"-"&amp;$F199,Bonuses!$B$1:$G$1000,4,FALSE)))</f>
        <v/>
      </c>
      <c r="AE199" s="16" t="str">
        <f>IF(ISERROR(VLOOKUP($AB199&amp;"-"&amp;$F199,Bonuses!$B$1:$G$1000,5,FALSE)),"",IF(VLOOKUP($AB199&amp;"-"&amp;$F199,Bonuses!$B$1:$G$1000,5,FALSE)="","",VLOOKUP($AB199&amp;"-"&amp;$F199,Bonuses!$B$1:$G$1000,6,FALSE)&amp;" yrs, "&amp;VLOOKUP($AB199&amp;"-"&amp;$F199,Bonuses!$B$1:$G$1000,5,FALSE)))</f>
        <v/>
      </c>
    </row>
    <row r="200" spans="1:31" s="21" customFormat="1">
      <c r="A200" s="21" t="s">
        <v>863</v>
      </c>
      <c r="B200" s="21">
        <f t="shared" si="12"/>
        <v>1</v>
      </c>
      <c r="C200" s="21" t="str">
        <f t="shared" si="13"/>
        <v>B</v>
      </c>
      <c r="D200" s="17">
        <f>IF($C200="B",VLOOKUP($A200,Bat!$A$4:$BD$2323,D$1,FALSE),VLOOKUP($A200,Pit!$A$4:$AZ$2261,D$2,FALSE))</f>
        <v>6114</v>
      </c>
      <c r="E200" s="16" t="str">
        <f>IF($C200="B",VLOOKUP($A200,Bat!$A$4:$BD$2323,E$1,FALSE),VLOOKUP($A200,Pit!$A$4:$AZ$2261,E$2,FALSE))</f>
        <v>RF</v>
      </c>
      <c r="F200" s="16" t="str">
        <f>IF($C200="B",VLOOKUP($A200,Bat!$A$4:$BD$2323,F$1,FALSE),VLOOKUP($A200,Pit!$A$4:$AZ$2261,F$2,FALSE))</f>
        <v>Brian Snider</v>
      </c>
      <c r="G200" s="16">
        <f>IF($C200="B",VLOOKUP($A200,Bat!$A$4:$BD$2323,G$1,FALSE),VLOOKUP($A200,Pit!$A$4:$AZ$2261,G$2,FALSE))</f>
        <v>21</v>
      </c>
      <c r="H200" s="16" t="str">
        <f>IF($C200="B",VLOOKUP($A200,Bat!$A$4:$BD$2323,H$1,FALSE),VLOOKUP($A200,Pit!$A$4:$AZ$2261,H$2,FALSE))</f>
        <v>L</v>
      </c>
      <c r="I200" s="16" t="str">
        <f>IF($C200="B",VLOOKUP($A200,Bat!$A$4:$BD$2323,I$1,FALSE),VLOOKUP($A200,Pit!$A$4:$AZ$2261,I$2,FALSE))</f>
        <v>L</v>
      </c>
      <c r="J200" s="16" t="str">
        <f>IF($C200="B",VLOOKUP($A200,Bat!$A$4:$BD$2323,J$1,FALSE),VLOOKUP($A200,Pit!$A$4:$AZ$2261,J$2,FALSE))</f>
        <v>Very Low</v>
      </c>
      <c r="K200" s="17" t="str">
        <f>IF($C200="B",VLOOKUP($A200,Bat!$A$4:$BD$2323,K$1,FALSE),VLOOKUP($A200,Pit!$A$4:$AZ$2261,K$2,FALSE))</f>
        <v>High</v>
      </c>
      <c r="L200" s="16">
        <f>IF($C200="B",VLOOKUP($A200,Bat!$A$4:$BD$2323,L$1,FALSE),VLOOKUP($A200,Pit!$A$4:$AZ$2261,L$2,FALSE))</f>
        <v>4</v>
      </c>
      <c r="M200" s="16">
        <f>IF($C200="B",VLOOKUP($A200,Bat!$A$4:$BD$2323,M$1,FALSE),VLOOKUP($A200,Pit!$A$4:$AZ$2261,M$2,FALSE))</f>
        <v>6</v>
      </c>
      <c r="N200" s="16">
        <f>IF($C200="B",VLOOKUP($A200,Bat!$A$4:$BD$2323,N$1,FALSE),VLOOKUP($A200,Pit!$A$4:$AZ$2261,N$2,FALSE))</f>
        <v>2</v>
      </c>
      <c r="O200" s="16">
        <f>IF($C200="B",VLOOKUP($A200,Bat!$A$4:$BD$2323,O$1,FALSE),VLOOKUP($A200,Pit!$A$4:$AZ$2261,O$2,FALSE))</f>
        <v>4</v>
      </c>
      <c r="P200" s="17">
        <f>IF($C200="B",VLOOKUP($A200,Bat!$A$4:$BD$2323,P$1,FALSE),VLOOKUP($A200,Pit!$A$4:$AZ$2261,P$2,FALSE))</f>
        <v>4</v>
      </c>
      <c r="Q200" s="18">
        <f>IF($C200="B",VLOOKUP($A200,Bat!$A$4:$BD$2323,Q$1,FALSE),VLOOKUP($A200,Pit!$A$4:$AZ$2261,Q$2,FALSE))</f>
        <v>6.1834090443416487</v>
      </c>
      <c r="R200" s="19">
        <f>IF($C200="B",VLOOKUP($A200,Bat!$A$4:$BD$2323,R$1,FALSE),VLOOKUP($A200,Pit!$A$4:$AZ$2261,R$2,FALSE))</f>
        <v>-0.62280867041844712</v>
      </c>
      <c r="S200" s="20" t="str">
        <f>IF($C200="B",VLOOKUP($A200,Bat!$A$4:$BD$2323,S$1,FALSE),VLOOKUP($A200,Pit!$A$4:$AZ$2261,S$2,FALSE))</f>
        <v>Slot</v>
      </c>
      <c r="T200" s="17" t="str">
        <f>IF(S200="Slot","",VLOOKUP(IF($C200="B",VLOOKUP($A200,Bat!$A$4:$AT$2323,T$1,FALSE),VLOOKUP($A200,Pit!$A$4:$BD$2261,T$2,FALSE)),COND!$A$34:$B$40,2,FALSE))</f>
        <v/>
      </c>
      <c r="U200" s="21" t="str">
        <f>IF($C200="B",VLOOKUP($A200,Bat!$A$4:$AR$1287,44,FALSE),VLOOKUP($A200,Pit!$A$4:$BB$1239,54,FALSE))</f>
        <v/>
      </c>
      <c r="W200" s="21" t="str">
        <f t="shared" si="14"/>
        <v/>
      </c>
      <c r="X200" s="22" t="e">
        <f t="shared" si="15"/>
        <v>#N/A</v>
      </c>
      <c r="Y200" s="16" t="str">
        <f>IF(ISERROR(VLOOKUP($E200&amp;$F200,Results!$A$2:$G$413,Y$1,FALSE)),"",VLOOKUP($E200&amp;$F200,Results!$A$2:$G$413,Y$1,FALSE))</f>
        <v/>
      </c>
      <c r="Z200" s="16" t="str">
        <f>IF(ISERROR(VLOOKUP($E200&amp;$F200,Results!$A$2:$G$413,Z$1,FALSE)),"",VLOOKUP($E200&amp;$F200,Results!$A$2:$G$413,Z$1,FALSE))</f>
        <v/>
      </c>
      <c r="AA200" s="16" t="str">
        <f>IF(ISERROR(VLOOKUP($E200&amp;$F200,Results!$A$2:$G$413,AA$1,FALSE)),"",VLOOKUP($E200&amp;$F200,Results!$A$2:$G$413,AA$1,FALSE))</f>
        <v/>
      </c>
      <c r="AB200" s="16" t="str">
        <f>IF(ISERROR(VLOOKUP($E200&amp;$F200,Results!$A$2:$G$413,AB$1,FALSE)),"",VLOOKUP($E200&amp;$F200,Results!$A$2:$G$413,AB$1,FALSE))</f>
        <v/>
      </c>
      <c r="AC200" s="16"/>
      <c r="AD200" s="20" t="str">
        <f>IF(ISERROR(VLOOKUP($AB200&amp;"-"&amp;$F200,Bonuses!$B$1:$G$1000,4,FALSE)),"",INT(VLOOKUP($AB200&amp;"-"&amp;$F200,Bonuses!$B$1:$G$1000,4,FALSE)))</f>
        <v/>
      </c>
      <c r="AE200" s="16" t="str">
        <f>IF(ISERROR(VLOOKUP($AB200&amp;"-"&amp;$F200,Bonuses!$B$1:$G$1000,5,FALSE)),"",IF(VLOOKUP($AB200&amp;"-"&amp;$F200,Bonuses!$B$1:$G$1000,5,FALSE)="","",VLOOKUP($AB200&amp;"-"&amp;$F200,Bonuses!$B$1:$G$1000,6,FALSE)&amp;" yrs, "&amp;VLOOKUP($AB200&amp;"-"&amp;$F200,Bonuses!$B$1:$G$1000,5,FALSE)))</f>
        <v/>
      </c>
    </row>
    <row r="201" spans="1:31" s="21" customFormat="1">
      <c r="A201" s="21" t="s">
        <v>869</v>
      </c>
      <c r="B201" s="21">
        <f t="shared" si="12"/>
        <v>1</v>
      </c>
      <c r="C201" s="21" t="str">
        <f t="shared" si="13"/>
        <v>B</v>
      </c>
      <c r="D201" s="17">
        <f>IF($C201="B",VLOOKUP($A201,Bat!$A$4:$BD$2323,D$1,FALSE),VLOOKUP($A201,Pit!$A$4:$AZ$2261,D$2,FALSE))</f>
        <v>6516</v>
      </c>
      <c r="E201" s="16" t="str">
        <f>IF($C201="B",VLOOKUP($A201,Bat!$A$4:$BD$2323,E$1,FALSE),VLOOKUP($A201,Pit!$A$4:$AZ$2261,E$2,FALSE))</f>
        <v>LF</v>
      </c>
      <c r="F201" s="16" t="str">
        <f>IF($C201="B",VLOOKUP($A201,Bat!$A$4:$BD$2323,F$1,FALSE),VLOOKUP($A201,Pit!$A$4:$AZ$2261,F$2,FALSE))</f>
        <v>Jerry Crittenden</v>
      </c>
      <c r="G201" s="16">
        <f>IF($C201="B",VLOOKUP($A201,Bat!$A$4:$BD$2323,G$1,FALSE),VLOOKUP($A201,Pit!$A$4:$AZ$2261,G$2,FALSE))</f>
        <v>20</v>
      </c>
      <c r="H201" s="16" t="str">
        <f>IF($C201="B",VLOOKUP($A201,Bat!$A$4:$BD$2323,H$1,FALSE),VLOOKUP($A201,Pit!$A$4:$AZ$2261,H$2,FALSE))</f>
        <v>R</v>
      </c>
      <c r="I201" s="16" t="str">
        <f>IF($C201="B",VLOOKUP($A201,Bat!$A$4:$BD$2323,I$1,FALSE),VLOOKUP($A201,Pit!$A$4:$AZ$2261,I$2,FALSE))</f>
        <v>R</v>
      </c>
      <c r="J201" s="16" t="str">
        <f>IF($C201="B",VLOOKUP($A201,Bat!$A$4:$BD$2323,J$1,FALSE),VLOOKUP($A201,Pit!$A$4:$AZ$2261,J$2,FALSE))</f>
        <v>High</v>
      </c>
      <c r="K201" s="17" t="str">
        <f>IF($C201="B",VLOOKUP($A201,Bat!$A$4:$BD$2323,K$1,FALSE),VLOOKUP($A201,Pit!$A$4:$AZ$2261,K$2,FALSE))</f>
        <v>Very High</v>
      </c>
      <c r="L201" s="16">
        <f>IF($C201="B",VLOOKUP($A201,Bat!$A$4:$BD$2323,L$1,FALSE),VLOOKUP($A201,Pit!$A$4:$AZ$2261,L$2,FALSE))</f>
        <v>4</v>
      </c>
      <c r="M201" s="16">
        <f>IF($C201="B",VLOOKUP($A201,Bat!$A$4:$BD$2323,M$1,FALSE),VLOOKUP($A201,Pit!$A$4:$AZ$2261,M$2,FALSE))</f>
        <v>6</v>
      </c>
      <c r="N201" s="16">
        <f>IF($C201="B",VLOOKUP($A201,Bat!$A$4:$BD$2323,N$1,FALSE),VLOOKUP($A201,Pit!$A$4:$AZ$2261,N$2,FALSE))</f>
        <v>3</v>
      </c>
      <c r="O201" s="16">
        <f>IF($C201="B",VLOOKUP($A201,Bat!$A$4:$BD$2323,O$1,FALSE),VLOOKUP($A201,Pit!$A$4:$AZ$2261,O$2,FALSE))</f>
        <v>3</v>
      </c>
      <c r="P201" s="17">
        <f>IF($C201="B",VLOOKUP($A201,Bat!$A$4:$BD$2323,P$1,FALSE),VLOOKUP($A201,Pit!$A$4:$AZ$2261,P$2,FALSE))</f>
        <v>4</v>
      </c>
      <c r="Q201" s="18">
        <f>IF($C201="B",VLOOKUP($A201,Bat!$A$4:$BD$2323,Q$1,FALSE),VLOOKUP($A201,Pit!$A$4:$AZ$2261,Q$2,FALSE))</f>
        <v>5.9475817862501392</v>
      </c>
      <c r="R201" s="19">
        <f>IF($C201="B",VLOOKUP($A201,Bat!$A$4:$BD$2323,R$1,FALSE),VLOOKUP($A201,Pit!$A$4:$AZ$2261,R$2,FALSE))</f>
        <v>-0.65557065456312946</v>
      </c>
      <c r="S201" s="20">
        <f>IF($C201="B",VLOOKUP($A201,Bat!$A$4:$BD$2323,S$1,FALSE),VLOOKUP($A201,Pit!$A$4:$AZ$2261,S$2,FALSE))</f>
        <v>240000</v>
      </c>
      <c r="T201" s="17" t="str">
        <f>IF(S201="Slot","",VLOOKUP(IF($C201="B",VLOOKUP($A201,Bat!$A$4:$AT$2323,T$1,FALSE),VLOOKUP($A201,Pit!$A$4:$BD$2261,T$2,FALSE)),COND!$A$34:$B$40,2,FALSE))</f>
        <v>EH</v>
      </c>
      <c r="U201" s="21" t="str">
        <f>IF($C201="B",VLOOKUP($A201,Bat!$A$4:$AR$1287,44,FALSE),VLOOKUP($A201,Pit!$A$4:$BB$1239,54,FALSE))</f>
        <v/>
      </c>
      <c r="W201" s="21" t="str">
        <f t="shared" si="14"/>
        <v/>
      </c>
      <c r="X201" s="22" t="e">
        <f t="shared" si="15"/>
        <v>#N/A</v>
      </c>
      <c r="Y201" s="16" t="str">
        <f>IF(ISERROR(VLOOKUP($E201&amp;$F201,Results!$A$2:$G$413,Y$1,FALSE)),"",VLOOKUP($E201&amp;$F201,Results!$A$2:$G$413,Y$1,FALSE))</f>
        <v/>
      </c>
      <c r="Z201" s="16" t="str">
        <f>IF(ISERROR(VLOOKUP($E201&amp;$F201,Results!$A$2:$G$413,Z$1,FALSE)),"",VLOOKUP($E201&amp;$F201,Results!$A$2:$G$413,Z$1,FALSE))</f>
        <v/>
      </c>
      <c r="AA201" s="16" t="str">
        <f>IF(ISERROR(VLOOKUP($E201&amp;$F201,Results!$A$2:$G$413,AA$1,FALSE)),"",VLOOKUP($E201&amp;$F201,Results!$A$2:$G$413,AA$1,FALSE))</f>
        <v/>
      </c>
      <c r="AB201" s="16" t="str">
        <f>IF(ISERROR(VLOOKUP($E201&amp;$F201,Results!$A$2:$G$413,AB$1,FALSE)),"",VLOOKUP($E201&amp;$F201,Results!$A$2:$G$413,AB$1,FALSE))</f>
        <v/>
      </c>
      <c r="AC201" s="16"/>
      <c r="AD201" s="20" t="str">
        <f>IF(ISERROR(VLOOKUP($AB201&amp;"-"&amp;$F201,Bonuses!$B$1:$G$1000,4,FALSE)),"",INT(VLOOKUP($AB201&amp;"-"&amp;$F201,Bonuses!$B$1:$G$1000,4,FALSE)))</f>
        <v/>
      </c>
      <c r="AE201" s="16" t="str">
        <f>IF(ISERROR(VLOOKUP($AB201&amp;"-"&amp;$F201,Bonuses!$B$1:$G$1000,5,FALSE)),"",IF(VLOOKUP($AB201&amp;"-"&amp;$F201,Bonuses!$B$1:$G$1000,5,FALSE)="","",VLOOKUP($AB201&amp;"-"&amp;$F201,Bonuses!$B$1:$G$1000,6,FALSE)&amp;" yrs, "&amp;VLOOKUP($AB201&amp;"-"&amp;$F201,Bonuses!$B$1:$G$1000,5,FALSE)))</f>
        <v/>
      </c>
    </row>
    <row r="202" spans="1:31" s="21" customFormat="1">
      <c r="A202" s="21" t="s">
        <v>878</v>
      </c>
      <c r="B202" s="21">
        <f t="shared" si="12"/>
        <v>1</v>
      </c>
      <c r="C202" s="21" t="str">
        <f t="shared" si="13"/>
        <v>B</v>
      </c>
      <c r="D202" s="17" t="e">
        <f>IF($C202="B",VLOOKUP($A202,Bat!$A$4:$BD$2323,D$1,FALSE),VLOOKUP($A202,Pit!$A$4:$AZ$2261,D$2,FALSE))</f>
        <v>#N/A</v>
      </c>
      <c r="E202" s="16" t="e">
        <f>IF($C202="B",VLOOKUP($A202,Bat!$A$4:$BD$2323,E$1,FALSE),VLOOKUP($A202,Pit!$A$4:$AZ$2261,E$2,FALSE))</f>
        <v>#N/A</v>
      </c>
      <c r="F202" s="16" t="e">
        <f>IF($C202="B",VLOOKUP($A202,Bat!$A$4:$BD$2323,F$1,FALSE),VLOOKUP($A202,Pit!$A$4:$AZ$2261,F$2,FALSE))</f>
        <v>#N/A</v>
      </c>
      <c r="G202" s="16" t="e">
        <f>IF($C202="B",VLOOKUP($A202,Bat!$A$4:$BD$2323,G$1,FALSE),VLOOKUP($A202,Pit!$A$4:$AZ$2261,G$2,FALSE))</f>
        <v>#N/A</v>
      </c>
      <c r="H202" s="16" t="e">
        <f>IF($C202="B",VLOOKUP($A202,Bat!$A$4:$BD$2323,H$1,FALSE),VLOOKUP($A202,Pit!$A$4:$AZ$2261,H$2,FALSE))</f>
        <v>#N/A</v>
      </c>
      <c r="I202" s="16" t="e">
        <f>IF($C202="B",VLOOKUP($A202,Bat!$A$4:$BD$2323,I$1,FALSE),VLOOKUP($A202,Pit!$A$4:$AZ$2261,I$2,FALSE))</f>
        <v>#N/A</v>
      </c>
      <c r="J202" s="16" t="e">
        <f>IF($C202="B",VLOOKUP($A202,Bat!$A$4:$BD$2323,J$1,FALSE),VLOOKUP($A202,Pit!$A$4:$AZ$2261,J$2,FALSE))</f>
        <v>#N/A</v>
      </c>
      <c r="K202" s="17" t="e">
        <f>IF($C202="B",VLOOKUP($A202,Bat!$A$4:$BD$2323,K$1,FALSE),VLOOKUP($A202,Pit!$A$4:$AZ$2261,K$2,FALSE))</f>
        <v>#N/A</v>
      </c>
      <c r="L202" s="16" t="e">
        <f>IF($C202="B",VLOOKUP($A202,Bat!$A$4:$BD$2323,L$1,FALSE),VLOOKUP($A202,Pit!$A$4:$AZ$2261,L$2,FALSE))</f>
        <v>#N/A</v>
      </c>
      <c r="M202" s="16" t="e">
        <f>IF($C202="B",VLOOKUP($A202,Bat!$A$4:$BD$2323,M$1,FALSE),VLOOKUP($A202,Pit!$A$4:$AZ$2261,M$2,FALSE))</f>
        <v>#N/A</v>
      </c>
      <c r="N202" s="16" t="e">
        <f>IF($C202="B",VLOOKUP($A202,Bat!$A$4:$BD$2323,N$1,FALSE),VLOOKUP($A202,Pit!$A$4:$AZ$2261,N$2,FALSE))</f>
        <v>#N/A</v>
      </c>
      <c r="O202" s="16" t="e">
        <f>IF($C202="B",VLOOKUP($A202,Bat!$A$4:$BD$2323,O$1,FALSE),VLOOKUP($A202,Pit!$A$4:$AZ$2261,O$2,FALSE))</f>
        <v>#N/A</v>
      </c>
      <c r="P202" s="17" t="e">
        <f>IF($C202="B",VLOOKUP($A202,Bat!$A$4:$BD$2323,P$1,FALSE),VLOOKUP($A202,Pit!$A$4:$AZ$2261,P$2,FALSE))</f>
        <v>#N/A</v>
      </c>
      <c r="Q202" s="18" t="e">
        <f>IF($C202="B",VLOOKUP($A202,Bat!$A$4:$BD$2323,Q$1,FALSE),VLOOKUP($A202,Pit!$A$4:$AZ$2261,Q$2,FALSE))</f>
        <v>#N/A</v>
      </c>
      <c r="R202" s="19" t="e">
        <f>IF($C202="B",VLOOKUP($A202,Bat!$A$4:$BD$2323,R$1,FALSE),VLOOKUP($A202,Pit!$A$4:$AZ$2261,R$2,FALSE))</f>
        <v>#N/A</v>
      </c>
      <c r="S202" s="20" t="e">
        <f>IF($C202="B",VLOOKUP($A202,Bat!$A$4:$BD$2323,S$1,FALSE),VLOOKUP($A202,Pit!$A$4:$AZ$2261,S$2,FALSE))</f>
        <v>#N/A</v>
      </c>
      <c r="T202" s="17" t="e">
        <f>IF(S202="Slot","",VLOOKUP(IF($C202="B",VLOOKUP($A202,Bat!$A$4:$AT$2323,T$1,FALSE),VLOOKUP($A202,Pit!$A$4:$BD$2261,T$2,FALSE)),COND!$A$34:$B$40,2,FALSE))</f>
        <v>#N/A</v>
      </c>
      <c r="U202" s="21" t="e">
        <f>IF($C202="B",VLOOKUP($A202,Bat!$A$4:$AR$1287,44,FALSE),VLOOKUP($A202,Pit!$A$4:$BB$1239,54,FALSE))</f>
        <v>#N/A</v>
      </c>
      <c r="W202" s="21" t="e">
        <f t="shared" si="14"/>
        <v>#N/A</v>
      </c>
      <c r="X202" s="22" t="e">
        <f t="shared" si="15"/>
        <v>#N/A</v>
      </c>
      <c r="Y202" s="16" t="str">
        <f>IF(ISERROR(VLOOKUP($E202&amp;$F202,Results!$A$2:$G$413,Y$1,FALSE)),"",VLOOKUP($E202&amp;$F202,Results!$A$2:$G$413,Y$1,FALSE))</f>
        <v/>
      </c>
      <c r="Z202" s="16" t="str">
        <f>IF(ISERROR(VLOOKUP($E202&amp;$F202,Results!$A$2:$G$413,Z$1,FALSE)),"",VLOOKUP($E202&amp;$F202,Results!$A$2:$G$413,Z$1,FALSE))</f>
        <v/>
      </c>
      <c r="AA202" s="16" t="str">
        <f>IF(ISERROR(VLOOKUP($E202&amp;$F202,Results!$A$2:$G$413,AA$1,FALSE)),"",VLOOKUP($E202&amp;$F202,Results!$A$2:$G$413,AA$1,FALSE))</f>
        <v/>
      </c>
      <c r="AB202" s="16" t="str">
        <f>IF(ISERROR(VLOOKUP($E202&amp;$F202,Results!$A$2:$G$413,AB$1,FALSE)),"",VLOOKUP($E202&amp;$F202,Results!$A$2:$G$413,AB$1,FALSE))</f>
        <v/>
      </c>
      <c r="AC202" s="16"/>
      <c r="AD202" s="20" t="str">
        <f>IF(ISERROR(VLOOKUP($AB202&amp;"-"&amp;$F202,Bonuses!$B$1:$G$1000,4,FALSE)),"",INT(VLOOKUP($AB202&amp;"-"&amp;$F202,Bonuses!$B$1:$G$1000,4,FALSE)))</f>
        <v/>
      </c>
      <c r="AE202" s="16" t="str">
        <f>IF(ISERROR(VLOOKUP($AB202&amp;"-"&amp;$F202,Bonuses!$B$1:$G$1000,5,FALSE)),"",IF(VLOOKUP($AB202&amp;"-"&amp;$F202,Bonuses!$B$1:$G$1000,5,FALSE)="","",VLOOKUP($AB202&amp;"-"&amp;$F202,Bonuses!$B$1:$G$1000,6,FALSE)&amp;" yrs, "&amp;VLOOKUP($AB202&amp;"-"&amp;$F202,Bonuses!$B$1:$G$1000,5,FALSE)))</f>
        <v/>
      </c>
    </row>
    <row r="203" spans="1:31" s="21" customFormat="1">
      <c r="A203" s="21" t="s">
        <v>743</v>
      </c>
      <c r="B203" s="21">
        <f t="shared" si="12"/>
        <v>1</v>
      </c>
      <c r="C203" s="21" t="str">
        <f t="shared" si="13"/>
        <v>B</v>
      </c>
      <c r="D203" s="17">
        <f>IF($C203="B",VLOOKUP($A203,Bat!$A$4:$BD$2323,D$1,FALSE),VLOOKUP($A203,Pit!$A$4:$AZ$2261,D$2,FALSE))</f>
        <v>13754</v>
      </c>
      <c r="E203" s="16" t="str">
        <f>IF($C203="B",VLOOKUP($A203,Bat!$A$4:$BD$2323,E$1,FALSE),VLOOKUP($A203,Pit!$A$4:$AZ$2261,E$2,FALSE))</f>
        <v>SS</v>
      </c>
      <c r="F203" s="16" t="str">
        <f>IF($C203="B",VLOOKUP($A203,Bat!$A$4:$BD$2323,F$1,FALSE),VLOOKUP($A203,Pit!$A$4:$AZ$2261,F$2,FALSE))</f>
        <v>Bobby O'Brien</v>
      </c>
      <c r="G203" s="16">
        <f>IF($C203="B",VLOOKUP($A203,Bat!$A$4:$BD$2323,G$1,FALSE),VLOOKUP($A203,Pit!$A$4:$AZ$2261,G$2,FALSE))</f>
        <v>18</v>
      </c>
      <c r="H203" s="16" t="str">
        <f>IF($C203="B",VLOOKUP($A203,Bat!$A$4:$BD$2323,H$1,FALSE),VLOOKUP($A203,Pit!$A$4:$AZ$2261,H$2,FALSE))</f>
        <v>R</v>
      </c>
      <c r="I203" s="16" t="str">
        <f>IF($C203="B",VLOOKUP($A203,Bat!$A$4:$BD$2323,I$1,FALSE),VLOOKUP($A203,Pit!$A$4:$AZ$2261,I$2,FALSE))</f>
        <v>R</v>
      </c>
      <c r="J203" s="16" t="str">
        <f>IF($C203="B",VLOOKUP($A203,Bat!$A$4:$BD$2323,J$1,FALSE),VLOOKUP($A203,Pit!$A$4:$AZ$2261,J$2,FALSE))</f>
        <v>Very Low</v>
      </c>
      <c r="K203" s="17" t="str">
        <f>IF($C203="B",VLOOKUP($A203,Bat!$A$4:$BD$2323,K$1,FALSE),VLOOKUP($A203,Pit!$A$4:$AZ$2261,K$2,FALSE))</f>
        <v>Very Low</v>
      </c>
      <c r="L203" s="16">
        <f>IF($C203="B",VLOOKUP($A203,Bat!$A$4:$BD$2323,L$1,FALSE),VLOOKUP($A203,Pit!$A$4:$AZ$2261,L$2,FALSE))</f>
        <v>5</v>
      </c>
      <c r="M203" s="16">
        <f>IF($C203="B",VLOOKUP($A203,Bat!$A$4:$BD$2323,M$1,FALSE),VLOOKUP($A203,Pit!$A$4:$AZ$2261,M$2,FALSE))</f>
        <v>5</v>
      </c>
      <c r="N203" s="16">
        <f>IF($C203="B",VLOOKUP($A203,Bat!$A$4:$BD$2323,N$1,FALSE),VLOOKUP($A203,Pit!$A$4:$AZ$2261,N$2,FALSE))</f>
        <v>1</v>
      </c>
      <c r="O203" s="16">
        <f>IF($C203="B",VLOOKUP($A203,Bat!$A$4:$BD$2323,O$1,FALSE),VLOOKUP($A203,Pit!$A$4:$AZ$2261,O$2,FALSE))</f>
        <v>3</v>
      </c>
      <c r="P203" s="17">
        <f>IF($C203="B",VLOOKUP($A203,Bat!$A$4:$BD$2323,P$1,FALSE),VLOOKUP($A203,Pit!$A$4:$AZ$2261,P$2,FALSE))</f>
        <v>5</v>
      </c>
      <c r="Q203" s="18">
        <f>IF($C203="B",VLOOKUP($A203,Bat!$A$4:$BD$2323,Q$1,FALSE),VLOOKUP($A203,Pit!$A$4:$AZ$2261,Q$2,FALSE))</f>
        <v>5.7919193259243542</v>
      </c>
      <c r="R203" s="19">
        <f>IF($C203="B",VLOOKUP($A203,Bat!$A$4:$BD$2323,R$1,FALSE),VLOOKUP($A203,Pit!$A$4:$AZ$2261,R$2,FALSE))</f>
        <v>-0.67719585216915301</v>
      </c>
      <c r="S203" s="20" t="str">
        <f>IF($C203="B",VLOOKUP($A203,Bat!$A$4:$BD$2323,S$1,FALSE),VLOOKUP($A203,Pit!$A$4:$AZ$2261,S$2,FALSE))</f>
        <v>Slot</v>
      </c>
      <c r="T203" s="17" t="str">
        <f>IF(S203="Slot","",VLOOKUP(IF($C203="B",VLOOKUP($A203,Bat!$A$4:$AT$2323,T$1,FALSE),VLOOKUP($A203,Pit!$A$4:$BD$2261,T$2,FALSE)),COND!$A$34:$B$40,2,FALSE))</f>
        <v/>
      </c>
      <c r="U203" s="21" t="str">
        <f>IF($C203="B",VLOOKUP($A203,Bat!$A$4:$AR$1287,44,FALSE),VLOOKUP($A203,Pit!$A$4:$BB$1239,54,FALSE))</f>
        <v/>
      </c>
      <c r="W203" s="21" t="str">
        <f t="shared" si="14"/>
        <v/>
      </c>
      <c r="X203" s="22" t="e">
        <f t="shared" si="15"/>
        <v>#N/A</v>
      </c>
      <c r="Y203" s="16" t="str">
        <f>IF(ISERROR(VLOOKUP($E203&amp;$F203,Results!$A$2:$G$413,Y$1,FALSE)),"",VLOOKUP($E203&amp;$F203,Results!$A$2:$G$413,Y$1,FALSE))</f>
        <v/>
      </c>
      <c r="Z203" s="16" t="str">
        <f>IF(ISERROR(VLOOKUP($E203&amp;$F203,Results!$A$2:$G$413,Z$1,FALSE)),"",VLOOKUP($E203&amp;$F203,Results!$A$2:$G$413,Z$1,FALSE))</f>
        <v/>
      </c>
      <c r="AA203" s="16" t="str">
        <f>IF(ISERROR(VLOOKUP($E203&amp;$F203,Results!$A$2:$G$413,AA$1,FALSE)),"",VLOOKUP($E203&amp;$F203,Results!$A$2:$G$413,AA$1,FALSE))</f>
        <v/>
      </c>
      <c r="AB203" s="16" t="str">
        <f>IF(ISERROR(VLOOKUP($E203&amp;$F203,Results!$A$2:$G$413,AB$1,FALSE)),"",VLOOKUP($E203&amp;$F203,Results!$A$2:$G$413,AB$1,FALSE))</f>
        <v/>
      </c>
      <c r="AC203" s="16"/>
      <c r="AD203" s="20" t="str">
        <f>IF(ISERROR(VLOOKUP($AB203&amp;"-"&amp;$F203,Bonuses!$B$1:$G$1000,4,FALSE)),"",INT(VLOOKUP($AB203&amp;"-"&amp;$F203,Bonuses!$B$1:$G$1000,4,FALSE)))</f>
        <v/>
      </c>
      <c r="AE203" s="16" t="str">
        <f>IF(ISERROR(VLOOKUP($AB203&amp;"-"&amp;$F203,Bonuses!$B$1:$G$1000,5,FALSE)),"",IF(VLOOKUP($AB203&amp;"-"&amp;$F203,Bonuses!$B$1:$G$1000,5,FALSE)="","",VLOOKUP($AB203&amp;"-"&amp;$F203,Bonuses!$B$1:$G$1000,6,FALSE)&amp;" yrs, "&amp;VLOOKUP($AB203&amp;"-"&amp;$F203,Bonuses!$B$1:$G$1000,5,FALSE)))</f>
        <v/>
      </c>
    </row>
    <row r="204" spans="1:31" s="21" customFormat="1">
      <c r="A204" s="21" t="s">
        <v>850</v>
      </c>
      <c r="B204" s="21">
        <f t="shared" si="12"/>
        <v>1</v>
      </c>
      <c r="C204" s="21" t="str">
        <f t="shared" si="13"/>
        <v>B</v>
      </c>
      <c r="D204" s="17" t="e">
        <f>IF($C204="B",VLOOKUP($A204,Bat!$A$4:$BD$2323,D$1,FALSE),VLOOKUP($A204,Pit!$A$4:$AZ$2261,D$2,FALSE))</f>
        <v>#N/A</v>
      </c>
      <c r="E204" s="16" t="e">
        <f>IF($C204="B",VLOOKUP($A204,Bat!$A$4:$BD$2323,E$1,FALSE),VLOOKUP($A204,Pit!$A$4:$AZ$2261,E$2,FALSE))</f>
        <v>#N/A</v>
      </c>
      <c r="F204" s="16" t="e">
        <f>IF($C204="B",VLOOKUP($A204,Bat!$A$4:$BD$2323,F$1,FALSE),VLOOKUP($A204,Pit!$A$4:$AZ$2261,F$2,FALSE))</f>
        <v>#N/A</v>
      </c>
      <c r="G204" s="16" t="e">
        <f>IF($C204="B",VLOOKUP($A204,Bat!$A$4:$BD$2323,G$1,FALSE),VLOOKUP($A204,Pit!$A$4:$AZ$2261,G$2,FALSE))</f>
        <v>#N/A</v>
      </c>
      <c r="H204" s="16" t="e">
        <f>IF($C204="B",VLOOKUP($A204,Bat!$A$4:$BD$2323,H$1,FALSE),VLOOKUP($A204,Pit!$A$4:$AZ$2261,H$2,FALSE))</f>
        <v>#N/A</v>
      </c>
      <c r="I204" s="16" t="e">
        <f>IF($C204="B",VLOOKUP($A204,Bat!$A$4:$BD$2323,I$1,FALSE),VLOOKUP($A204,Pit!$A$4:$AZ$2261,I$2,FALSE))</f>
        <v>#N/A</v>
      </c>
      <c r="J204" s="16" t="e">
        <f>IF($C204="B",VLOOKUP($A204,Bat!$A$4:$BD$2323,J$1,FALSE),VLOOKUP($A204,Pit!$A$4:$AZ$2261,J$2,FALSE))</f>
        <v>#N/A</v>
      </c>
      <c r="K204" s="17" t="e">
        <f>IF($C204="B",VLOOKUP($A204,Bat!$A$4:$BD$2323,K$1,FALSE),VLOOKUP($A204,Pit!$A$4:$AZ$2261,K$2,FALSE))</f>
        <v>#N/A</v>
      </c>
      <c r="L204" s="16" t="e">
        <f>IF($C204="B",VLOOKUP($A204,Bat!$A$4:$BD$2323,L$1,FALSE),VLOOKUP($A204,Pit!$A$4:$AZ$2261,L$2,FALSE))</f>
        <v>#N/A</v>
      </c>
      <c r="M204" s="16" t="e">
        <f>IF($C204="B",VLOOKUP($A204,Bat!$A$4:$BD$2323,M$1,FALSE),VLOOKUP($A204,Pit!$A$4:$AZ$2261,M$2,FALSE))</f>
        <v>#N/A</v>
      </c>
      <c r="N204" s="16" t="e">
        <f>IF($C204="B",VLOOKUP($A204,Bat!$A$4:$BD$2323,N$1,FALSE),VLOOKUP($A204,Pit!$A$4:$AZ$2261,N$2,FALSE))</f>
        <v>#N/A</v>
      </c>
      <c r="O204" s="16" t="e">
        <f>IF($C204="B",VLOOKUP($A204,Bat!$A$4:$BD$2323,O$1,FALSE),VLOOKUP($A204,Pit!$A$4:$AZ$2261,O$2,FALSE))</f>
        <v>#N/A</v>
      </c>
      <c r="P204" s="17" t="e">
        <f>IF($C204="B",VLOOKUP($A204,Bat!$A$4:$BD$2323,P$1,FALSE),VLOOKUP($A204,Pit!$A$4:$AZ$2261,P$2,FALSE))</f>
        <v>#N/A</v>
      </c>
      <c r="Q204" s="18" t="e">
        <f>IF($C204="B",VLOOKUP($A204,Bat!$A$4:$BD$2323,Q$1,FALSE),VLOOKUP($A204,Pit!$A$4:$AZ$2261,Q$2,FALSE))</f>
        <v>#N/A</v>
      </c>
      <c r="R204" s="19" t="e">
        <f>IF($C204="B",VLOOKUP($A204,Bat!$A$4:$BD$2323,R$1,FALSE),VLOOKUP($A204,Pit!$A$4:$AZ$2261,R$2,FALSE))</f>
        <v>#N/A</v>
      </c>
      <c r="S204" s="20" t="e">
        <f>IF($C204="B",VLOOKUP($A204,Bat!$A$4:$BD$2323,S$1,FALSE),VLOOKUP($A204,Pit!$A$4:$AZ$2261,S$2,FALSE))</f>
        <v>#N/A</v>
      </c>
      <c r="T204" s="17" t="e">
        <f>IF(S204="Slot","",VLOOKUP(IF($C204="B",VLOOKUP($A204,Bat!$A$4:$AT$2323,T$1,FALSE),VLOOKUP($A204,Pit!$A$4:$BD$2261,T$2,FALSE)),COND!$A$34:$B$40,2,FALSE))</f>
        <v>#N/A</v>
      </c>
      <c r="U204" s="21" t="e">
        <f>IF($C204="B",VLOOKUP($A204,Bat!$A$4:$AR$1287,44,FALSE),VLOOKUP($A204,Pit!$A$4:$BB$1239,54,FALSE))</f>
        <v>#N/A</v>
      </c>
      <c r="W204" s="21" t="e">
        <f t="shared" si="14"/>
        <v>#N/A</v>
      </c>
      <c r="X204" s="22" t="e">
        <f t="shared" si="15"/>
        <v>#N/A</v>
      </c>
      <c r="Y204" s="16" t="str">
        <f>IF(ISERROR(VLOOKUP($E204&amp;$F204,Results!$A$2:$G$413,Y$1,FALSE)),"",VLOOKUP($E204&amp;$F204,Results!$A$2:$G$413,Y$1,FALSE))</f>
        <v/>
      </c>
      <c r="Z204" s="16" t="str">
        <f>IF(ISERROR(VLOOKUP($E204&amp;$F204,Results!$A$2:$G$413,Z$1,FALSE)),"",VLOOKUP($E204&amp;$F204,Results!$A$2:$G$413,Z$1,FALSE))</f>
        <v/>
      </c>
      <c r="AA204" s="16" t="str">
        <f>IF(ISERROR(VLOOKUP($E204&amp;$F204,Results!$A$2:$G$413,AA$1,FALSE)),"",VLOOKUP($E204&amp;$F204,Results!$A$2:$G$413,AA$1,FALSE))</f>
        <v/>
      </c>
      <c r="AB204" s="16" t="str">
        <f>IF(ISERROR(VLOOKUP($E204&amp;$F204,Results!$A$2:$G$413,AB$1,FALSE)),"",VLOOKUP($E204&amp;$F204,Results!$A$2:$G$413,AB$1,FALSE))</f>
        <v/>
      </c>
      <c r="AC204" s="16"/>
      <c r="AD204" s="20" t="str">
        <f>IF(ISERROR(VLOOKUP($AB204&amp;"-"&amp;$F204,Bonuses!$B$1:$G$1000,4,FALSE)),"",INT(VLOOKUP($AB204&amp;"-"&amp;$F204,Bonuses!$B$1:$G$1000,4,FALSE)))</f>
        <v/>
      </c>
      <c r="AE204" s="16" t="str">
        <f>IF(ISERROR(VLOOKUP($AB204&amp;"-"&amp;$F204,Bonuses!$B$1:$G$1000,5,FALSE)),"",IF(VLOOKUP($AB204&amp;"-"&amp;$F204,Bonuses!$B$1:$G$1000,5,FALSE)="","",VLOOKUP($AB204&amp;"-"&amp;$F204,Bonuses!$B$1:$G$1000,6,FALSE)&amp;" yrs, "&amp;VLOOKUP($AB204&amp;"-"&amp;$F204,Bonuses!$B$1:$G$1000,5,FALSE)))</f>
        <v/>
      </c>
    </row>
    <row r="205" spans="1:31" s="21" customFormat="1">
      <c r="A205" s="21" t="s">
        <v>872</v>
      </c>
      <c r="B205" s="21">
        <f t="shared" si="12"/>
        <v>1</v>
      </c>
      <c r="C205" s="21" t="str">
        <f t="shared" si="13"/>
        <v>B</v>
      </c>
      <c r="D205" s="17">
        <f>IF($C205="B",VLOOKUP($A205,Bat!$A$4:$BD$2323,D$1,FALSE),VLOOKUP($A205,Pit!$A$4:$AZ$2261,D$2,FALSE))</f>
        <v>13833</v>
      </c>
      <c r="E205" s="16" t="str">
        <f>IF($C205="B",VLOOKUP($A205,Bat!$A$4:$BD$2323,E$1,FALSE),VLOOKUP($A205,Pit!$A$4:$AZ$2261,E$2,FALSE))</f>
        <v>2B</v>
      </c>
      <c r="F205" s="16" t="str">
        <f>IF($C205="B",VLOOKUP($A205,Bat!$A$4:$BD$2323,F$1,FALSE),VLOOKUP($A205,Pit!$A$4:$AZ$2261,F$2,FALSE))</f>
        <v>Dennis Normand</v>
      </c>
      <c r="G205" s="16">
        <f>IF($C205="B",VLOOKUP($A205,Bat!$A$4:$BD$2323,G$1,FALSE),VLOOKUP($A205,Pit!$A$4:$AZ$2261,G$2,FALSE))</f>
        <v>18</v>
      </c>
      <c r="H205" s="16" t="str">
        <f>IF($C205="B",VLOOKUP($A205,Bat!$A$4:$BD$2323,H$1,FALSE),VLOOKUP($A205,Pit!$A$4:$AZ$2261,H$2,FALSE))</f>
        <v>R</v>
      </c>
      <c r="I205" s="16" t="str">
        <f>IF($C205="B",VLOOKUP($A205,Bat!$A$4:$BD$2323,I$1,FALSE),VLOOKUP($A205,Pit!$A$4:$AZ$2261,I$2,FALSE))</f>
        <v>R</v>
      </c>
      <c r="J205" s="16" t="str">
        <f>IF($C205="B",VLOOKUP($A205,Bat!$A$4:$BD$2323,J$1,FALSE),VLOOKUP($A205,Pit!$A$4:$AZ$2261,J$2,FALSE))</f>
        <v>High</v>
      </c>
      <c r="K205" s="17" t="str">
        <f>IF($C205="B",VLOOKUP($A205,Bat!$A$4:$BD$2323,K$1,FALSE),VLOOKUP($A205,Pit!$A$4:$AZ$2261,K$2,FALSE))</f>
        <v>High</v>
      </c>
      <c r="L205" s="16">
        <f>IF($C205="B",VLOOKUP($A205,Bat!$A$4:$BD$2323,L$1,FALSE),VLOOKUP($A205,Pit!$A$4:$AZ$2261,L$2,FALSE))</f>
        <v>4</v>
      </c>
      <c r="M205" s="16">
        <f>IF($C205="B",VLOOKUP($A205,Bat!$A$4:$BD$2323,M$1,FALSE),VLOOKUP($A205,Pit!$A$4:$AZ$2261,M$2,FALSE))</f>
        <v>5</v>
      </c>
      <c r="N205" s="16">
        <f>IF($C205="B",VLOOKUP($A205,Bat!$A$4:$BD$2323,N$1,FALSE),VLOOKUP($A205,Pit!$A$4:$AZ$2261,N$2,FALSE))</f>
        <v>2</v>
      </c>
      <c r="O205" s="16">
        <f>IF($C205="B",VLOOKUP($A205,Bat!$A$4:$BD$2323,O$1,FALSE),VLOOKUP($A205,Pit!$A$4:$AZ$2261,O$2,FALSE))</f>
        <v>4</v>
      </c>
      <c r="P205" s="17">
        <f>IF($C205="B",VLOOKUP($A205,Bat!$A$4:$BD$2323,P$1,FALSE),VLOOKUP($A205,Pit!$A$4:$AZ$2261,P$2,FALSE))</f>
        <v>4</v>
      </c>
      <c r="Q205" s="18">
        <f>IF($C205="B",VLOOKUP($A205,Bat!$A$4:$BD$2323,Q$1,FALSE),VLOOKUP($A205,Pit!$A$4:$AZ$2261,Q$2,FALSE))</f>
        <v>5.7091997541271748</v>
      </c>
      <c r="R205" s="19">
        <f>IF($C205="B",VLOOKUP($A205,Bat!$A$4:$BD$2323,R$1,FALSE),VLOOKUP($A205,Pit!$A$4:$AZ$2261,R$2,FALSE))</f>
        <v>-0.68868755724856545</v>
      </c>
      <c r="S205" s="20" t="str">
        <f>IF($C205="B",VLOOKUP($A205,Bat!$A$4:$BD$2323,S$1,FALSE),VLOOKUP($A205,Pit!$A$4:$AZ$2261,S$2,FALSE))</f>
        <v>Slot</v>
      </c>
      <c r="T205" s="17" t="str">
        <f>IF(S205="Slot","",VLOOKUP(IF($C205="B",VLOOKUP($A205,Bat!$A$4:$AT$2323,T$1,FALSE),VLOOKUP($A205,Pit!$A$4:$BD$2261,T$2,FALSE)),COND!$A$34:$B$40,2,FALSE))</f>
        <v/>
      </c>
      <c r="U205" s="21" t="str">
        <f>IF($C205="B",VLOOKUP($A205,Bat!$A$4:$AR$1287,44,FALSE),VLOOKUP($A205,Pit!$A$4:$BB$1239,54,FALSE))</f>
        <v/>
      </c>
      <c r="W205" s="21" t="str">
        <f t="shared" si="14"/>
        <v/>
      </c>
      <c r="X205" s="22" t="e">
        <f t="shared" si="15"/>
        <v>#N/A</v>
      </c>
      <c r="Y205" s="16" t="str">
        <f>IF(ISERROR(VLOOKUP($E205&amp;$F205,Results!$A$2:$G$413,Y$1,FALSE)),"",VLOOKUP($E205&amp;$F205,Results!$A$2:$G$413,Y$1,FALSE))</f>
        <v/>
      </c>
      <c r="Z205" s="16" t="str">
        <f>IF(ISERROR(VLOOKUP($E205&amp;$F205,Results!$A$2:$G$413,Z$1,FALSE)),"",VLOOKUP($E205&amp;$F205,Results!$A$2:$G$413,Z$1,FALSE))</f>
        <v/>
      </c>
      <c r="AA205" s="16" t="str">
        <f>IF(ISERROR(VLOOKUP($E205&amp;$F205,Results!$A$2:$G$413,AA$1,FALSE)),"",VLOOKUP($E205&amp;$F205,Results!$A$2:$G$413,AA$1,FALSE))</f>
        <v/>
      </c>
      <c r="AB205" s="16" t="str">
        <f>IF(ISERROR(VLOOKUP($E205&amp;$F205,Results!$A$2:$G$413,AB$1,FALSE)),"",VLOOKUP($E205&amp;$F205,Results!$A$2:$G$413,AB$1,FALSE))</f>
        <v/>
      </c>
      <c r="AC205" s="16"/>
      <c r="AD205" s="20" t="str">
        <f>IF(ISERROR(VLOOKUP($AB205&amp;"-"&amp;$F205,Bonuses!$B$1:$G$1000,4,FALSE)),"",INT(VLOOKUP($AB205&amp;"-"&amp;$F205,Bonuses!$B$1:$G$1000,4,FALSE)))</f>
        <v/>
      </c>
      <c r="AE205" s="16" t="str">
        <f>IF(ISERROR(VLOOKUP($AB205&amp;"-"&amp;$F205,Bonuses!$B$1:$G$1000,5,FALSE)),"",IF(VLOOKUP($AB205&amp;"-"&amp;$F205,Bonuses!$B$1:$G$1000,5,FALSE)="","",VLOOKUP($AB205&amp;"-"&amp;$F205,Bonuses!$B$1:$G$1000,6,FALSE)&amp;" yrs, "&amp;VLOOKUP($AB205&amp;"-"&amp;$F205,Bonuses!$B$1:$G$1000,5,FALSE)))</f>
        <v/>
      </c>
    </row>
    <row r="206" spans="1:31" s="21" customFormat="1">
      <c r="A206" s="21" t="s">
        <v>437</v>
      </c>
      <c r="B206" s="21">
        <f t="shared" si="12"/>
        <v>1</v>
      </c>
      <c r="C206" s="21" t="str">
        <f t="shared" si="13"/>
        <v>B</v>
      </c>
      <c r="D206" s="17">
        <f>IF($C206="B",VLOOKUP($A206,Bat!$A$4:$BD$2323,D$1,FALSE),VLOOKUP($A206,Pit!$A$4:$AZ$2261,D$2,FALSE))</f>
        <v>8261</v>
      </c>
      <c r="E206" s="16" t="str">
        <f>IF($C206="B",VLOOKUP($A206,Bat!$A$4:$BD$2323,E$1,FALSE),VLOOKUP($A206,Pit!$A$4:$AZ$2261,E$2,FALSE))</f>
        <v>C</v>
      </c>
      <c r="F206" s="16" t="str">
        <f>IF($C206="B",VLOOKUP($A206,Bat!$A$4:$BD$2323,F$1,FALSE),VLOOKUP($A206,Pit!$A$4:$AZ$2261,F$2,FALSE))</f>
        <v>Luis Ortega</v>
      </c>
      <c r="G206" s="16">
        <f>IF($C206="B",VLOOKUP($A206,Bat!$A$4:$BD$2323,G$1,FALSE),VLOOKUP($A206,Pit!$A$4:$AZ$2261,G$2,FALSE))</f>
        <v>21</v>
      </c>
      <c r="H206" s="16" t="str">
        <f>IF($C206="B",VLOOKUP($A206,Bat!$A$4:$BD$2323,H$1,FALSE),VLOOKUP($A206,Pit!$A$4:$AZ$2261,H$2,FALSE))</f>
        <v>R</v>
      </c>
      <c r="I206" s="16" t="str">
        <f>IF($C206="B",VLOOKUP($A206,Bat!$A$4:$BD$2323,I$1,FALSE),VLOOKUP($A206,Pit!$A$4:$AZ$2261,I$2,FALSE))</f>
        <v>R</v>
      </c>
      <c r="J206" s="16" t="str">
        <f>IF($C206="B",VLOOKUP($A206,Bat!$A$4:$BD$2323,J$1,FALSE),VLOOKUP($A206,Pit!$A$4:$AZ$2261,J$2,FALSE))</f>
        <v>Very Low</v>
      </c>
      <c r="K206" s="17" t="str">
        <f>IF($C206="B",VLOOKUP($A206,Bat!$A$4:$BD$2323,K$1,FALSE),VLOOKUP($A206,Pit!$A$4:$AZ$2261,K$2,FALSE))</f>
        <v>High</v>
      </c>
      <c r="L206" s="16">
        <f>IF($C206="B",VLOOKUP($A206,Bat!$A$4:$BD$2323,L$1,FALSE),VLOOKUP($A206,Pit!$A$4:$AZ$2261,L$2,FALSE))</f>
        <v>4</v>
      </c>
      <c r="M206" s="16">
        <f>IF($C206="B",VLOOKUP($A206,Bat!$A$4:$BD$2323,M$1,FALSE),VLOOKUP($A206,Pit!$A$4:$AZ$2261,M$2,FALSE))</f>
        <v>5</v>
      </c>
      <c r="N206" s="16">
        <f>IF($C206="B",VLOOKUP($A206,Bat!$A$4:$BD$2323,N$1,FALSE),VLOOKUP($A206,Pit!$A$4:$AZ$2261,N$2,FALSE))</f>
        <v>3</v>
      </c>
      <c r="O206" s="16">
        <f>IF($C206="B",VLOOKUP($A206,Bat!$A$4:$BD$2323,O$1,FALSE),VLOOKUP($A206,Pit!$A$4:$AZ$2261,O$2,FALSE))</f>
        <v>3</v>
      </c>
      <c r="P206" s="17">
        <f>IF($C206="B",VLOOKUP($A206,Bat!$A$4:$BD$2323,P$1,FALSE),VLOOKUP($A206,Pit!$A$4:$AZ$2261,P$2,FALSE))</f>
        <v>4</v>
      </c>
      <c r="Q206" s="18">
        <f>IF($C206="B",VLOOKUP($A206,Bat!$A$4:$BD$2323,Q$1,FALSE),VLOOKUP($A206,Pit!$A$4:$AZ$2261,Q$2,FALSE))</f>
        <v>5.6595863739899723</v>
      </c>
      <c r="R206" s="19">
        <f>IF($C206="B",VLOOKUP($A206,Bat!$A$4:$BD$2323,R$1,FALSE),VLOOKUP($A206,Pit!$A$4:$AZ$2261,R$2,FALSE))</f>
        <v>-0.6955800292493568</v>
      </c>
      <c r="S206" s="20" t="str">
        <f>IF($C206="B",VLOOKUP($A206,Bat!$A$4:$BD$2323,S$1,FALSE),VLOOKUP($A206,Pit!$A$4:$AZ$2261,S$2,FALSE))</f>
        <v>Slot</v>
      </c>
      <c r="T206" s="17" t="str">
        <f>IF(S206="Slot","",VLOOKUP(IF($C206="B",VLOOKUP($A206,Bat!$A$4:$AT$2323,T$1,FALSE),VLOOKUP($A206,Pit!$A$4:$BD$2261,T$2,FALSE)),COND!$A$34:$B$40,2,FALSE))</f>
        <v/>
      </c>
      <c r="U206" s="21" t="str">
        <f>IF($C206="B",VLOOKUP($A206,Bat!$A$4:$AR$1287,44,FALSE),VLOOKUP($A206,Pit!$A$4:$BB$1239,54,FALSE))</f>
        <v/>
      </c>
      <c r="W206" s="21" t="str">
        <f t="shared" si="14"/>
        <v/>
      </c>
      <c r="X206" s="22" t="e">
        <f t="shared" si="15"/>
        <v>#N/A</v>
      </c>
      <c r="Y206" s="16" t="str">
        <f>IF(ISERROR(VLOOKUP($E206&amp;$F206,Results!$A$2:$G$413,Y$1,FALSE)),"",VLOOKUP($E206&amp;$F206,Results!$A$2:$G$413,Y$1,FALSE))</f>
        <v/>
      </c>
      <c r="Z206" s="16" t="str">
        <f>IF(ISERROR(VLOOKUP($E206&amp;$F206,Results!$A$2:$G$413,Z$1,FALSE)),"",VLOOKUP($E206&amp;$F206,Results!$A$2:$G$413,Z$1,FALSE))</f>
        <v/>
      </c>
      <c r="AA206" s="16" t="str">
        <f>IF(ISERROR(VLOOKUP($E206&amp;$F206,Results!$A$2:$G$413,AA$1,FALSE)),"",VLOOKUP($E206&amp;$F206,Results!$A$2:$G$413,AA$1,FALSE))</f>
        <v/>
      </c>
      <c r="AB206" s="16" t="str">
        <f>IF(ISERROR(VLOOKUP($E206&amp;$F206,Results!$A$2:$G$413,AB$1,FALSE)),"",VLOOKUP($E206&amp;$F206,Results!$A$2:$G$413,AB$1,FALSE))</f>
        <v/>
      </c>
      <c r="AC206" s="16"/>
      <c r="AD206" s="20" t="str">
        <f>IF(ISERROR(VLOOKUP($AB206&amp;"-"&amp;$F206,Bonuses!$B$1:$G$1000,4,FALSE)),"",INT(VLOOKUP($AB206&amp;"-"&amp;$F206,Bonuses!$B$1:$G$1000,4,FALSE)))</f>
        <v/>
      </c>
      <c r="AE206" s="16" t="str">
        <f>IF(ISERROR(VLOOKUP($AB206&amp;"-"&amp;$F206,Bonuses!$B$1:$G$1000,5,FALSE)),"",IF(VLOOKUP($AB206&amp;"-"&amp;$F206,Bonuses!$B$1:$G$1000,5,FALSE)="","",VLOOKUP($AB206&amp;"-"&amp;$F206,Bonuses!$B$1:$G$1000,6,FALSE)&amp;" yrs, "&amp;VLOOKUP($AB206&amp;"-"&amp;$F206,Bonuses!$B$1:$G$1000,5,FALSE)))</f>
        <v/>
      </c>
    </row>
    <row r="207" spans="1:31" s="21" customFormat="1">
      <c r="A207" s="21" t="s">
        <v>898</v>
      </c>
      <c r="B207" s="21">
        <f t="shared" si="12"/>
        <v>1</v>
      </c>
      <c r="C207" s="21" t="str">
        <f t="shared" si="13"/>
        <v>B</v>
      </c>
      <c r="D207" s="17">
        <f>IF($C207="B",VLOOKUP($A207,Bat!$A$4:$BD$2323,D$1,FALSE),VLOOKUP($A207,Pit!$A$4:$AZ$2261,D$2,FALSE))</f>
        <v>13792</v>
      </c>
      <c r="E207" s="16" t="str">
        <f>IF($C207="B",VLOOKUP($A207,Bat!$A$4:$BD$2323,E$1,FALSE),VLOOKUP($A207,Pit!$A$4:$AZ$2261,E$2,FALSE))</f>
        <v>1B</v>
      </c>
      <c r="F207" s="16" t="str">
        <f>IF($C207="B",VLOOKUP($A207,Bat!$A$4:$BD$2323,F$1,FALSE),VLOOKUP($A207,Pit!$A$4:$AZ$2261,F$2,FALSE))</f>
        <v>Bob Wright</v>
      </c>
      <c r="G207" s="16">
        <f>IF($C207="B",VLOOKUP($A207,Bat!$A$4:$BD$2323,G$1,FALSE),VLOOKUP($A207,Pit!$A$4:$AZ$2261,G$2,FALSE))</f>
        <v>18</v>
      </c>
      <c r="H207" s="16" t="str">
        <f>IF($C207="B",VLOOKUP($A207,Bat!$A$4:$BD$2323,H$1,FALSE),VLOOKUP($A207,Pit!$A$4:$AZ$2261,H$2,FALSE))</f>
        <v>R</v>
      </c>
      <c r="I207" s="16" t="str">
        <f>IF($C207="B",VLOOKUP($A207,Bat!$A$4:$BD$2323,I$1,FALSE),VLOOKUP($A207,Pit!$A$4:$AZ$2261,I$2,FALSE))</f>
        <v>R</v>
      </c>
      <c r="J207" s="16" t="str">
        <f>IF($C207="B",VLOOKUP($A207,Bat!$A$4:$BD$2323,J$1,FALSE),VLOOKUP($A207,Pit!$A$4:$AZ$2261,J$2,FALSE))</f>
        <v>Very Low</v>
      </c>
      <c r="K207" s="17" t="str">
        <f>IF($C207="B",VLOOKUP($A207,Bat!$A$4:$BD$2323,K$1,FALSE),VLOOKUP($A207,Pit!$A$4:$AZ$2261,K$2,FALSE))</f>
        <v>Normal</v>
      </c>
      <c r="L207" s="16">
        <f>IF($C207="B",VLOOKUP($A207,Bat!$A$4:$BD$2323,L$1,FALSE),VLOOKUP($A207,Pit!$A$4:$AZ$2261,L$2,FALSE))</f>
        <v>4</v>
      </c>
      <c r="M207" s="16">
        <f>IF($C207="B",VLOOKUP($A207,Bat!$A$4:$BD$2323,M$1,FALSE),VLOOKUP($A207,Pit!$A$4:$AZ$2261,M$2,FALSE))</f>
        <v>7</v>
      </c>
      <c r="N207" s="16">
        <f>IF($C207="B",VLOOKUP($A207,Bat!$A$4:$BD$2323,N$1,FALSE),VLOOKUP($A207,Pit!$A$4:$AZ$2261,N$2,FALSE))</f>
        <v>1</v>
      </c>
      <c r="O207" s="16">
        <f>IF($C207="B",VLOOKUP($A207,Bat!$A$4:$BD$2323,O$1,FALSE),VLOOKUP($A207,Pit!$A$4:$AZ$2261,O$2,FALSE))</f>
        <v>5</v>
      </c>
      <c r="P207" s="17">
        <f>IF($C207="B",VLOOKUP($A207,Bat!$A$4:$BD$2323,P$1,FALSE),VLOOKUP($A207,Pit!$A$4:$AZ$2261,P$2,FALSE))</f>
        <v>4</v>
      </c>
      <c r="Q207" s="18">
        <f>IF($C207="B",VLOOKUP($A207,Bat!$A$4:$BD$2323,Q$1,FALSE),VLOOKUP($A207,Pit!$A$4:$AZ$2261,Q$2,FALSE))</f>
        <v>5.6528528580994184</v>
      </c>
      <c r="R207" s="19">
        <f>IF($C207="B",VLOOKUP($A207,Bat!$A$4:$BD$2323,R$1,FALSE),VLOOKUP($A207,Pit!$A$4:$AZ$2261,R$2,FALSE))</f>
        <v>-0.69651547387365331</v>
      </c>
      <c r="S207" s="20">
        <f>IF($C207="B",VLOOKUP($A207,Bat!$A$4:$BD$2323,S$1,FALSE),VLOOKUP($A207,Pit!$A$4:$AZ$2261,S$2,FALSE))</f>
        <v>2200000</v>
      </c>
      <c r="T207" s="17" t="str">
        <f>IF(S207="Slot","",VLOOKUP(IF($C207="B",VLOOKUP($A207,Bat!$A$4:$AT$2323,T$1,FALSE),VLOOKUP($A207,Pit!$A$4:$BD$2261,T$2,FALSE)),COND!$A$34:$B$40,2,FALSE))</f>
        <v>EH</v>
      </c>
      <c r="U207" s="21" t="str">
        <f>IF($C207="B",VLOOKUP($A207,Bat!$A$4:$AR$1287,44,FALSE),VLOOKUP($A207,Pit!$A$4:$BB$1239,54,FALSE))</f>
        <v/>
      </c>
      <c r="W207" s="21" t="str">
        <f t="shared" si="14"/>
        <v/>
      </c>
      <c r="X207" s="22" t="e">
        <f t="shared" si="15"/>
        <v>#N/A</v>
      </c>
      <c r="Y207" s="16" t="str">
        <f>IF(ISERROR(VLOOKUP($E207&amp;$F207,Results!$A$2:$G$413,Y$1,FALSE)),"",VLOOKUP($E207&amp;$F207,Results!$A$2:$G$413,Y$1,FALSE))</f>
        <v/>
      </c>
      <c r="Z207" s="16" t="str">
        <f>IF(ISERROR(VLOOKUP($E207&amp;$F207,Results!$A$2:$G$413,Z$1,FALSE)),"",VLOOKUP($E207&amp;$F207,Results!$A$2:$G$413,Z$1,FALSE))</f>
        <v/>
      </c>
      <c r="AA207" s="16" t="str">
        <f>IF(ISERROR(VLOOKUP($E207&amp;$F207,Results!$A$2:$G$413,AA$1,FALSE)),"",VLOOKUP($E207&amp;$F207,Results!$A$2:$G$413,AA$1,FALSE))</f>
        <v/>
      </c>
      <c r="AB207" s="16" t="str">
        <f>IF(ISERROR(VLOOKUP($E207&amp;$F207,Results!$A$2:$G$413,AB$1,FALSE)),"",VLOOKUP($E207&amp;$F207,Results!$A$2:$G$413,AB$1,FALSE))</f>
        <v/>
      </c>
      <c r="AC207" s="16"/>
      <c r="AD207" s="20" t="str">
        <f>IF(ISERROR(VLOOKUP($AB207&amp;"-"&amp;$F207,Bonuses!$B$1:$G$1000,4,FALSE)),"",INT(VLOOKUP($AB207&amp;"-"&amp;$F207,Bonuses!$B$1:$G$1000,4,FALSE)))</f>
        <v/>
      </c>
      <c r="AE207" s="16" t="str">
        <f>IF(ISERROR(VLOOKUP($AB207&amp;"-"&amp;$F207,Bonuses!$B$1:$G$1000,5,FALSE)),"",IF(VLOOKUP($AB207&amp;"-"&amp;$F207,Bonuses!$B$1:$G$1000,5,FALSE)="","",VLOOKUP($AB207&amp;"-"&amp;$F207,Bonuses!$B$1:$G$1000,6,FALSE)&amp;" yrs, "&amp;VLOOKUP($AB207&amp;"-"&amp;$F207,Bonuses!$B$1:$G$1000,5,FALSE)))</f>
        <v/>
      </c>
    </row>
    <row r="208" spans="1:31" s="21" customFormat="1">
      <c r="A208" s="21" t="s">
        <v>882</v>
      </c>
      <c r="B208" s="21">
        <f t="shared" si="12"/>
        <v>1</v>
      </c>
      <c r="C208" s="21" t="str">
        <f t="shared" si="13"/>
        <v>B</v>
      </c>
      <c r="D208" s="17" t="e">
        <f>IF($C208="B",VLOOKUP($A208,Bat!$A$4:$BD$2323,D$1,FALSE),VLOOKUP($A208,Pit!$A$4:$AZ$2261,D$2,FALSE))</f>
        <v>#N/A</v>
      </c>
      <c r="E208" s="16" t="e">
        <f>IF($C208="B",VLOOKUP($A208,Bat!$A$4:$BD$2323,E$1,FALSE),VLOOKUP($A208,Pit!$A$4:$AZ$2261,E$2,FALSE))</f>
        <v>#N/A</v>
      </c>
      <c r="F208" s="16" t="e">
        <f>IF($C208="B",VLOOKUP($A208,Bat!$A$4:$BD$2323,F$1,FALSE),VLOOKUP($A208,Pit!$A$4:$AZ$2261,F$2,FALSE))</f>
        <v>#N/A</v>
      </c>
      <c r="G208" s="16" t="e">
        <f>IF($C208="B",VLOOKUP($A208,Bat!$A$4:$BD$2323,G$1,FALSE),VLOOKUP($A208,Pit!$A$4:$AZ$2261,G$2,FALSE))</f>
        <v>#N/A</v>
      </c>
      <c r="H208" s="16" t="e">
        <f>IF($C208="B",VLOOKUP($A208,Bat!$A$4:$BD$2323,H$1,FALSE),VLOOKUP($A208,Pit!$A$4:$AZ$2261,H$2,FALSE))</f>
        <v>#N/A</v>
      </c>
      <c r="I208" s="16" t="e">
        <f>IF($C208="B",VLOOKUP($A208,Bat!$A$4:$BD$2323,I$1,FALSE),VLOOKUP($A208,Pit!$A$4:$AZ$2261,I$2,FALSE))</f>
        <v>#N/A</v>
      </c>
      <c r="J208" s="16" t="e">
        <f>IF($C208="B",VLOOKUP($A208,Bat!$A$4:$BD$2323,J$1,FALSE),VLOOKUP($A208,Pit!$A$4:$AZ$2261,J$2,FALSE))</f>
        <v>#N/A</v>
      </c>
      <c r="K208" s="17" t="e">
        <f>IF($C208="B",VLOOKUP($A208,Bat!$A$4:$BD$2323,K$1,FALSE),VLOOKUP($A208,Pit!$A$4:$AZ$2261,K$2,FALSE))</f>
        <v>#N/A</v>
      </c>
      <c r="L208" s="16" t="e">
        <f>IF($C208="B",VLOOKUP($A208,Bat!$A$4:$BD$2323,L$1,FALSE),VLOOKUP($A208,Pit!$A$4:$AZ$2261,L$2,FALSE))</f>
        <v>#N/A</v>
      </c>
      <c r="M208" s="16" t="e">
        <f>IF($C208="B",VLOOKUP($A208,Bat!$A$4:$BD$2323,M$1,FALSE),VLOOKUP($A208,Pit!$A$4:$AZ$2261,M$2,FALSE))</f>
        <v>#N/A</v>
      </c>
      <c r="N208" s="16" t="e">
        <f>IF($C208="B",VLOOKUP($A208,Bat!$A$4:$BD$2323,N$1,FALSE),VLOOKUP($A208,Pit!$A$4:$AZ$2261,N$2,FALSE))</f>
        <v>#N/A</v>
      </c>
      <c r="O208" s="16" t="e">
        <f>IF($C208="B",VLOOKUP($A208,Bat!$A$4:$BD$2323,O$1,FALSE),VLOOKUP($A208,Pit!$A$4:$AZ$2261,O$2,FALSE))</f>
        <v>#N/A</v>
      </c>
      <c r="P208" s="17" t="e">
        <f>IF($C208="B",VLOOKUP($A208,Bat!$A$4:$BD$2323,P$1,FALSE),VLOOKUP($A208,Pit!$A$4:$AZ$2261,P$2,FALSE))</f>
        <v>#N/A</v>
      </c>
      <c r="Q208" s="18" t="e">
        <f>IF($C208="B",VLOOKUP($A208,Bat!$A$4:$BD$2323,Q$1,FALSE),VLOOKUP($A208,Pit!$A$4:$AZ$2261,Q$2,FALSE))</f>
        <v>#N/A</v>
      </c>
      <c r="R208" s="19" t="e">
        <f>IF($C208="B",VLOOKUP($A208,Bat!$A$4:$BD$2323,R$1,FALSE),VLOOKUP($A208,Pit!$A$4:$AZ$2261,R$2,FALSE))</f>
        <v>#N/A</v>
      </c>
      <c r="S208" s="20" t="e">
        <f>IF($C208="B",VLOOKUP($A208,Bat!$A$4:$BD$2323,S$1,FALSE),VLOOKUP($A208,Pit!$A$4:$AZ$2261,S$2,FALSE))</f>
        <v>#N/A</v>
      </c>
      <c r="T208" s="17" t="e">
        <f>IF(S208="Slot","",VLOOKUP(IF($C208="B",VLOOKUP($A208,Bat!$A$4:$AT$2323,T$1,FALSE),VLOOKUP($A208,Pit!$A$4:$BD$2261,T$2,FALSE)),COND!$A$34:$B$40,2,FALSE))</f>
        <v>#N/A</v>
      </c>
      <c r="U208" s="21" t="e">
        <f>IF($C208="B",VLOOKUP($A208,Bat!$A$4:$AR$1287,44,FALSE),VLOOKUP($A208,Pit!$A$4:$BB$1239,54,FALSE))</f>
        <v>#N/A</v>
      </c>
      <c r="W208" s="21" t="e">
        <f t="shared" si="14"/>
        <v>#N/A</v>
      </c>
      <c r="X208" s="22" t="e">
        <f t="shared" si="15"/>
        <v>#N/A</v>
      </c>
      <c r="Y208" s="16" t="str">
        <f>IF(ISERROR(VLOOKUP($E208&amp;$F208,Results!$A$2:$G$413,Y$1,FALSE)),"",VLOOKUP($E208&amp;$F208,Results!$A$2:$G$413,Y$1,FALSE))</f>
        <v/>
      </c>
      <c r="Z208" s="16" t="str">
        <f>IF(ISERROR(VLOOKUP($E208&amp;$F208,Results!$A$2:$G$413,Z$1,FALSE)),"",VLOOKUP($E208&amp;$F208,Results!$A$2:$G$413,Z$1,FALSE))</f>
        <v/>
      </c>
      <c r="AA208" s="16" t="str">
        <f>IF(ISERROR(VLOOKUP($E208&amp;$F208,Results!$A$2:$G$413,AA$1,FALSE)),"",VLOOKUP($E208&amp;$F208,Results!$A$2:$G$413,AA$1,FALSE))</f>
        <v/>
      </c>
      <c r="AB208" s="16" t="str">
        <f>IF(ISERROR(VLOOKUP($E208&amp;$F208,Results!$A$2:$G$413,AB$1,FALSE)),"",VLOOKUP($E208&amp;$F208,Results!$A$2:$G$413,AB$1,FALSE))</f>
        <v/>
      </c>
      <c r="AC208" s="16"/>
      <c r="AD208" s="20" t="str">
        <f>IF(ISERROR(VLOOKUP($AB208&amp;"-"&amp;$F208,Bonuses!$B$1:$G$1000,4,FALSE)),"",INT(VLOOKUP($AB208&amp;"-"&amp;$F208,Bonuses!$B$1:$G$1000,4,FALSE)))</f>
        <v/>
      </c>
      <c r="AE208" s="16" t="str">
        <f>IF(ISERROR(VLOOKUP($AB208&amp;"-"&amp;$F208,Bonuses!$B$1:$G$1000,5,FALSE)),"",IF(VLOOKUP($AB208&amp;"-"&amp;$F208,Bonuses!$B$1:$G$1000,5,FALSE)="","",VLOOKUP($AB208&amp;"-"&amp;$F208,Bonuses!$B$1:$G$1000,6,FALSE)&amp;" yrs, "&amp;VLOOKUP($AB208&amp;"-"&amp;$F208,Bonuses!$B$1:$G$1000,5,FALSE)))</f>
        <v/>
      </c>
    </row>
    <row r="209" spans="1:31" s="21" customFormat="1">
      <c r="A209" s="21" t="s">
        <v>439</v>
      </c>
      <c r="B209" s="21">
        <f t="shared" si="12"/>
        <v>1</v>
      </c>
      <c r="C209" s="21" t="str">
        <f t="shared" si="13"/>
        <v>B</v>
      </c>
      <c r="D209" s="17" t="e">
        <f>IF($C209="B",VLOOKUP($A209,Bat!$A$4:$BD$2323,D$1,FALSE),VLOOKUP($A209,Pit!$A$4:$AZ$2261,D$2,FALSE))</f>
        <v>#N/A</v>
      </c>
      <c r="E209" s="16" t="str">
        <f>IF($C209="B",VLOOKUP($A209,Bat!$A$4:$BD$2323,E$1,FALSE),VLOOKUP($A209,Pit!$A$4:$AZ$2261,E$2,FALSE))</f>
        <v>C</v>
      </c>
      <c r="F209" s="16" t="str">
        <f>IF($C209="B",VLOOKUP($A209,Bat!$A$4:$BD$2323,F$1,FALSE),VLOOKUP($A209,Pit!$A$4:$AZ$2261,F$2,FALSE))</f>
        <v>Joaquín Pérez</v>
      </c>
      <c r="G209" s="16">
        <f>IF($C209="B",VLOOKUP($A209,Bat!$A$4:$BD$2323,G$1,FALSE),VLOOKUP($A209,Pit!$A$4:$AZ$2261,G$2,FALSE))</f>
        <v>20</v>
      </c>
      <c r="H209" s="16" t="str">
        <f>IF($C209="B",VLOOKUP($A209,Bat!$A$4:$BD$2323,H$1,FALSE),VLOOKUP($A209,Pit!$A$4:$AZ$2261,H$2,FALSE))</f>
        <v>L</v>
      </c>
      <c r="I209" s="16" t="str">
        <f>IF($C209="B",VLOOKUP($A209,Bat!$A$4:$BD$2323,I$1,FALSE),VLOOKUP($A209,Pit!$A$4:$AZ$2261,I$2,FALSE))</f>
        <v>R</v>
      </c>
      <c r="J209" s="16" t="str">
        <f>IF($C209="B",VLOOKUP($A209,Bat!$A$4:$BD$2323,J$1,FALSE),VLOOKUP($A209,Pit!$A$4:$AZ$2261,J$2,FALSE))</f>
        <v>Low</v>
      </c>
      <c r="K209" s="17" t="str">
        <f>IF($C209="B",VLOOKUP($A209,Bat!$A$4:$BD$2323,K$1,FALSE),VLOOKUP($A209,Pit!$A$4:$AZ$2261,K$2,FALSE))</f>
        <v>High</v>
      </c>
      <c r="L209" s="16">
        <f>IF($C209="B",VLOOKUP($A209,Bat!$A$4:$BD$2323,L$1,FALSE),VLOOKUP($A209,Pit!$A$4:$AZ$2261,L$2,FALSE))</f>
        <v>4</v>
      </c>
      <c r="M209" s="16">
        <f>IF($C209="B",VLOOKUP($A209,Bat!$A$4:$BD$2323,M$1,FALSE),VLOOKUP($A209,Pit!$A$4:$AZ$2261,M$2,FALSE))</f>
        <v>5</v>
      </c>
      <c r="N209" s="16">
        <f>IF($C209="B",VLOOKUP($A209,Bat!$A$4:$BD$2323,N$1,FALSE),VLOOKUP($A209,Pit!$A$4:$AZ$2261,N$2,FALSE))</f>
        <v>2</v>
      </c>
      <c r="O209" s="16">
        <f>IF($C209="B",VLOOKUP($A209,Bat!$A$4:$BD$2323,O$1,FALSE),VLOOKUP($A209,Pit!$A$4:$AZ$2261,O$2,FALSE))</f>
        <v>4</v>
      </c>
      <c r="P209" s="17">
        <f>IF($C209="B",VLOOKUP($A209,Bat!$A$4:$BD$2323,P$1,FALSE),VLOOKUP($A209,Pit!$A$4:$AZ$2261,P$2,FALSE))</f>
        <v>4</v>
      </c>
      <c r="Q209" s="18">
        <f>IF($C209="B",VLOOKUP($A209,Bat!$A$4:$BD$2323,Q$1,FALSE),VLOOKUP($A209,Pit!$A$4:$AZ$2261,Q$2,FALSE))</f>
        <v>5.5334886730137454</v>
      </c>
      <c r="R209" s="19">
        <f>IF($C209="B",VLOOKUP($A209,Bat!$A$4:$BD$2323,R$1,FALSE),VLOOKUP($A209,Pit!$A$4:$AZ$2261,R$2,FALSE))</f>
        <v>-0.71309798248977896</v>
      </c>
      <c r="S209" s="20">
        <f>IF($C209="B",VLOOKUP($A209,Bat!$A$4:$BD$2323,S$1,FALSE),VLOOKUP($A209,Pit!$A$4:$AZ$2261,S$2,FALSE))</f>
        <v>240000</v>
      </c>
      <c r="T209" s="17" t="str">
        <f>IF(S209="Slot","",VLOOKUP(IF($C209="B",VLOOKUP($A209,Bat!$A$4:$AT$2323,T$1,FALSE),VLOOKUP($A209,Pit!$A$4:$BD$2261,T$2,FALSE)),COND!$A$34:$B$40,2,FALSE))</f>
        <v>EH</v>
      </c>
      <c r="U209" s="21" t="str">
        <f>IF($C209="B",VLOOKUP($A209,Bat!$A$4:$AR$1287,44,FALSE),VLOOKUP($A209,Pit!$A$4:$BB$1239,54,FALSE))</f>
        <v/>
      </c>
      <c r="W209" s="21" t="str">
        <f t="shared" si="14"/>
        <v/>
      </c>
      <c r="X209" s="22" t="e">
        <f t="shared" si="15"/>
        <v>#N/A</v>
      </c>
      <c r="Y209" s="16" t="str">
        <f>IF(ISERROR(VLOOKUP($E209&amp;$F209,Results!$A$2:$G$413,Y$1,FALSE)),"",VLOOKUP($E209&amp;$F209,Results!$A$2:$G$413,Y$1,FALSE))</f>
        <v/>
      </c>
      <c r="Z209" s="16" t="str">
        <f>IF(ISERROR(VLOOKUP($E209&amp;$F209,Results!$A$2:$G$413,Z$1,FALSE)),"",VLOOKUP($E209&amp;$F209,Results!$A$2:$G$413,Z$1,FALSE))</f>
        <v/>
      </c>
      <c r="AA209" s="16" t="str">
        <f>IF(ISERROR(VLOOKUP($E209&amp;$F209,Results!$A$2:$G$413,AA$1,FALSE)),"",VLOOKUP($E209&amp;$F209,Results!$A$2:$G$413,AA$1,FALSE))</f>
        <v/>
      </c>
      <c r="AB209" s="16" t="str">
        <f>IF(ISERROR(VLOOKUP($E209&amp;$F209,Results!$A$2:$G$413,AB$1,FALSE)),"",VLOOKUP($E209&amp;$F209,Results!$A$2:$G$413,AB$1,FALSE))</f>
        <v/>
      </c>
      <c r="AC209" s="16"/>
      <c r="AD209" s="20" t="str">
        <f>IF(ISERROR(VLOOKUP($AB209&amp;"-"&amp;$F209,Bonuses!$B$1:$G$1000,4,FALSE)),"",INT(VLOOKUP($AB209&amp;"-"&amp;$F209,Bonuses!$B$1:$G$1000,4,FALSE)))</f>
        <v/>
      </c>
      <c r="AE209" s="16" t="str">
        <f>IF(ISERROR(VLOOKUP($AB209&amp;"-"&amp;$F209,Bonuses!$B$1:$G$1000,5,FALSE)),"",IF(VLOOKUP($AB209&amp;"-"&amp;$F209,Bonuses!$B$1:$G$1000,5,FALSE)="","",VLOOKUP($AB209&amp;"-"&amp;$F209,Bonuses!$B$1:$G$1000,6,FALSE)&amp;" yrs, "&amp;VLOOKUP($AB209&amp;"-"&amp;$F209,Bonuses!$B$1:$G$1000,5,FALSE)))</f>
        <v/>
      </c>
    </row>
    <row r="210" spans="1:31" s="21" customFormat="1">
      <c r="A210" s="21" t="s">
        <v>737</v>
      </c>
      <c r="B210" s="21">
        <f t="shared" si="12"/>
        <v>1</v>
      </c>
      <c r="C210" s="21" t="str">
        <f t="shared" si="13"/>
        <v>B</v>
      </c>
      <c r="D210" s="17">
        <f>IF($C210="B",VLOOKUP($A210,Bat!$A$4:$BD$2323,D$1,FALSE),VLOOKUP($A210,Pit!$A$4:$AZ$2261,D$2,FALSE))</f>
        <v>4905</v>
      </c>
      <c r="E210" s="16" t="str">
        <f>IF($C210="B",VLOOKUP($A210,Bat!$A$4:$BD$2323,E$1,FALSE),VLOOKUP($A210,Pit!$A$4:$AZ$2261,E$2,FALSE))</f>
        <v>2B</v>
      </c>
      <c r="F210" s="16" t="str">
        <f>IF($C210="B",VLOOKUP($A210,Bat!$A$4:$BD$2323,F$1,FALSE),VLOOKUP($A210,Pit!$A$4:$AZ$2261,F$2,FALSE))</f>
        <v>Bob Campbell</v>
      </c>
      <c r="G210" s="16">
        <f>IF($C210="B",VLOOKUP($A210,Bat!$A$4:$BD$2323,G$1,FALSE),VLOOKUP($A210,Pit!$A$4:$AZ$2261,G$2,FALSE))</f>
        <v>17</v>
      </c>
      <c r="H210" s="16" t="str">
        <f>IF($C210="B",VLOOKUP($A210,Bat!$A$4:$BD$2323,H$1,FALSE),VLOOKUP($A210,Pit!$A$4:$AZ$2261,H$2,FALSE))</f>
        <v>S</v>
      </c>
      <c r="I210" s="16" t="str">
        <f>IF($C210="B",VLOOKUP($A210,Bat!$A$4:$BD$2323,I$1,FALSE),VLOOKUP($A210,Pit!$A$4:$AZ$2261,I$2,FALSE))</f>
        <v>R</v>
      </c>
      <c r="J210" s="16" t="str">
        <f>IF($C210="B",VLOOKUP($A210,Bat!$A$4:$BD$2323,J$1,FALSE),VLOOKUP($A210,Pit!$A$4:$AZ$2261,J$2,FALSE))</f>
        <v>Normal</v>
      </c>
      <c r="K210" s="17" t="str">
        <f>IF($C210="B",VLOOKUP($A210,Bat!$A$4:$BD$2323,K$1,FALSE),VLOOKUP($A210,Pit!$A$4:$AZ$2261,K$2,FALSE))</f>
        <v>Very Low</v>
      </c>
      <c r="L210" s="16">
        <f>IF($C210="B",VLOOKUP($A210,Bat!$A$4:$BD$2323,L$1,FALSE),VLOOKUP($A210,Pit!$A$4:$AZ$2261,L$2,FALSE))</f>
        <v>5</v>
      </c>
      <c r="M210" s="16">
        <f>IF($C210="B",VLOOKUP($A210,Bat!$A$4:$BD$2323,M$1,FALSE),VLOOKUP($A210,Pit!$A$4:$AZ$2261,M$2,FALSE))</f>
        <v>4</v>
      </c>
      <c r="N210" s="16">
        <f>IF($C210="B",VLOOKUP($A210,Bat!$A$4:$BD$2323,N$1,FALSE),VLOOKUP($A210,Pit!$A$4:$AZ$2261,N$2,FALSE))</f>
        <v>1</v>
      </c>
      <c r="O210" s="16">
        <f>IF($C210="B",VLOOKUP($A210,Bat!$A$4:$BD$2323,O$1,FALSE),VLOOKUP($A210,Pit!$A$4:$AZ$2261,O$2,FALSE))</f>
        <v>3</v>
      </c>
      <c r="P210" s="17">
        <f>IF($C210="B",VLOOKUP($A210,Bat!$A$4:$BD$2323,P$1,FALSE),VLOOKUP($A210,Pit!$A$4:$AZ$2261,P$2,FALSE))</f>
        <v>4</v>
      </c>
      <c r="Q210" s="18">
        <f>IF($C210="B",VLOOKUP($A210,Bat!$A$4:$BD$2323,Q$1,FALSE),VLOOKUP($A210,Pit!$A$4:$AZ$2261,Q$2,FALSE))</f>
        <v>5.5323380260282438</v>
      </c>
      <c r="R210" s="19">
        <f>IF($C210="B",VLOOKUP($A210,Bat!$A$4:$BD$2323,R$1,FALSE),VLOOKUP($A210,Pit!$A$4:$AZ$2261,R$2,FALSE))</f>
        <v>-0.71325783457218972</v>
      </c>
      <c r="S210" s="20">
        <f>IF($C210="B",VLOOKUP($A210,Bat!$A$4:$BD$2323,S$1,FALSE),VLOOKUP($A210,Pit!$A$4:$AZ$2261,S$2,FALSE))</f>
        <v>2400000</v>
      </c>
      <c r="T210" s="17" t="str">
        <f>IF(S210="Slot","",VLOOKUP(IF($C210="B",VLOOKUP($A210,Bat!$A$4:$AT$2323,T$1,FALSE),VLOOKUP($A210,Pit!$A$4:$BD$2261,T$2,FALSE)),COND!$A$34:$B$40,2,FALSE))</f>
        <v>EH</v>
      </c>
      <c r="U210" s="21" t="str">
        <f>IF($C210="B",VLOOKUP($A210,Bat!$A$4:$AR$1287,44,FALSE),VLOOKUP($A210,Pit!$A$4:$BB$1239,54,FALSE))</f>
        <v/>
      </c>
      <c r="W210" s="21" t="str">
        <f t="shared" si="14"/>
        <v/>
      </c>
      <c r="X210" s="22" t="e">
        <f t="shared" si="15"/>
        <v>#N/A</v>
      </c>
      <c r="Y210" s="16" t="str">
        <f>IF(ISERROR(VLOOKUP($E210&amp;$F210,Results!$A$2:$G$413,Y$1,FALSE)),"",VLOOKUP($E210&amp;$F210,Results!$A$2:$G$413,Y$1,FALSE))</f>
        <v/>
      </c>
      <c r="Z210" s="16" t="str">
        <f>IF(ISERROR(VLOOKUP($E210&amp;$F210,Results!$A$2:$G$413,Z$1,FALSE)),"",VLOOKUP($E210&amp;$F210,Results!$A$2:$G$413,Z$1,FALSE))</f>
        <v/>
      </c>
      <c r="AA210" s="16" t="str">
        <f>IF(ISERROR(VLOOKUP($E210&amp;$F210,Results!$A$2:$G$413,AA$1,FALSE)),"",VLOOKUP($E210&amp;$F210,Results!$A$2:$G$413,AA$1,FALSE))</f>
        <v/>
      </c>
      <c r="AB210" s="16" t="str">
        <f>IF(ISERROR(VLOOKUP($E210&amp;$F210,Results!$A$2:$G$413,AB$1,FALSE)),"",VLOOKUP($E210&amp;$F210,Results!$A$2:$G$413,AB$1,FALSE))</f>
        <v/>
      </c>
      <c r="AC210" s="16"/>
      <c r="AD210" s="20" t="str">
        <f>IF(ISERROR(VLOOKUP($AB210&amp;"-"&amp;$F210,Bonuses!$B$1:$G$1000,4,FALSE)),"",INT(VLOOKUP($AB210&amp;"-"&amp;$F210,Bonuses!$B$1:$G$1000,4,FALSE)))</f>
        <v/>
      </c>
      <c r="AE210" s="16" t="str">
        <f>IF(ISERROR(VLOOKUP($AB210&amp;"-"&amp;$F210,Bonuses!$B$1:$G$1000,5,FALSE)),"",IF(VLOOKUP($AB210&amp;"-"&amp;$F210,Bonuses!$B$1:$G$1000,5,FALSE)="","",VLOOKUP($AB210&amp;"-"&amp;$F210,Bonuses!$B$1:$G$1000,6,FALSE)&amp;" yrs, "&amp;VLOOKUP($AB210&amp;"-"&amp;$F210,Bonuses!$B$1:$G$1000,5,FALSE)))</f>
        <v/>
      </c>
    </row>
    <row r="211" spans="1:31" s="21" customFormat="1">
      <c r="A211" s="21" t="s">
        <v>885</v>
      </c>
      <c r="B211" s="21">
        <f t="shared" si="12"/>
        <v>1</v>
      </c>
      <c r="C211" s="21" t="str">
        <f t="shared" si="13"/>
        <v>B</v>
      </c>
      <c r="D211" s="17">
        <f>IF($C211="B",VLOOKUP($A211,Bat!$A$4:$BD$2323,D$1,FALSE),VLOOKUP($A211,Pit!$A$4:$AZ$2261,D$2,FALSE))</f>
        <v>8805</v>
      </c>
      <c r="E211" s="16" t="str">
        <f>IF($C211="B",VLOOKUP($A211,Bat!$A$4:$BD$2323,E$1,FALSE),VLOOKUP($A211,Pit!$A$4:$AZ$2261,E$2,FALSE))</f>
        <v>LF</v>
      </c>
      <c r="F211" s="16" t="str">
        <f>IF($C211="B",VLOOKUP($A211,Bat!$A$4:$BD$2323,F$1,FALSE),VLOOKUP($A211,Pit!$A$4:$AZ$2261,F$2,FALSE))</f>
        <v>Henry Miller</v>
      </c>
      <c r="G211" s="16">
        <f>IF($C211="B",VLOOKUP($A211,Bat!$A$4:$BD$2323,G$1,FALSE),VLOOKUP($A211,Pit!$A$4:$AZ$2261,G$2,FALSE))</f>
        <v>21</v>
      </c>
      <c r="H211" s="16" t="str">
        <f>IF($C211="B",VLOOKUP($A211,Bat!$A$4:$BD$2323,H$1,FALSE),VLOOKUP($A211,Pit!$A$4:$AZ$2261,H$2,FALSE))</f>
        <v>R</v>
      </c>
      <c r="I211" s="16" t="str">
        <f>IF($C211="B",VLOOKUP($A211,Bat!$A$4:$BD$2323,I$1,FALSE),VLOOKUP($A211,Pit!$A$4:$AZ$2261,I$2,FALSE))</f>
        <v>R</v>
      </c>
      <c r="J211" s="16" t="str">
        <f>IF($C211="B",VLOOKUP($A211,Bat!$A$4:$BD$2323,J$1,FALSE),VLOOKUP($A211,Pit!$A$4:$AZ$2261,J$2,FALSE))</f>
        <v>Very Low</v>
      </c>
      <c r="K211" s="17" t="str">
        <f>IF($C211="B",VLOOKUP($A211,Bat!$A$4:$BD$2323,K$1,FALSE),VLOOKUP($A211,Pit!$A$4:$AZ$2261,K$2,FALSE))</f>
        <v>Low</v>
      </c>
      <c r="L211" s="16">
        <f>IF($C211="B",VLOOKUP($A211,Bat!$A$4:$BD$2323,L$1,FALSE),VLOOKUP($A211,Pit!$A$4:$AZ$2261,L$2,FALSE))</f>
        <v>4</v>
      </c>
      <c r="M211" s="16">
        <f>IF($C211="B",VLOOKUP($A211,Bat!$A$4:$BD$2323,M$1,FALSE),VLOOKUP($A211,Pit!$A$4:$AZ$2261,M$2,FALSE))</f>
        <v>5</v>
      </c>
      <c r="N211" s="16">
        <f>IF($C211="B",VLOOKUP($A211,Bat!$A$4:$BD$2323,N$1,FALSE),VLOOKUP($A211,Pit!$A$4:$AZ$2261,N$2,FALSE))</f>
        <v>3</v>
      </c>
      <c r="O211" s="16">
        <f>IF($C211="B",VLOOKUP($A211,Bat!$A$4:$BD$2323,O$1,FALSE),VLOOKUP($A211,Pit!$A$4:$AZ$2261,O$2,FALSE))</f>
        <v>4</v>
      </c>
      <c r="P211" s="17">
        <f>IF($C211="B",VLOOKUP($A211,Bat!$A$4:$BD$2323,P$1,FALSE),VLOOKUP($A211,Pit!$A$4:$AZ$2261,P$2,FALSE))</f>
        <v>4</v>
      </c>
      <c r="Q211" s="18">
        <f>IF($C211="B",VLOOKUP($A211,Bat!$A$4:$BD$2323,Q$1,FALSE),VLOOKUP($A211,Pit!$A$4:$AZ$2261,Q$2,FALSE))</f>
        <v>5.505501649563441</v>
      </c>
      <c r="R211" s="19">
        <f>IF($C211="B",VLOOKUP($A211,Bat!$A$4:$BD$2323,R$1,FALSE),VLOOKUP($A211,Pit!$A$4:$AZ$2261,R$2,FALSE))</f>
        <v>-0.71698604202096317</v>
      </c>
      <c r="S211" s="20" t="str">
        <f>IF($C211="B",VLOOKUP($A211,Bat!$A$4:$BD$2323,S$1,FALSE),VLOOKUP($A211,Pit!$A$4:$AZ$2261,S$2,FALSE))</f>
        <v>Slot</v>
      </c>
      <c r="T211" s="17" t="str">
        <f>IF(S211="Slot","",VLOOKUP(IF($C211="B",VLOOKUP($A211,Bat!$A$4:$AT$2323,T$1,FALSE),VLOOKUP($A211,Pit!$A$4:$BD$2261,T$2,FALSE)),COND!$A$34:$B$40,2,FALSE))</f>
        <v/>
      </c>
      <c r="U211" s="21" t="str">
        <f>IF($C211="B",VLOOKUP($A211,Bat!$A$4:$AR$1287,44,FALSE),VLOOKUP($A211,Pit!$A$4:$BB$1239,54,FALSE))</f>
        <v/>
      </c>
      <c r="W211" s="21" t="str">
        <f t="shared" si="14"/>
        <v/>
      </c>
      <c r="X211" s="22" t="e">
        <f t="shared" si="15"/>
        <v>#N/A</v>
      </c>
      <c r="Y211" s="16" t="str">
        <f>IF(ISERROR(VLOOKUP($E211&amp;$F211,Results!$A$2:$G$413,Y$1,FALSE)),"",VLOOKUP($E211&amp;$F211,Results!$A$2:$G$413,Y$1,FALSE))</f>
        <v/>
      </c>
      <c r="Z211" s="16" t="str">
        <f>IF(ISERROR(VLOOKUP($E211&amp;$F211,Results!$A$2:$G$413,Z$1,FALSE)),"",VLOOKUP($E211&amp;$F211,Results!$A$2:$G$413,Z$1,FALSE))</f>
        <v/>
      </c>
      <c r="AA211" s="16" t="str">
        <f>IF(ISERROR(VLOOKUP($E211&amp;$F211,Results!$A$2:$G$413,AA$1,FALSE)),"",VLOOKUP($E211&amp;$F211,Results!$A$2:$G$413,AA$1,FALSE))</f>
        <v/>
      </c>
      <c r="AB211" s="16" t="str">
        <f>IF(ISERROR(VLOOKUP($E211&amp;$F211,Results!$A$2:$G$413,AB$1,FALSE)),"",VLOOKUP($E211&amp;$F211,Results!$A$2:$G$413,AB$1,FALSE))</f>
        <v/>
      </c>
      <c r="AC211" s="16"/>
      <c r="AD211" s="20" t="str">
        <f>IF(ISERROR(VLOOKUP($AB211&amp;"-"&amp;$F211,Bonuses!$B$1:$G$1000,4,FALSE)),"",INT(VLOOKUP($AB211&amp;"-"&amp;$F211,Bonuses!$B$1:$G$1000,4,FALSE)))</f>
        <v/>
      </c>
      <c r="AE211" s="16" t="str">
        <f>IF(ISERROR(VLOOKUP($AB211&amp;"-"&amp;$F211,Bonuses!$B$1:$G$1000,5,FALSE)),"",IF(VLOOKUP($AB211&amp;"-"&amp;$F211,Bonuses!$B$1:$G$1000,5,FALSE)="","",VLOOKUP($AB211&amp;"-"&amp;$F211,Bonuses!$B$1:$G$1000,6,FALSE)&amp;" yrs, "&amp;VLOOKUP($AB211&amp;"-"&amp;$F211,Bonuses!$B$1:$G$1000,5,FALSE)))</f>
        <v/>
      </c>
    </row>
    <row r="212" spans="1:31" s="21" customFormat="1">
      <c r="A212" s="21" t="s">
        <v>258</v>
      </c>
      <c r="B212" s="21">
        <f t="shared" si="12"/>
        <v>1</v>
      </c>
      <c r="C212" s="21" t="str">
        <f t="shared" si="13"/>
        <v>B</v>
      </c>
      <c r="D212" s="17">
        <f>IF($C212="B",VLOOKUP($A212,Bat!$A$4:$BD$2323,D$1,FALSE),VLOOKUP($A212,Pit!$A$4:$AZ$2261,D$2,FALSE))</f>
        <v>3177</v>
      </c>
      <c r="E212" s="16" t="str">
        <f>IF($C212="B",VLOOKUP($A212,Bat!$A$4:$BD$2323,E$1,FALSE),VLOOKUP($A212,Pit!$A$4:$AZ$2261,E$2,FALSE))</f>
        <v>LF</v>
      </c>
      <c r="F212" s="16" t="str">
        <f>IF($C212="B",VLOOKUP($A212,Bat!$A$4:$BD$2323,F$1,FALSE),VLOOKUP($A212,Pit!$A$4:$AZ$2261,F$2,FALSE))</f>
        <v>Jorge Torres</v>
      </c>
      <c r="G212" s="16">
        <f>IF($C212="B",VLOOKUP($A212,Bat!$A$4:$BD$2323,G$1,FALSE),VLOOKUP($A212,Pit!$A$4:$AZ$2261,G$2,FALSE))</f>
        <v>21</v>
      </c>
      <c r="H212" s="16" t="str">
        <f>IF($C212="B",VLOOKUP($A212,Bat!$A$4:$BD$2323,H$1,FALSE),VLOOKUP($A212,Pit!$A$4:$AZ$2261,H$2,FALSE))</f>
        <v>R</v>
      </c>
      <c r="I212" s="16" t="str">
        <f>IF($C212="B",VLOOKUP($A212,Bat!$A$4:$BD$2323,I$1,FALSE),VLOOKUP($A212,Pit!$A$4:$AZ$2261,I$2,FALSE))</f>
        <v>R</v>
      </c>
      <c r="J212" s="16" t="str">
        <f>IF($C212="B",VLOOKUP($A212,Bat!$A$4:$BD$2323,J$1,FALSE),VLOOKUP($A212,Pit!$A$4:$AZ$2261,J$2,FALSE))</f>
        <v>Normal</v>
      </c>
      <c r="K212" s="17" t="str">
        <f>IF($C212="B",VLOOKUP($A212,Bat!$A$4:$BD$2323,K$1,FALSE),VLOOKUP($A212,Pit!$A$4:$AZ$2261,K$2,FALSE))</f>
        <v>High</v>
      </c>
      <c r="L212" s="16">
        <f>IF($C212="B",VLOOKUP($A212,Bat!$A$4:$BD$2323,L$1,FALSE),VLOOKUP($A212,Pit!$A$4:$AZ$2261,L$2,FALSE))</f>
        <v>4</v>
      </c>
      <c r="M212" s="16">
        <f>IF($C212="B",VLOOKUP($A212,Bat!$A$4:$BD$2323,M$1,FALSE),VLOOKUP($A212,Pit!$A$4:$AZ$2261,M$2,FALSE))</f>
        <v>6</v>
      </c>
      <c r="N212" s="16">
        <f>IF($C212="B",VLOOKUP($A212,Bat!$A$4:$BD$2323,N$1,FALSE),VLOOKUP($A212,Pit!$A$4:$AZ$2261,N$2,FALSE))</f>
        <v>2</v>
      </c>
      <c r="O212" s="16">
        <f>IF($C212="B",VLOOKUP($A212,Bat!$A$4:$BD$2323,O$1,FALSE),VLOOKUP($A212,Pit!$A$4:$AZ$2261,O$2,FALSE))</f>
        <v>3</v>
      </c>
      <c r="P212" s="17">
        <f>IF($C212="B",VLOOKUP($A212,Bat!$A$4:$BD$2323,P$1,FALSE),VLOOKUP($A212,Pit!$A$4:$AZ$2261,P$2,FALSE))</f>
        <v>4</v>
      </c>
      <c r="Q212" s="18">
        <f>IF($C212="B",VLOOKUP($A212,Bat!$A$4:$BD$2323,Q$1,FALSE),VLOOKUP($A212,Pit!$A$4:$AZ$2261,Q$2,FALSE))</f>
        <v>5.3629019684426371</v>
      </c>
      <c r="R212" s="19">
        <f>IF($C212="B",VLOOKUP($A212,Bat!$A$4:$BD$2323,R$1,FALSE),VLOOKUP($A212,Pit!$A$4:$AZ$2261,R$2,FALSE))</f>
        <v>-0.7367965106229587</v>
      </c>
      <c r="S212" s="20" t="str">
        <f>IF($C212="B",VLOOKUP($A212,Bat!$A$4:$BD$2323,S$1,FALSE),VLOOKUP($A212,Pit!$A$4:$AZ$2261,S$2,FALSE))</f>
        <v>Slot</v>
      </c>
      <c r="T212" s="17" t="str">
        <f>IF(S212="Slot","",VLOOKUP(IF($C212="B",VLOOKUP($A212,Bat!$A$4:$AT$2323,T$1,FALSE),VLOOKUP($A212,Pit!$A$4:$BD$2261,T$2,FALSE)),COND!$A$34:$B$40,2,FALSE))</f>
        <v/>
      </c>
      <c r="U212" s="21" t="str">
        <f>IF($C212="B",VLOOKUP($A212,Bat!$A$4:$AR$1287,44,FALSE),VLOOKUP($A212,Pit!$A$4:$BB$1239,54,FALSE))</f>
        <v/>
      </c>
      <c r="W212" s="21" t="str">
        <f t="shared" si="14"/>
        <v/>
      </c>
      <c r="X212" s="22" t="e">
        <f t="shared" si="15"/>
        <v>#N/A</v>
      </c>
      <c r="Y212" s="16" t="str">
        <f>IF(ISERROR(VLOOKUP($E212&amp;$F212,Results!$A$2:$G$413,Y$1,FALSE)),"",VLOOKUP($E212&amp;$F212,Results!$A$2:$G$413,Y$1,FALSE))</f>
        <v/>
      </c>
      <c r="Z212" s="16" t="str">
        <f>IF(ISERROR(VLOOKUP($E212&amp;$F212,Results!$A$2:$G$413,Z$1,FALSE)),"",VLOOKUP($E212&amp;$F212,Results!$A$2:$G$413,Z$1,FALSE))</f>
        <v/>
      </c>
      <c r="AA212" s="16" t="str">
        <f>IF(ISERROR(VLOOKUP($E212&amp;$F212,Results!$A$2:$G$413,AA$1,FALSE)),"",VLOOKUP($E212&amp;$F212,Results!$A$2:$G$413,AA$1,FALSE))</f>
        <v/>
      </c>
      <c r="AB212" s="16" t="str">
        <f>IF(ISERROR(VLOOKUP($E212&amp;$F212,Results!$A$2:$G$413,AB$1,FALSE)),"",VLOOKUP($E212&amp;$F212,Results!$A$2:$G$413,AB$1,FALSE))</f>
        <v/>
      </c>
      <c r="AC212" s="16"/>
      <c r="AD212" s="20" t="str">
        <f>IF(ISERROR(VLOOKUP($AB212&amp;"-"&amp;$F212,Bonuses!$B$1:$G$1000,4,FALSE)),"",INT(VLOOKUP($AB212&amp;"-"&amp;$F212,Bonuses!$B$1:$G$1000,4,FALSE)))</f>
        <v/>
      </c>
      <c r="AE212" s="16" t="str">
        <f>IF(ISERROR(VLOOKUP($AB212&amp;"-"&amp;$F212,Bonuses!$B$1:$G$1000,5,FALSE)),"",IF(VLOOKUP($AB212&amp;"-"&amp;$F212,Bonuses!$B$1:$G$1000,5,FALSE)="","",VLOOKUP($AB212&amp;"-"&amp;$F212,Bonuses!$B$1:$G$1000,6,FALSE)&amp;" yrs, "&amp;VLOOKUP($AB212&amp;"-"&amp;$F212,Bonuses!$B$1:$G$1000,5,FALSE)))</f>
        <v/>
      </c>
    </row>
    <row r="213" spans="1:31" s="21" customFormat="1">
      <c r="A213" s="21" t="s">
        <v>890</v>
      </c>
      <c r="B213" s="21">
        <f t="shared" si="12"/>
        <v>1</v>
      </c>
      <c r="C213" s="21" t="str">
        <f t="shared" si="13"/>
        <v>B</v>
      </c>
      <c r="D213" s="17">
        <f>IF($C213="B",VLOOKUP($A213,Bat!$A$4:$BD$2323,D$1,FALSE),VLOOKUP($A213,Pit!$A$4:$AZ$2261,D$2,FALSE))</f>
        <v>221</v>
      </c>
      <c r="E213" s="16" t="str">
        <f>IF($C213="B",VLOOKUP($A213,Bat!$A$4:$BD$2323,E$1,FALSE),VLOOKUP($A213,Pit!$A$4:$AZ$2261,E$2,FALSE))</f>
        <v>1B</v>
      </c>
      <c r="F213" s="16" t="str">
        <f>IF($C213="B",VLOOKUP($A213,Bat!$A$4:$BD$2323,F$1,FALSE),VLOOKUP($A213,Pit!$A$4:$AZ$2261,F$2,FALSE))</f>
        <v>Alden Brockington</v>
      </c>
      <c r="G213" s="16">
        <f>IF($C213="B",VLOOKUP($A213,Bat!$A$4:$BD$2323,G$1,FALSE),VLOOKUP($A213,Pit!$A$4:$AZ$2261,G$2,FALSE))</f>
        <v>18</v>
      </c>
      <c r="H213" s="16" t="str">
        <f>IF($C213="B",VLOOKUP($A213,Bat!$A$4:$BD$2323,H$1,FALSE),VLOOKUP($A213,Pit!$A$4:$AZ$2261,H$2,FALSE))</f>
        <v>R</v>
      </c>
      <c r="I213" s="16" t="str">
        <f>IF($C213="B",VLOOKUP($A213,Bat!$A$4:$BD$2323,I$1,FALSE),VLOOKUP($A213,Pit!$A$4:$AZ$2261,I$2,FALSE))</f>
        <v>L</v>
      </c>
      <c r="J213" s="16" t="str">
        <f>IF($C213="B",VLOOKUP($A213,Bat!$A$4:$BD$2323,J$1,FALSE),VLOOKUP($A213,Pit!$A$4:$AZ$2261,J$2,FALSE))</f>
        <v>Low</v>
      </c>
      <c r="K213" s="17" t="str">
        <f>IF($C213="B",VLOOKUP($A213,Bat!$A$4:$BD$2323,K$1,FALSE),VLOOKUP($A213,Pit!$A$4:$AZ$2261,K$2,FALSE))</f>
        <v>Normal</v>
      </c>
      <c r="L213" s="16">
        <f>IF($C213="B",VLOOKUP($A213,Bat!$A$4:$BD$2323,L$1,FALSE),VLOOKUP($A213,Pit!$A$4:$AZ$2261,L$2,FALSE))</f>
        <v>4</v>
      </c>
      <c r="M213" s="16">
        <f>IF($C213="B",VLOOKUP($A213,Bat!$A$4:$BD$2323,M$1,FALSE),VLOOKUP($A213,Pit!$A$4:$AZ$2261,M$2,FALSE))</f>
        <v>5</v>
      </c>
      <c r="N213" s="16">
        <f>IF($C213="B",VLOOKUP($A213,Bat!$A$4:$BD$2323,N$1,FALSE),VLOOKUP($A213,Pit!$A$4:$AZ$2261,N$2,FALSE))</f>
        <v>4</v>
      </c>
      <c r="O213" s="16">
        <f>IF($C213="B",VLOOKUP($A213,Bat!$A$4:$BD$2323,O$1,FALSE),VLOOKUP($A213,Pit!$A$4:$AZ$2261,O$2,FALSE))</f>
        <v>3</v>
      </c>
      <c r="P213" s="17">
        <f>IF($C213="B",VLOOKUP($A213,Bat!$A$4:$BD$2323,P$1,FALSE),VLOOKUP($A213,Pit!$A$4:$AZ$2261,P$2,FALSE))</f>
        <v>4</v>
      </c>
      <c r="Q213" s="18">
        <f>IF($C213="B",VLOOKUP($A213,Bat!$A$4:$BD$2323,Q$1,FALSE),VLOOKUP($A213,Pit!$A$4:$AZ$2261,Q$2,FALSE))</f>
        <v>5.3312669985477106</v>
      </c>
      <c r="R213" s="19">
        <f>IF($C213="B",VLOOKUP($A213,Bat!$A$4:$BD$2323,R$1,FALSE),VLOOKUP($A213,Pit!$A$4:$AZ$2261,R$2,FALSE))</f>
        <v>-0.74119135619977028</v>
      </c>
      <c r="S213" s="20" t="str">
        <f>IF($C213="B",VLOOKUP($A213,Bat!$A$4:$BD$2323,S$1,FALSE),VLOOKUP($A213,Pit!$A$4:$AZ$2261,S$2,FALSE))</f>
        <v>Slot</v>
      </c>
      <c r="T213" s="17" t="str">
        <f>IF(S213="Slot","",VLOOKUP(IF($C213="B",VLOOKUP($A213,Bat!$A$4:$AT$2323,T$1,FALSE),VLOOKUP($A213,Pit!$A$4:$BD$2261,T$2,FALSE)),COND!$A$34:$B$40,2,FALSE))</f>
        <v/>
      </c>
      <c r="U213" s="21" t="str">
        <f>IF($C213="B",VLOOKUP($A213,Bat!$A$4:$AR$1287,44,FALSE),VLOOKUP($A213,Pit!$A$4:$BB$1239,54,FALSE))</f>
        <v/>
      </c>
      <c r="W213" s="21" t="str">
        <f t="shared" si="14"/>
        <v/>
      </c>
      <c r="X213" s="22" t="e">
        <f t="shared" si="15"/>
        <v>#N/A</v>
      </c>
      <c r="Y213" s="16" t="str">
        <f>IF(ISERROR(VLOOKUP($E213&amp;$F213,Results!$A$2:$G$413,Y$1,FALSE)),"",VLOOKUP($E213&amp;$F213,Results!$A$2:$G$413,Y$1,FALSE))</f>
        <v/>
      </c>
      <c r="Z213" s="16" t="str">
        <f>IF(ISERROR(VLOOKUP($E213&amp;$F213,Results!$A$2:$G$413,Z$1,FALSE)),"",VLOOKUP($E213&amp;$F213,Results!$A$2:$G$413,Z$1,FALSE))</f>
        <v/>
      </c>
      <c r="AA213" s="16" t="str">
        <f>IF(ISERROR(VLOOKUP($E213&amp;$F213,Results!$A$2:$G$413,AA$1,FALSE)),"",VLOOKUP($E213&amp;$F213,Results!$A$2:$G$413,AA$1,FALSE))</f>
        <v/>
      </c>
      <c r="AB213" s="16" t="str">
        <f>IF(ISERROR(VLOOKUP($E213&amp;$F213,Results!$A$2:$G$413,AB$1,FALSE)),"",VLOOKUP($E213&amp;$F213,Results!$A$2:$G$413,AB$1,FALSE))</f>
        <v/>
      </c>
      <c r="AC213" s="16"/>
      <c r="AD213" s="20" t="str">
        <f>IF(ISERROR(VLOOKUP($AB213&amp;"-"&amp;$F213,Bonuses!$B$1:$G$1000,4,FALSE)),"",INT(VLOOKUP($AB213&amp;"-"&amp;$F213,Bonuses!$B$1:$G$1000,4,FALSE)))</f>
        <v/>
      </c>
      <c r="AE213" s="16" t="str">
        <f>IF(ISERROR(VLOOKUP($AB213&amp;"-"&amp;$F213,Bonuses!$B$1:$G$1000,5,FALSE)),"",IF(VLOOKUP($AB213&amp;"-"&amp;$F213,Bonuses!$B$1:$G$1000,5,FALSE)="","",VLOOKUP($AB213&amp;"-"&amp;$F213,Bonuses!$B$1:$G$1000,6,FALSE)&amp;" yrs, "&amp;VLOOKUP($AB213&amp;"-"&amp;$F213,Bonuses!$B$1:$G$1000,5,FALSE)))</f>
        <v/>
      </c>
    </row>
    <row r="214" spans="1:31" s="21" customFormat="1">
      <c r="A214" s="21" t="s">
        <v>876</v>
      </c>
      <c r="B214" s="21">
        <f t="shared" si="12"/>
        <v>1</v>
      </c>
      <c r="C214" s="21" t="str">
        <f t="shared" si="13"/>
        <v>B</v>
      </c>
      <c r="D214" s="17">
        <f>IF($C214="B",VLOOKUP($A214,Bat!$A$4:$BD$2323,D$1,FALSE),VLOOKUP($A214,Pit!$A$4:$AZ$2261,D$2,FALSE))</f>
        <v>13759</v>
      </c>
      <c r="E214" s="16" t="str">
        <f>IF($C214="B",VLOOKUP($A214,Bat!$A$4:$BD$2323,E$1,FALSE),VLOOKUP($A214,Pit!$A$4:$AZ$2261,E$2,FALSE))</f>
        <v>RF</v>
      </c>
      <c r="F214" s="16" t="str">
        <f>IF($C214="B",VLOOKUP($A214,Bat!$A$4:$BD$2323,F$1,FALSE),VLOOKUP($A214,Pit!$A$4:$AZ$2261,F$2,FALSE))</f>
        <v>Drew Davis</v>
      </c>
      <c r="G214" s="16">
        <f>IF($C214="B",VLOOKUP($A214,Bat!$A$4:$BD$2323,G$1,FALSE),VLOOKUP($A214,Pit!$A$4:$AZ$2261,G$2,FALSE))</f>
        <v>18</v>
      </c>
      <c r="H214" s="16" t="str">
        <f>IF($C214="B",VLOOKUP($A214,Bat!$A$4:$BD$2323,H$1,FALSE),VLOOKUP($A214,Pit!$A$4:$AZ$2261,H$2,FALSE))</f>
        <v>R</v>
      </c>
      <c r="I214" s="16" t="str">
        <f>IF($C214="B",VLOOKUP($A214,Bat!$A$4:$BD$2323,I$1,FALSE),VLOOKUP($A214,Pit!$A$4:$AZ$2261,I$2,FALSE))</f>
        <v>R</v>
      </c>
      <c r="J214" s="16" t="str">
        <f>IF($C214="B",VLOOKUP($A214,Bat!$A$4:$BD$2323,J$1,FALSE),VLOOKUP($A214,Pit!$A$4:$AZ$2261,J$2,FALSE))</f>
        <v>Low</v>
      </c>
      <c r="K214" s="17" t="str">
        <f>IF($C214="B",VLOOKUP($A214,Bat!$A$4:$BD$2323,K$1,FALSE),VLOOKUP($A214,Pit!$A$4:$AZ$2261,K$2,FALSE))</f>
        <v>Normal</v>
      </c>
      <c r="L214" s="16">
        <f>IF($C214="B",VLOOKUP($A214,Bat!$A$4:$BD$2323,L$1,FALSE),VLOOKUP($A214,Pit!$A$4:$AZ$2261,L$2,FALSE))</f>
        <v>4</v>
      </c>
      <c r="M214" s="16">
        <f>IF($C214="B",VLOOKUP($A214,Bat!$A$4:$BD$2323,M$1,FALSE),VLOOKUP($A214,Pit!$A$4:$AZ$2261,M$2,FALSE))</f>
        <v>4</v>
      </c>
      <c r="N214" s="16">
        <f>IF($C214="B",VLOOKUP($A214,Bat!$A$4:$BD$2323,N$1,FALSE),VLOOKUP($A214,Pit!$A$4:$AZ$2261,N$2,FALSE))</f>
        <v>5</v>
      </c>
      <c r="O214" s="16">
        <f>IF($C214="B",VLOOKUP($A214,Bat!$A$4:$BD$2323,O$1,FALSE),VLOOKUP($A214,Pit!$A$4:$AZ$2261,O$2,FALSE))</f>
        <v>2</v>
      </c>
      <c r="P214" s="17">
        <f>IF($C214="B",VLOOKUP($A214,Bat!$A$4:$BD$2323,P$1,FALSE),VLOOKUP($A214,Pit!$A$4:$AZ$2261,P$2,FALSE))</f>
        <v>4</v>
      </c>
      <c r="Q214" s="18">
        <f>IF($C214="B",VLOOKUP($A214,Bat!$A$4:$BD$2323,Q$1,FALSE),VLOOKUP($A214,Pit!$A$4:$AZ$2261,Q$2,FALSE))</f>
        <v>5.3105444259236503</v>
      </c>
      <c r="R214" s="19">
        <f>IF($C214="B",VLOOKUP($A214,Bat!$A$4:$BD$2323,R$1,FALSE),VLOOKUP($A214,Pit!$A$4:$AZ$2261,R$2,FALSE))</f>
        <v>-0.74407021168594589</v>
      </c>
      <c r="S214" s="20" t="str">
        <f>IF($C214="B",VLOOKUP($A214,Bat!$A$4:$BD$2323,S$1,FALSE),VLOOKUP($A214,Pit!$A$4:$AZ$2261,S$2,FALSE))</f>
        <v>Slot</v>
      </c>
      <c r="T214" s="17" t="str">
        <f>IF(S214="Slot","",VLOOKUP(IF($C214="B",VLOOKUP($A214,Bat!$A$4:$AT$2323,T$1,FALSE),VLOOKUP($A214,Pit!$A$4:$BD$2261,T$2,FALSE)),COND!$A$34:$B$40,2,FALSE))</f>
        <v/>
      </c>
      <c r="U214" s="21" t="str">
        <f>IF($C214="B",VLOOKUP($A214,Bat!$A$4:$AR$1287,44,FALSE),VLOOKUP($A214,Pit!$A$4:$BB$1239,54,FALSE))</f>
        <v/>
      </c>
      <c r="W214" s="21" t="str">
        <f t="shared" si="14"/>
        <v/>
      </c>
      <c r="X214" s="22" t="e">
        <f t="shared" si="15"/>
        <v>#N/A</v>
      </c>
      <c r="Y214" s="16" t="str">
        <f>IF(ISERROR(VLOOKUP($E214&amp;$F214,Results!$A$2:$G$413,Y$1,FALSE)),"",VLOOKUP($E214&amp;$F214,Results!$A$2:$G$413,Y$1,FALSE))</f>
        <v/>
      </c>
      <c r="Z214" s="16" t="str">
        <f>IF(ISERROR(VLOOKUP($E214&amp;$F214,Results!$A$2:$G$413,Z$1,FALSE)),"",VLOOKUP($E214&amp;$F214,Results!$A$2:$G$413,Z$1,FALSE))</f>
        <v/>
      </c>
      <c r="AA214" s="16" t="str">
        <f>IF(ISERROR(VLOOKUP($E214&amp;$F214,Results!$A$2:$G$413,AA$1,FALSE)),"",VLOOKUP($E214&amp;$F214,Results!$A$2:$G$413,AA$1,FALSE))</f>
        <v/>
      </c>
      <c r="AB214" s="16" t="str">
        <f>IF(ISERROR(VLOOKUP($E214&amp;$F214,Results!$A$2:$G$413,AB$1,FALSE)),"",VLOOKUP($E214&amp;$F214,Results!$A$2:$G$413,AB$1,FALSE))</f>
        <v/>
      </c>
      <c r="AC214" s="16"/>
      <c r="AD214" s="20" t="str">
        <f>IF(ISERROR(VLOOKUP($AB214&amp;"-"&amp;$F214,Bonuses!$B$1:$G$1000,4,FALSE)),"",INT(VLOOKUP($AB214&amp;"-"&amp;$F214,Bonuses!$B$1:$G$1000,4,FALSE)))</f>
        <v/>
      </c>
      <c r="AE214" s="16" t="str">
        <f>IF(ISERROR(VLOOKUP($AB214&amp;"-"&amp;$F214,Bonuses!$B$1:$G$1000,5,FALSE)),"",IF(VLOOKUP($AB214&amp;"-"&amp;$F214,Bonuses!$B$1:$G$1000,5,FALSE)="","",VLOOKUP($AB214&amp;"-"&amp;$F214,Bonuses!$B$1:$G$1000,6,FALSE)&amp;" yrs, "&amp;VLOOKUP($AB214&amp;"-"&amp;$F214,Bonuses!$B$1:$G$1000,5,FALSE)))</f>
        <v/>
      </c>
    </row>
    <row r="215" spans="1:31" s="21" customFormat="1">
      <c r="A215" s="21" t="s">
        <v>436</v>
      </c>
      <c r="B215" s="21">
        <f t="shared" si="12"/>
        <v>1</v>
      </c>
      <c r="C215" s="21" t="str">
        <f t="shared" si="13"/>
        <v>B</v>
      </c>
      <c r="D215" s="17">
        <f>IF($C215="B",VLOOKUP($A215,Bat!$A$4:$BD$2323,D$1,FALSE),VLOOKUP($A215,Pit!$A$4:$AZ$2261,D$2,FALSE))</f>
        <v>13783</v>
      </c>
      <c r="E215" s="16" t="str">
        <f>IF($C215="B",VLOOKUP($A215,Bat!$A$4:$BD$2323,E$1,FALSE),VLOOKUP($A215,Pit!$A$4:$AZ$2261,E$2,FALSE))</f>
        <v>C</v>
      </c>
      <c r="F215" s="16" t="str">
        <f>IF($C215="B",VLOOKUP($A215,Bat!$A$4:$BD$2323,F$1,FALSE),VLOOKUP($A215,Pit!$A$4:$AZ$2261,F$2,FALSE))</f>
        <v>Steve Wallace</v>
      </c>
      <c r="G215" s="16">
        <f>IF($C215="B",VLOOKUP($A215,Bat!$A$4:$BD$2323,G$1,FALSE),VLOOKUP($A215,Pit!$A$4:$AZ$2261,G$2,FALSE))</f>
        <v>18</v>
      </c>
      <c r="H215" s="16" t="str">
        <f>IF($C215="B",VLOOKUP($A215,Bat!$A$4:$BD$2323,H$1,FALSE),VLOOKUP($A215,Pit!$A$4:$AZ$2261,H$2,FALSE))</f>
        <v>R</v>
      </c>
      <c r="I215" s="16" t="str">
        <f>IF($C215="B",VLOOKUP($A215,Bat!$A$4:$BD$2323,I$1,FALSE),VLOOKUP($A215,Pit!$A$4:$AZ$2261,I$2,FALSE))</f>
        <v>R</v>
      </c>
      <c r="J215" s="16" t="str">
        <f>IF($C215="B",VLOOKUP($A215,Bat!$A$4:$BD$2323,J$1,FALSE),VLOOKUP($A215,Pit!$A$4:$AZ$2261,J$2,FALSE))</f>
        <v>High</v>
      </c>
      <c r="K215" s="17" t="str">
        <f>IF($C215="B",VLOOKUP($A215,Bat!$A$4:$BD$2323,K$1,FALSE),VLOOKUP($A215,Pit!$A$4:$AZ$2261,K$2,FALSE))</f>
        <v>Normal</v>
      </c>
      <c r="L215" s="16">
        <f>IF($C215="B",VLOOKUP($A215,Bat!$A$4:$BD$2323,L$1,FALSE),VLOOKUP($A215,Pit!$A$4:$AZ$2261,L$2,FALSE))</f>
        <v>4</v>
      </c>
      <c r="M215" s="16">
        <f>IF($C215="B",VLOOKUP($A215,Bat!$A$4:$BD$2323,M$1,FALSE),VLOOKUP($A215,Pit!$A$4:$AZ$2261,M$2,FALSE))</f>
        <v>7</v>
      </c>
      <c r="N215" s="16">
        <f>IF($C215="B",VLOOKUP($A215,Bat!$A$4:$BD$2323,N$1,FALSE),VLOOKUP($A215,Pit!$A$4:$AZ$2261,N$2,FALSE))</f>
        <v>2</v>
      </c>
      <c r="O215" s="16">
        <f>IF($C215="B",VLOOKUP($A215,Bat!$A$4:$BD$2323,O$1,FALSE),VLOOKUP($A215,Pit!$A$4:$AZ$2261,O$2,FALSE))</f>
        <v>3</v>
      </c>
      <c r="P215" s="17">
        <f>IF($C215="B",VLOOKUP($A215,Bat!$A$4:$BD$2323,P$1,FALSE),VLOOKUP($A215,Pit!$A$4:$AZ$2261,P$2,FALSE))</f>
        <v>5</v>
      </c>
      <c r="Q215" s="18">
        <f>IF($C215="B",VLOOKUP($A215,Bat!$A$4:$BD$2323,Q$1,FALSE),VLOOKUP($A215,Pit!$A$4:$AZ$2261,Q$2,FALSE))</f>
        <v>5.2434243306279589</v>
      </c>
      <c r="R215" s="19">
        <f>IF($C215="B",VLOOKUP($A215,Bat!$A$4:$BD$2323,R$1,FALSE),VLOOKUP($A215,Pit!$A$4:$AZ$2261,R$2,FALSE))</f>
        <v>-0.75339478050662789</v>
      </c>
      <c r="S215" s="20" t="str">
        <f>IF($C215="B",VLOOKUP($A215,Bat!$A$4:$BD$2323,S$1,FALSE),VLOOKUP($A215,Pit!$A$4:$AZ$2261,S$2,FALSE))</f>
        <v>Slot</v>
      </c>
      <c r="T215" s="17" t="str">
        <f>IF(S215="Slot","",VLOOKUP(IF($C215="B",VLOOKUP($A215,Bat!$A$4:$AT$2323,T$1,FALSE),VLOOKUP($A215,Pit!$A$4:$BD$2261,T$2,FALSE)),COND!$A$34:$B$40,2,FALSE))</f>
        <v/>
      </c>
      <c r="U215" s="21" t="str">
        <f>IF($C215="B",VLOOKUP($A215,Bat!$A$4:$AR$1287,44,FALSE),VLOOKUP($A215,Pit!$A$4:$BB$1239,54,FALSE))</f>
        <v/>
      </c>
      <c r="W215" s="21" t="str">
        <f t="shared" si="14"/>
        <v/>
      </c>
      <c r="X215" s="22" t="e">
        <f t="shared" si="15"/>
        <v>#N/A</v>
      </c>
      <c r="Y215" s="16" t="str">
        <f>IF(ISERROR(VLOOKUP($E215&amp;$F215,Results!$A$2:$G$413,Y$1,FALSE)),"",VLOOKUP($E215&amp;$F215,Results!$A$2:$G$413,Y$1,FALSE))</f>
        <v/>
      </c>
      <c r="Z215" s="16" t="str">
        <f>IF(ISERROR(VLOOKUP($E215&amp;$F215,Results!$A$2:$G$413,Z$1,FALSE)),"",VLOOKUP($E215&amp;$F215,Results!$A$2:$G$413,Z$1,FALSE))</f>
        <v/>
      </c>
      <c r="AA215" s="16" t="str">
        <f>IF(ISERROR(VLOOKUP($E215&amp;$F215,Results!$A$2:$G$413,AA$1,FALSE)),"",VLOOKUP($E215&amp;$F215,Results!$A$2:$G$413,AA$1,FALSE))</f>
        <v/>
      </c>
      <c r="AB215" s="16" t="str">
        <f>IF(ISERROR(VLOOKUP($E215&amp;$F215,Results!$A$2:$G$413,AB$1,FALSE)),"",VLOOKUP($E215&amp;$F215,Results!$A$2:$G$413,AB$1,FALSE))</f>
        <v/>
      </c>
      <c r="AC215" s="16"/>
      <c r="AD215" s="20" t="str">
        <f>IF(ISERROR(VLOOKUP($AB215&amp;"-"&amp;$F215,Bonuses!$B$1:$G$1000,4,FALSE)),"",INT(VLOOKUP($AB215&amp;"-"&amp;$F215,Bonuses!$B$1:$G$1000,4,FALSE)))</f>
        <v/>
      </c>
      <c r="AE215" s="16" t="str">
        <f>IF(ISERROR(VLOOKUP($AB215&amp;"-"&amp;$F215,Bonuses!$B$1:$G$1000,5,FALSE)),"",IF(VLOOKUP($AB215&amp;"-"&amp;$F215,Bonuses!$B$1:$G$1000,5,FALSE)="","",VLOOKUP($AB215&amp;"-"&amp;$F215,Bonuses!$B$1:$G$1000,6,FALSE)&amp;" yrs, "&amp;VLOOKUP($AB215&amp;"-"&amp;$F215,Bonuses!$B$1:$G$1000,5,FALSE)))</f>
        <v/>
      </c>
    </row>
    <row r="216" spans="1:31" s="21" customFormat="1">
      <c r="A216" s="21" t="s">
        <v>435</v>
      </c>
      <c r="B216" s="21">
        <f t="shared" si="12"/>
        <v>1</v>
      </c>
      <c r="C216" s="21" t="str">
        <f t="shared" si="13"/>
        <v>B</v>
      </c>
      <c r="D216" s="17">
        <f>IF($C216="B",VLOOKUP($A216,Bat!$A$4:$BD$2323,D$1,FALSE),VLOOKUP($A216,Pit!$A$4:$AZ$2261,D$2,FALSE))</f>
        <v>4308</v>
      </c>
      <c r="E216" s="16" t="str">
        <f>IF($C216="B",VLOOKUP($A216,Bat!$A$4:$BD$2323,E$1,FALSE),VLOOKUP($A216,Pit!$A$4:$AZ$2261,E$2,FALSE))</f>
        <v>C</v>
      </c>
      <c r="F216" s="16" t="str">
        <f>IF($C216="B",VLOOKUP($A216,Bat!$A$4:$BD$2323,F$1,FALSE),VLOOKUP($A216,Pit!$A$4:$AZ$2261,F$2,FALSE))</f>
        <v>Colton Lawrence</v>
      </c>
      <c r="G216" s="16">
        <f>IF($C216="B",VLOOKUP($A216,Bat!$A$4:$BD$2323,G$1,FALSE),VLOOKUP($A216,Pit!$A$4:$AZ$2261,G$2,FALSE))</f>
        <v>21</v>
      </c>
      <c r="H216" s="16" t="str">
        <f>IF($C216="B",VLOOKUP($A216,Bat!$A$4:$BD$2323,H$1,FALSE),VLOOKUP($A216,Pit!$A$4:$AZ$2261,H$2,FALSE))</f>
        <v>L</v>
      </c>
      <c r="I216" s="16" t="str">
        <f>IF($C216="B",VLOOKUP($A216,Bat!$A$4:$BD$2323,I$1,FALSE),VLOOKUP($A216,Pit!$A$4:$AZ$2261,I$2,FALSE))</f>
        <v>R</v>
      </c>
      <c r="J216" s="16" t="str">
        <f>IF($C216="B",VLOOKUP($A216,Bat!$A$4:$BD$2323,J$1,FALSE),VLOOKUP($A216,Pit!$A$4:$AZ$2261,J$2,FALSE))</f>
        <v>Low</v>
      </c>
      <c r="K216" s="17" t="str">
        <f>IF($C216="B",VLOOKUP($A216,Bat!$A$4:$BD$2323,K$1,FALSE),VLOOKUP($A216,Pit!$A$4:$AZ$2261,K$2,FALSE))</f>
        <v>Very High</v>
      </c>
      <c r="L216" s="16">
        <f>IF($C216="B",VLOOKUP($A216,Bat!$A$4:$BD$2323,L$1,FALSE),VLOOKUP($A216,Pit!$A$4:$AZ$2261,L$2,FALSE))</f>
        <v>4</v>
      </c>
      <c r="M216" s="16">
        <f>IF($C216="B",VLOOKUP($A216,Bat!$A$4:$BD$2323,M$1,FALSE),VLOOKUP($A216,Pit!$A$4:$AZ$2261,M$2,FALSE))</f>
        <v>4</v>
      </c>
      <c r="N216" s="16">
        <f>IF($C216="B",VLOOKUP($A216,Bat!$A$4:$BD$2323,N$1,FALSE),VLOOKUP($A216,Pit!$A$4:$AZ$2261,N$2,FALSE))</f>
        <v>2</v>
      </c>
      <c r="O216" s="16">
        <f>IF($C216="B",VLOOKUP($A216,Bat!$A$4:$BD$2323,O$1,FALSE),VLOOKUP($A216,Pit!$A$4:$AZ$2261,O$2,FALSE))</f>
        <v>5</v>
      </c>
      <c r="P216" s="17">
        <f>IF($C216="B",VLOOKUP($A216,Bat!$A$4:$BD$2323,P$1,FALSE),VLOOKUP($A216,Pit!$A$4:$AZ$2261,P$2,FALSE))</f>
        <v>4</v>
      </c>
      <c r="Q216" s="18">
        <f>IF($C216="B",VLOOKUP($A216,Bat!$A$4:$BD$2323,Q$1,FALSE),VLOOKUP($A216,Pit!$A$4:$AZ$2261,Q$2,FALSE))</f>
        <v>5.2329379563872465</v>
      </c>
      <c r="R216" s="19">
        <f>IF($C216="B",VLOOKUP($A216,Bat!$A$4:$BD$2323,R$1,FALSE),VLOOKUP($A216,Pit!$A$4:$AZ$2261,R$2,FALSE))</f>
        <v>-0.75485158592170043</v>
      </c>
      <c r="S216" s="20" t="str">
        <f>IF($C216="B",VLOOKUP($A216,Bat!$A$4:$BD$2323,S$1,FALSE),VLOOKUP($A216,Pit!$A$4:$AZ$2261,S$2,FALSE))</f>
        <v>Slot</v>
      </c>
      <c r="T216" s="17" t="str">
        <f>IF(S216="Slot","",VLOOKUP(IF($C216="B",VLOOKUP($A216,Bat!$A$4:$AT$2323,T$1,FALSE),VLOOKUP($A216,Pit!$A$4:$BD$2261,T$2,FALSE)),COND!$A$34:$B$40,2,FALSE))</f>
        <v/>
      </c>
      <c r="U216" s="21" t="str">
        <f>IF($C216="B",VLOOKUP($A216,Bat!$A$4:$AR$1287,44,FALSE),VLOOKUP($A216,Pit!$A$4:$BB$1239,54,FALSE))</f>
        <v/>
      </c>
      <c r="W216" s="21" t="str">
        <f t="shared" si="14"/>
        <v/>
      </c>
      <c r="X216" s="22" t="e">
        <f t="shared" si="15"/>
        <v>#N/A</v>
      </c>
      <c r="Y216" s="16" t="str">
        <f>IF(ISERROR(VLOOKUP($E216&amp;$F216,Results!$A$2:$G$413,Y$1,FALSE)),"",VLOOKUP($E216&amp;$F216,Results!$A$2:$G$413,Y$1,FALSE))</f>
        <v/>
      </c>
      <c r="Z216" s="16" t="str">
        <f>IF(ISERROR(VLOOKUP($E216&amp;$F216,Results!$A$2:$G$413,Z$1,FALSE)),"",VLOOKUP($E216&amp;$F216,Results!$A$2:$G$413,Z$1,FALSE))</f>
        <v/>
      </c>
      <c r="AA216" s="16" t="str">
        <f>IF(ISERROR(VLOOKUP($E216&amp;$F216,Results!$A$2:$G$413,AA$1,FALSE)),"",VLOOKUP($E216&amp;$F216,Results!$A$2:$G$413,AA$1,FALSE))</f>
        <v/>
      </c>
      <c r="AB216" s="16" t="str">
        <f>IF(ISERROR(VLOOKUP($E216&amp;$F216,Results!$A$2:$G$413,AB$1,FALSE)),"",VLOOKUP($E216&amp;$F216,Results!$A$2:$G$413,AB$1,FALSE))</f>
        <v/>
      </c>
      <c r="AC216" s="16"/>
      <c r="AD216" s="20" t="str">
        <f>IF(ISERROR(VLOOKUP($AB216&amp;"-"&amp;$F216,Bonuses!$B$1:$G$1000,4,FALSE)),"",INT(VLOOKUP($AB216&amp;"-"&amp;$F216,Bonuses!$B$1:$G$1000,4,FALSE)))</f>
        <v/>
      </c>
      <c r="AE216" s="16" t="str">
        <f>IF(ISERROR(VLOOKUP($AB216&amp;"-"&amp;$F216,Bonuses!$B$1:$G$1000,5,FALSE)),"",IF(VLOOKUP($AB216&amp;"-"&amp;$F216,Bonuses!$B$1:$G$1000,5,FALSE)="","",VLOOKUP($AB216&amp;"-"&amp;$F216,Bonuses!$B$1:$G$1000,6,FALSE)&amp;" yrs, "&amp;VLOOKUP($AB216&amp;"-"&amp;$F216,Bonuses!$B$1:$G$1000,5,FALSE)))</f>
        <v/>
      </c>
    </row>
    <row r="217" spans="1:31" s="21" customFormat="1">
      <c r="A217" s="21" t="s">
        <v>875</v>
      </c>
      <c r="B217" s="21">
        <f t="shared" si="12"/>
        <v>1</v>
      </c>
      <c r="C217" s="21" t="str">
        <f t="shared" si="13"/>
        <v>B</v>
      </c>
      <c r="D217" s="17">
        <f>IF($C217="B",VLOOKUP($A217,Bat!$A$4:$BD$2323,D$1,FALSE),VLOOKUP($A217,Pit!$A$4:$AZ$2261,D$2,FALSE))</f>
        <v>6555</v>
      </c>
      <c r="E217" s="16" t="str">
        <f>IF($C217="B",VLOOKUP($A217,Bat!$A$4:$BD$2323,E$1,FALSE),VLOOKUP($A217,Pit!$A$4:$AZ$2261,E$2,FALSE))</f>
        <v>3B</v>
      </c>
      <c r="F217" s="16" t="str">
        <f>IF($C217="B",VLOOKUP($A217,Bat!$A$4:$BD$2323,F$1,FALSE),VLOOKUP($A217,Pit!$A$4:$AZ$2261,F$2,FALSE))</f>
        <v>Scott Coleman</v>
      </c>
      <c r="G217" s="16">
        <f>IF($C217="B",VLOOKUP($A217,Bat!$A$4:$BD$2323,G$1,FALSE),VLOOKUP($A217,Pit!$A$4:$AZ$2261,G$2,FALSE))</f>
        <v>21</v>
      </c>
      <c r="H217" s="16" t="str">
        <f>IF($C217="B",VLOOKUP($A217,Bat!$A$4:$BD$2323,H$1,FALSE),VLOOKUP($A217,Pit!$A$4:$AZ$2261,H$2,FALSE))</f>
        <v>R</v>
      </c>
      <c r="I217" s="16" t="str">
        <f>IF($C217="B",VLOOKUP($A217,Bat!$A$4:$BD$2323,I$1,FALSE),VLOOKUP($A217,Pit!$A$4:$AZ$2261,I$2,FALSE))</f>
        <v>R</v>
      </c>
      <c r="J217" s="16" t="str">
        <f>IF($C217="B",VLOOKUP($A217,Bat!$A$4:$BD$2323,J$1,FALSE),VLOOKUP($A217,Pit!$A$4:$AZ$2261,J$2,FALSE))</f>
        <v>Very Low</v>
      </c>
      <c r="K217" s="17" t="str">
        <f>IF($C217="B",VLOOKUP($A217,Bat!$A$4:$BD$2323,K$1,FALSE),VLOOKUP($A217,Pit!$A$4:$AZ$2261,K$2,FALSE))</f>
        <v>Very Low</v>
      </c>
      <c r="L217" s="16">
        <f>IF($C217="B",VLOOKUP($A217,Bat!$A$4:$BD$2323,L$1,FALSE),VLOOKUP($A217,Pit!$A$4:$AZ$2261,L$2,FALSE))</f>
        <v>4</v>
      </c>
      <c r="M217" s="16">
        <f>IF($C217="B",VLOOKUP($A217,Bat!$A$4:$BD$2323,M$1,FALSE),VLOOKUP($A217,Pit!$A$4:$AZ$2261,M$2,FALSE))</f>
        <v>4</v>
      </c>
      <c r="N217" s="16">
        <f>IF($C217="B",VLOOKUP($A217,Bat!$A$4:$BD$2323,N$1,FALSE),VLOOKUP($A217,Pit!$A$4:$AZ$2261,N$2,FALSE))</f>
        <v>2</v>
      </c>
      <c r="O217" s="16">
        <f>IF($C217="B",VLOOKUP($A217,Bat!$A$4:$BD$2323,O$1,FALSE),VLOOKUP($A217,Pit!$A$4:$AZ$2261,O$2,FALSE))</f>
        <v>4</v>
      </c>
      <c r="P217" s="17">
        <f>IF($C217="B",VLOOKUP($A217,Bat!$A$4:$BD$2323,P$1,FALSE),VLOOKUP($A217,Pit!$A$4:$AZ$2261,P$2,FALSE))</f>
        <v>4</v>
      </c>
      <c r="Q217" s="18">
        <f>IF($C217="B",VLOOKUP($A217,Bat!$A$4:$BD$2323,Q$1,FALSE),VLOOKUP($A217,Pit!$A$4:$AZ$2261,Q$2,FALSE))</f>
        <v>5.2003762855399582</v>
      </c>
      <c r="R217" s="19">
        <f>IF($C217="B",VLOOKUP($A217,Bat!$A$4:$BD$2323,R$1,FALSE),VLOOKUP($A217,Pit!$A$4:$AZ$2261,R$2,FALSE))</f>
        <v>-0.7593751721799491</v>
      </c>
      <c r="S217" s="20" t="str">
        <f>IF($C217="B",VLOOKUP($A217,Bat!$A$4:$BD$2323,S$1,FALSE),VLOOKUP($A217,Pit!$A$4:$AZ$2261,S$2,FALSE))</f>
        <v>Slot</v>
      </c>
      <c r="T217" s="17" t="str">
        <f>IF(S217="Slot","",VLOOKUP(IF($C217="B",VLOOKUP($A217,Bat!$A$4:$AT$2323,T$1,FALSE),VLOOKUP($A217,Pit!$A$4:$BD$2261,T$2,FALSE)),COND!$A$34:$B$40,2,FALSE))</f>
        <v/>
      </c>
      <c r="U217" s="21" t="str">
        <f>IF($C217="B",VLOOKUP($A217,Bat!$A$4:$AR$1287,44,FALSE),VLOOKUP($A217,Pit!$A$4:$BB$1239,54,FALSE))</f>
        <v/>
      </c>
      <c r="W217" s="21" t="str">
        <f t="shared" si="14"/>
        <v/>
      </c>
      <c r="X217" s="22" t="e">
        <f t="shared" si="15"/>
        <v>#N/A</v>
      </c>
      <c r="Y217" s="16" t="str">
        <f>IF(ISERROR(VLOOKUP($E217&amp;$F217,Results!$A$2:$G$413,Y$1,FALSE)),"",VLOOKUP($E217&amp;$F217,Results!$A$2:$G$413,Y$1,FALSE))</f>
        <v/>
      </c>
      <c r="Z217" s="16" t="str">
        <f>IF(ISERROR(VLOOKUP($E217&amp;$F217,Results!$A$2:$G$413,Z$1,FALSE)),"",VLOOKUP($E217&amp;$F217,Results!$A$2:$G$413,Z$1,FALSE))</f>
        <v/>
      </c>
      <c r="AA217" s="16" t="str">
        <f>IF(ISERROR(VLOOKUP($E217&amp;$F217,Results!$A$2:$G$413,AA$1,FALSE)),"",VLOOKUP($E217&amp;$F217,Results!$A$2:$G$413,AA$1,FALSE))</f>
        <v/>
      </c>
      <c r="AB217" s="16" t="str">
        <f>IF(ISERROR(VLOOKUP($E217&amp;$F217,Results!$A$2:$G$413,AB$1,FALSE)),"",VLOOKUP($E217&amp;$F217,Results!$A$2:$G$413,AB$1,FALSE))</f>
        <v/>
      </c>
      <c r="AC217" s="16"/>
      <c r="AD217" s="20" t="str">
        <f>IF(ISERROR(VLOOKUP($AB217&amp;"-"&amp;$F217,Bonuses!$B$1:$G$1000,4,FALSE)),"",INT(VLOOKUP($AB217&amp;"-"&amp;$F217,Bonuses!$B$1:$G$1000,4,FALSE)))</f>
        <v/>
      </c>
      <c r="AE217" s="16" t="str">
        <f>IF(ISERROR(VLOOKUP($AB217&amp;"-"&amp;$F217,Bonuses!$B$1:$G$1000,5,FALSE)),"",IF(VLOOKUP($AB217&amp;"-"&amp;$F217,Bonuses!$B$1:$G$1000,5,FALSE)="","",VLOOKUP($AB217&amp;"-"&amp;$F217,Bonuses!$B$1:$G$1000,6,FALSE)&amp;" yrs, "&amp;VLOOKUP($AB217&amp;"-"&amp;$F217,Bonuses!$B$1:$G$1000,5,FALSE)))</f>
        <v/>
      </c>
    </row>
    <row r="218" spans="1:31" s="21" customFormat="1">
      <c r="A218" s="21" t="s">
        <v>889</v>
      </c>
      <c r="B218" s="21">
        <f t="shared" si="12"/>
        <v>1</v>
      </c>
      <c r="C218" s="21" t="str">
        <f t="shared" si="13"/>
        <v>B</v>
      </c>
      <c r="D218" s="17" t="e">
        <f>IF($C218="B",VLOOKUP($A218,Bat!$A$4:$BD$2323,D$1,FALSE),VLOOKUP($A218,Pit!$A$4:$AZ$2261,D$2,FALSE))</f>
        <v>#N/A</v>
      </c>
      <c r="E218" s="16" t="e">
        <f>IF($C218="B",VLOOKUP($A218,Bat!$A$4:$BD$2323,E$1,FALSE),VLOOKUP($A218,Pit!$A$4:$AZ$2261,E$2,FALSE))</f>
        <v>#N/A</v>
      </c>
      <c r="F218" s="16" t="e">
        <f>IF($C218="B",VLOOKUP($A218,Bat!$A$4:$BD$2323,F$1,FALSE),VLOOKUP($A218,Pit!$A$4:$AZ$2261,F$2,FALSE))</f>
        <v>#N/A</v>
      </c>
      <c r="G218" s="16" t="e">
        <f>IF($C218="B",VLOOKUP($A218,Bat!$A$4:$BD$2323,G$1,FALSE),VLOOKUP($A218,Pit!$A$4:$AZ$2261,G$2,FALSE))</f>
        <v>#N/A</v>
      </c>
      <c r="H218" s="16" t="e">
        <f>IF($C218="B",VLOOKUP($A218,Bat!$A$4:$BD$2323,H$1,FALSE),VLOOKUP($A218,Pit!$A$4:$AZ$2261,H$2,FALSE))</f>
        <v>#N/A</v>
      </c>
      <c r="I218" s="16" t="e">
        <f>IF($C218="B",VLOOKUP($A218,Bat!$A$4:$BD$2323,I$1,FALSE),VLOOKUP($A218,Pit!$A$4:$AZ$2261,I$2,FALSE))</f>
        <v>#N/A</v>
      </c>
      <c r="J218" s="16" t="e">
        <f>IF($C218="B",VLOOKUP($A218,Bat!$A$4:$BD$2323,J$1,FALSE),VLOOKUP($A218,Pit!$A$4:$AZ$2261,J$2,FALSE))</f>
        <v>#N/A</v>
      </c>
      <c r="K218" s="17" t="e">
        <f>IF($C218="B",VLOOKUP($A218,Bat!$A$4:$BD$2323,K$1,FALSE),VLOOKUP($A218,Pit!$A$4:$AZ$2261,K$2,FALSE))</f>
        <v>#N/A</v>
      </c>
      <c r="L218" s="16" t="e">
        <f>IF($C218="B",VLOOKUP($A218,Bat!$A$4:$BD$2323,L$1,FALSE),VLOOKUP($A218,Pit!$A$4:$AZ$2261,L$2,FALSE))</f>
        <v>#N/A</v>
      </c>
      <c r="M218" s="16" t="e">
        <f>IF($C218="B",VLOOKUP($A218,Bat!$A$4:$BD$2323,M$1,FALSE),VLOOKUP($A218,Pit!$A$4:$AZ$2261,M$2,FALSE))</f>
        <v>#N/A</v>
      </c>
      <c r="N218" s="16" t="e">
        <f>IF($C218="B",VLOOKUP($A218,Bat!$A$4:$BD$2323,N$1,FALSE),VLOOKUP($A218,Pit!$A$4:$AZ$2261,N$2,FALSE))</f>
        <v>#N/A</v>
      </c>
      <c r="O218" s="16" t="e">
        <f>IF($C218="B",VLOOKUP($A218,Bat!$A$4:$BD$2323,O$1,FALSE),VLOOKUP($A218,Pit!$A$4:$AZ$2261,O$2,FALSE))</f>
        <v>#N/A</v>
      </c>
      <c r="P218" s="17" t="e">
        <f>IF($C218="B",VLOOKUP($A218,Bat!$A$4:$BD$2323,P$1,FALSE),VLOOKUP($A218,Pit!$A$4:$AZ$2261,P$2,FALSE))</f>
        <v>#N/A</v>
      </c>
      <c r="Q218" s="18" t="e">
        <f>IF($C218="B",VLOOKUP($A218,Bat!$A$4:$BD$2323,Q$1,FALSE),VLOOKUP($A218,Pit!$A$4:$AZ$2261,Q$2,FALSE))</f>
        <v>#N/A</v>
      </c>
      <c r="R218" s="19" t="e">
        <f>IF($C218="B",VLOOKUP($A218,Bat!$A$4:$BD$2323,R$1,FALSE),VLOOKUP($A218,Pit!$A$4:$AZ$2261,R$2,FALSE))</f>
        <v>#N/A</v>
      </c>
      <c r="S218" s="20" t="e">
        <f>IF($C218="B",VLOOKUP($A218,Bat!$A$4:$BD$2323,S$1,FALSE),VLOOKUP($A218,Pit!$A$4:$AZ$2261,S$2,FALSE))</f>
        <v>#N/A</v>
      </c>
      <c r="T218" s="17" t="e">
        <f>IF(S218="Slot","",VLOOKUP(IF($C218="B",VLOOKUP($A218,Bat!$A$4:$AT$2323,T$1,FALSE),VLOOKUP($A218,Pit!$A$4:$BD$2261,T$2,FALSE)),COND!$A$34:$B$40,2,FALSE))</f>
        <v>#N/A</v>
      </c>
      <c r="U218" s="21" t="e">
        <f>IF($C218="B",VLOOKUP($A218,Bat!$A$4:$AR$1287,44,FALSE),VLOOKUP($A218,Pit!$A$4:$BB$1239,54,FALSE))</f>
        <v>#N/A</v>
      </c>
      <c r="W218" s="21" t="e">
        <f t="shared" si="14"/>
        <v>#N/A</v>
      </c>
      <c r="X218" s="22" t="e">
        <f t="shared" si="15"/>
        <v>#N/A</v>
      </c>
      <c r="Y218" s="16" t="str">
        <f>IF(ISERROR(VLOOKUP($E218&amp;$F218,Results!$A$2:$G$413,Y$1,FALSE)),"",VLOOKUP($E218&amp;$F218,Results!$A$2:$G$413,Y$1,FALSE))</f>
        <v/>
      </c>
      <c r="Z218" s="16" t="str">
        <f>IF(ISERROR(VLOOKUP($E218&amp;$F218,Results!$A$2:$G$413,Z$1,FALSE)),"",VLOOKUP($E218&amp;$F218,Results!$A$2:$G$413,Z$1,FALSE))</f>
        <v/>
      </c>
      <c r="AA218" s="16" t="str">
        <f>IF(ISERROR(VLOOKUP($E218&amp;$F218,Results!$A$2:$G$413,AA$1,FALSE)),"",VLOOKUP($E218&amp;$F218,Results!$A$2:$G$413,AA$1,FALSE))</f>
        <v/>
      </c>
      <c r="AB218" s="16" t="str">
        <f>IF(ISERROR(VLOOKUP($E218&amp;$F218,Results!$A$2:$G$413,AB$1,FALSE)),"",VLOOKUP($E218&amp;$F218,Results!$A$2:$G$413,AB$1,FALSE))</f>
        <v/>
      </c>
      <c r="AC218" s="16"/>
      <c r="AD218" s="20" t="str">
        <f>IF(ISERROR(VLOOKUP($AB218&amp;"-"&amp;$F218,Bonuses!$B$1:$G$1000,4,FALSE)),"",INT(VLOOKUP($AB218&amp;"-"&amp;$F218,Bonuses!$B$1:$G$1000,4,FALSE)))</f>
        <v/>
      </c>
      <c r="AE218" s="16" t="str">
        <f>IF(ISERROR(VLOOKUP($AB218&amp;"-"&amp;$F218,Bonuses!$B$1:$G$1000,5,FALSE)),"",IF(VLOOKUP($AB218&amp;"-"&amp;$F218,Bonuses!$B$1:$G$1000,5,FALSE)="","",VLOOKUP($AB218&amp;"-"&amp;$F218,Bonuses!$B$1:$G$1000,6,FALSE)&amp;" yrs, "&amp;VLOOKUP($AB218&amp;"-"&amp;$F218,Bonuses!$B$1:$G$1000,5,FALSE)))</f>
        <v/>
      </c>
    </row>
    <row r="219" spans="1:31" s="21" customFormat="1">
      <c r="A219" s="21" t="s">
        <v>880</v>
      </c>
      <c r="B219" s="21">
        <f t="shared" si="12"/>
        <v>1</v>
      </c>
      <c r="C219" s="21" t="str">
        <f t="shared" si="13"/>
        <v>B</v>
      </c>
      <c r="D219" s="17" t="e">
        <f>IF($C219="B",VLOOKUP($A219,Bat!$A$4:$BD$2323,D$1,FALSE),VLOOKUP($A219,Pit!$A$4:$AZ$2261,D$2,FALSE))</f>
        <v>#N/A</v>
      </c>
      <c r="E219" s="16" t="e">
        <f>IF($C219="B",VLOOKUP($A219,Bat!$A$4:$BD$2323,E$1,FALSE),VLOOKUP($A219,Pit!$A$4:$AZ$2261,E$2,FALSE))</f>
        <v>#N/A</v>
      </c>
      <c r="F219" s="16" t="e">
        <f>IF($C219="B",VLOOKUP($A219,Bat!$A$4:$BD$2323,F$1,FALSE),VLOOKUP($A219,Pit!$A$4:$AZ$2261,F$2,FALSE))</f>
        <v>#N/A</v>
      </c>
      <c r="G219" s="16" t="e">
        <f>IF($C219="B",VLOOKUP($A219,Bat!$A$4:$BD$2323,G$1,FALSE),VLOOKUP($A219,Pit!$A$4:$AZ$2261,G$2,FALSE))</f>
        <v>#N/A</v>
      </c>
      <c r="H219" s="16" t="e">
        <f>IF($C219="B",VLOOKUP($A219,Bat!$A$4:$BD$2323,H$1,FALSE),VLOOKUP($A219,Pit!$A$4:$AZ$2261,H$2,FALSE))</f>
        <v>#N/A</v>
      </c>
      <c r="I219" s="16" t="e">
        <f>IF($C219="B",VLOOKUP($A219,Bat!$A$4:$BD$2323,I$1,FALSE),VLOOKUP($A219,Pit!$A$4:$AZ$2261,I$2,FALSE))</f>
        <v>#N/A</v>
      </c>
      <c r="J219" s="16" t="e">
        <f>IF($C219="B",VLOOKUP($A219,Bat!$A$4:$BD$2323,J$1,FALSE),VLOOKUP($A219,Pit!$A$4:$AZ$2261,J$2,FALSE))</f>
        <v>#N/A</v>
      </c>
      <c r="K219" s="17" t="e">
        <f>IF($C219="B",VLOOKUP($A219,Bat!$A$4:$BD$2323,K$1,FALSE),VLOOKUP($A219,Pit!$A$4:$AZ$2261,K$2,FALSE))</f>
        <v>#N/A</v>
      </c>
      <c r="L219" s="16" t="e">
        <f>IF($C219="B",VLOOKUP($A219,Bat!$A$4:$BD$2323,L$1,FALSE),VLOOKUP($A219,Pit!$A$4:$AZ$2261,L$2,FALSE))</f>
        <v>#N/A</v>
      </c>
      <c r="M219" s="16" t="e">
        <f>IF($C219="B",VLOOKUP($A219,Bat!$A$4:$BD$2323,M$1,FALSE),VLOOKUP($A219,Pit!$A$4:$AZ$2261,M$2,FALSE))</f>
        <v>#N/A</v>
      </c>
      <c r="N219" s="16" t="e">
        <f>IF($C219="B",VLOOKUP($A219,Bat!$A$4:$BD$2323,N$1,FALSE),VLOOKUP($A219,Pit!$A$4:$AZ$2261,N$2,FALSE))</f>
        <v>#N/A</v>
      </c>
      <c r="O219" s="16" t="e">
        <f>IF($C219="B",VLOOKUP($A219,Bat!$A$4:$BD$2323,O$1,FALSE),VLOOKUP($A219,Pit!$A$4:$AZ$2261,O$2,FALSE))</f>
        <v>#N/A</v>
      </c>
      <c r="P219" s="17" t="e">
        <f>IF($C219="B",VLOOKUP($A219,Bat!$A$4:$BD$2323,P$1,FALSE),VLOOKUP($A219,Pit!$A$4:$AZ$2261,P$2,FALSE))</f>
        <v>#N/A</v>
      </c>
      <c r="Q219" s="18" t="e">
        <f>IF($C219="B",VLOOKUP($A219,Bat!$A$4:$BD$2323,Q$1,FALSE),VLOOKUP($A219,Pit!$A$4:$AZ$2261,Q$2,FALSE))</f>
        <v>#N/A</v>
      </c>
      <c r="R219" s="19" t="e">
        <f>IF($C219="B",VLOOKUP($A219,Bat!$A$4:$BD$2323,R$1,FALSE),VLOOKUP($A219,Pit!$A$4:$AZ$2261,R$2,FALSE))</f>
        <v>#N/A</v>
      </c>
      <c r="S219" s="20" t="e">
        <f>IF($C219="B",VLOOKUP($A219,Bat!$A$4:$BD$2323,S$1,FALSE),VLOOKUP($A219,Pit!$A$4:$AZ$2261,S$2,FALSE))</f>
        <v>#N/A</v>
      </c>
      <c r="T219" s="17" t="e">
        <f>IF(S219="Slot","",VLOOKUP(IF($C219="B",VLOOKUP($A219,Bat!$A$4:$AT$2323,T$1,FALSE),VLOOKUP($A219,Pit!$A$4:$BD$2261,T$2,FALSE)),COND!$A$34:$B$40,2,FALSE))</f>
        <v>#N/A</v>
      </c>
      <c r="U219" s="21" t="e">
        <f>IF($C219="B",VLOOKUP($A219,Bat!$A$4:$AR$1287,44,FALSE),VLOOKUP($A219,Pit!$A$4:$BB$1239,54,FALSE))</f>
        <v>#N/A</v>
      </c>
      <c r="W219" s="21" t="e">
        <f t="shared" si="14"/>
        <v>#N/A</v>
      </c>
      <c r="X219" s="22" t="e">
        <f t="shared" si="15"/>
        <v>#N/A</v>
      </c>
      <c r="Y219" s="16" t="str">
        <f>IF(ISERROR(VLOOKUP($E219&amp;$F219,Results!$A$2:$G$413,Y$1,FALSE)),"",VLOOKUP($E219&amp;$F219,Results!$A$2:$G$413,Y$1,FALSE))</f>
        <v/>
      </c>
      <c r="Z219" s="16" t="str">
        <f>IF(ISERROR(VLOOKUP($E219&amp;$F219,Results!$A$2:$G$413,Z$1,FALSE)),"",VLOOKUP($E219&amp;$F219,Results!$A$2:$G$413,Z$1,FALSE))</f>
        <v/>
      </c>
      <c r="AA219" s="16" t="str">
        <f>IF(ISERROR(VLOOKUP($E219&amp;$F219,Results!$A$2:$G$413,AA$1,FALSE)),"",VLOOKUP($E219&amp;$F219,Results!$A$2:$G$413,AA$1,FALSE))</f>
        <v/>
      </c>
      <c r="AB219" s="16" t="str">
        <f>IF(ISERROR(VLOOKUP($E219&amp;$F219,Results!$A$2:$G$413,AB$1,FALSE)),"",VLOOKUP($E219&amp;$F219,Results!$A$2:$G$413,AB$1,FALSE))</f>
        <v/>
      </c>
      <c r="AC219" s="16"/>
      <c r="AD219" s="20" t="str">
        <f>IF(ISERROR(VLOOKUP($AB219&amp;"-"&amp;$F219,Bonuses!$B$1:$G$1000,4,FALSE)),"",INT(VLOOKUP($AB219&amp;"-"&amp;$F219,Bonuses!$B$1:$G$1000,4,FALSE)))</f>
        <v/>
      </c>
      <c r="AE219" s="16" t="str">
        <f>IF(ISERROR(VLOOKUP($AB219&amp;"-"&amp;$F219,Bonuses!$B$1:$G$1000,5,FALSE)),"",IF(VLOOKUP($AB219&amp;"-"&amp;$F219,Bonuses!$B$1:$G$1000,5,FALSE)="","",VLOOKUP($AB219&amp;"-"&amp;$F219,Bonuses!$B$1:$G$1000,6,FALSE)&amp;" yrs, "&amp;VLOOKUP($AB219&amp;"-"&amp;$F219,Bonuses!$B$1:$G$1000,5,FALSE)))</f>
        <v/>
      </c>
    </row>
    <row r="220" spans="1:31" s="21" customFormat="1">
      <c r="A220" s="21" t="s">
        <v>899</v>
      </c>
      <c r="B220" s="21">
        <f t="shared" si="12"/>
        <v>1</v>
      </c>
      <c r="C220" s="21" t="str">
        <f t="shared" si="13"/>
        <v>B</v>
      </c>
      <c r="D220" s="17" t="e">
        <f>IF($C220="B",VLOOKUP($A220,Bat!$A$4:$BD$2323,D$1,FALSE),VLOOKUP($A220,Pit!$A$4:$AZ$2261,D$2,FALSE))</f>
        <v>#N/A</v>
      </c>
      <c r="E220" s="16" t="e">
        <f>IF($C220="B",VLOOKUP($A220,Bat!$A$4:$BD$2323,E$1,FALSE),VLOOKUP($A220,Pit!$A$4:$AZ$2261,E$2,FALSE))</f>
        <v>#N/A</v>
      </c>
      <c r="F220" s="16" t="e">
        <f>IF($C220="B",VLOOKUP($A220,Bat!$A$4:$BD$2323,F$1,FALSE),VLOOKUP($A220,Pit!$A$4:$AZ$2261,F$2,FALSE))</f>
        <v>#N/A</v>
      </c>
      <c r="G220" s="16" t="e">
        <f>IF($C220="B",VLOOKUP($A220,Bat!$A$4:$BD$2323,G$1,FALSE),VLOOKUP($A220,Pit!$A$4:$AZ$2261,G$2,FALSE))</f>
        <v>#N/A</v>
      </c>
      <c r="H220" s="16" t="e">
        <f>IF($C220="B",VLOOKUP($A220,Bat!$A$4:$BD$2323,H$1,FALSE),VLOOKUP($A220,Pit!$A$4:$AZ$2261,H$2,FALSE))</f>
        <v>#N/A</v>
      </c>
      <c r="I220" s="16" t="e">
        <f>IF($C220="B",VLOOKUP($A220,Bat!$A$4:$BD$2323,I$1,FALSE),VLOOKUP($A220,Pit!$A$4:$AZ$2261,I$2,FALSE))</f>
        <v>#N/A</v>
      </c>
      <c r="J220" s="16" t="e">
        <f>IF($C220="B",VLOOKUP($A220,Bat!$A$4:$BD$2323,J$1,FALSE),VLOOKUP($A220,Pit!$A$4:$AZ$2261,J$2,FALSE))</f>
        <v>#N/A</v>
      </c>
      <c r="K220" s="17" t="e">
        <f>IF($C220="B",VLOOKUP($A220,Bat!$A$4:$BD$2323,K$1,FALSE),VLOOKUP($A220,Pit!$A$4:$AZ$2261,K$2,FALSE))</f>
        <v>#N/A</v>
      </c>
      <c r="L220" s="16" t="e">
        <f>IF($C220="B",VLOOKUP($A220,Bat!$A$4:$BD$2323,L$1,FALSE),VLOOKUP($A220,Pit!$A$4:$AZ$2261,L$2,FALSE))</f>
        <v>#N/A</v>
      </c>
      <c r="M220" s="16" t="e">
        <f>IF($C220="B",VLOOKUP($A220,Bat!$A$4:$BD$2323,M$1,FALSE),VLOOKUP($A220,Pit!$A$4:$AZ$2261,M$2,FALSE))</f>
        <v>#N/A</v>
      </c>
      <c r="N220" s="16" t="e">
        <f>IF($C220="B",VLOOKUP($A220,Bat!$A$4:$BD$2323,N$1,FALSE),VLOOKUP($A220,Pit!$A$4:$AZ$2261,N$2,FALSE))</f>
        <v>#N/A</v>
      </c>
      <c r="O220" s="16" t="e">
        <f>IF($C220="B",VLOOKUP($A220,Bat!$A$4:$BD$2323,O$1,FALSE),VLOOKUP($A220,Pit!$A$4:$AZ$2261,O$2,FALSE))</f>
        <v>#N/A</v>
      </c>
      <c r="P220" s="17" t="e">
        <f>IF($C220="B",VLOOKUP($A220,Bat!$A$4:$BD$2323,P$1,FALSE),VLOOKUP($A220,Pit!$A$4:$AZ$2261,P$2,FALSE))</f>
        <v>#N/A</v>
      </c>
      <c r="Q220" s="18" t="e">
        <f>IF($C220="B",VLOOKUP($A220,Bat!$A$4:$BD$2323,Q$1,FALSE),VLOOKUP($A220,Pit!$A$4:$AZ$2261,Q$2,FALSE))</f>
        <v>#N/A</v>
      </c>
      <c r="R220" s="19" t="e">
        <f>IF($C220="B",VLOOKUP($A220,Bat!$A$4:$BD$2323,R$1,FALSE),VLOOKUP($A220,Pit!$A$4:$AZ$2261,R$2,FALSE))</f>
        <v>#N/A</v>
      </c>
      <c r="S220" s="20" t="e">
        <f>IF($C220="B",VLOOKUP($A220,Bat!$A$4:$BD$2323,S$1,FALSE),VLOOKUP($A220,Pit!$A$4:$AZ$2261,S$2,FALSE))</f>
        <v>#N/A</v>
      </c>
      <c r="T220" s="17" t="e">
        <f>IF(S220="Slot","",VLOOKUP(IF($C220="B",VLOOKUP($A220,Bat!$A$4:$AT$2323,T$1,FALSE),VLOOKUP($A220,Pit!$A$4:$BD$2261,T$2,FALSE)),COND!$A$34:$B$40,2,FALSE))</f>
        <v>#N/A</v>
      </c>
      <c r="U220" s="21" t="e">
        <f>IF($C220="B",VLOOKUP($A220,Bat!$A$4:$AR$1287,44,FALSE),VLOOKUP($A220,Pit!$A$4:$BB$1239,54,FALSE))</f>
        <v>#N/A</v>
      </c>
      <c r="W220" s="21" t="e">
        <f t="shared" si="14"/>
        <v>#N/A</v>
      </c>
      <c r="X220" s="22" t="e">
        <f t="shared" si="15"/>
        <v>#N/A</v>
      </c>
      <c r="Y220" s="16" t="str">
        <f>IF(ISERROR(VLOOKUP($E220&amp;$F220,Results!$A$2:$G$413,Y$1,FALSE)),"",VLOOKUP($E220&amp;$F220,Results!$A$2:$G$413,Y$1,FALSE))</f>
        <v/>
      </c>
      <c r="Z220" s="16" t="str">
        <f>IF(ISERROR(VLOOKUP($E220&amp;$F220,Results!$A$2:$G$413,Z$1,FALSE)),"",VLOOKUP($E220&amp;$F220,Results!$A$2:$G$413,Z$1,FALSE))</f>
        <v/>
      </c>
      <c r="AA220" s="16" t="str">
        <f>IF(ISERROR(VLOOKUP($E220&amp;$F220,Results!$A$2:$G$413,AA$1,FALSE)),"",VLOOKUP($E220&amp;$F220,Results!$A$2:$G$413,AA$1,FALSE))</f>
        <v/>
      </c>
      <c r="AB220" s="16" t="str">
        <f>IF(ISERROR(VLOOKUP($E220&amp;$F220,Results!$A$2:$G$413,AB$1,FALSE)),"",VLOOKUP($E220&amp;$F220,Results!$A$2:$G$413,AB$1,FALSE))</f>
        <v/>
      </c>
      <c r="AC220" s="16"/>
      <c r="AD220" s="20" t="str">
        <f>IF(ISERROR(VLOOKUP($AB220&amp;"-"&amp;$F220,Bonuses!$B$1:$G$1000,4,FALSE)),"",INT(VLOOKUP($AB220&amp;"-"&amp;$F220,Bonuses!$B$1:$G$1000,4,FALSE)))</f>
        <v/>
      </c>
      <c r="AE220" s="16" t="str">
        <f>IF(ISERROR(VLOOKUP($AB220&amp;"-"&amp;$F220,Bonuses!$B$1:$G$1000,5,FALSE)),"",IF(VLOOKUP($AB220&amp;"-"&amp;$F220,Bonuses!$B$1:$G$1000,5,FALSE)="","",VLOOKUP($AB220&amp;"-"&amp;$F220,Bonuses!$B$1:$G$1000,6,FALSE)&amp;" yrs, "&amp;VLOOKUP($AB220&amp;"-"&amp;$F220,Bonuses!$B$1:$G$1000,5,FALSE)))</f>
        <v/>
      </c>
    </row>
    <row r="221" spans="1:31" s="21" customFormat="1">
      <c r="A221" s="21" t="s">
        <v>871</v>
      </c>
      <c r="B221" s="21">
        <f t="shared" si="12"/>
        <v>1</v>
      </c>
      <c r="C221" s="21" t="str">
        <f t="shared" si="13"/>
        <v>B</v>
      </c>
      <c r="D221" s="17" t="e">
        <f>IF($C221="B",VLOOKUP($A221,Bat!$A$4:$BD$2323,D$1,FALSE),VLOOKUP($A221,Pit!$A$4:$AZ$2261,D$2,FALSE))</f>
        <v>#N/A</v>
      </c>
      <c r="E221" s="16" t="str">
        <f>IF($C221="B",VLOOKUP($A221,Bat!$A$4:$BD$2323,E$1,FALSE),VLOOKUP($A221,Pit!$A$4:$AZ$2261,E$2,FALSE))</f>
        <v>SS</v>
      </c>
      <c r="F221" s="16" t="str">
        <f>IF($C221="B",VLOOKUP($A221,Bat!$A$4:$BD$2323,F$1,FALSE),VLOOKUP($A221,Pit!$A$4:$AZ$2261,F$2,FALSE))</f>
        <v>José Quiñones</v>
      </c>
      <c r="G221" s="16">
        <f>IF($C221="B",VLOOKUP($A221,Bat!$A$4:$BD$2323,G$1,FALSE),VLOOKUP($A221,Pit!$A$4:$AZ$2261,G$2,FALSE))</f>
        <v>21</v>
      </c>
      <c r="H221" s="16" t="str">
        <f>IF($C221="B",VLOOKUP($A221,Bat!$A$4:$BD$2323,H$1,FALSE),VLOOKUP($A221,Pit!$A$4:$AZ$2261,H$2,FALSE))</f>
        <v>R</v>
      </c>
      <c r="I221" s="16" t="str">
        <f>IF($C221="B",VLOOKUP($A221,Bat!$A$4:$BD$2323,I$1,FALSE),VLOOKUP($A221,Pit!$A$4:$AZ$2261,I$2,FALSE))</f>
        <v>R</v>
      </c>
      <c r="J221" s="16" t="str">
        <f>IF($C221="B",VLOOKUP($A221,Bat!$A$4:$BD$2323,J$1,FALSE),VLOOKUP($A221,Pit!$A$4:$AZ$2261,J$2,FALSE))</f>
        <v>Low</v>
      </c>
      <c r="K221" s="17" t="str">
        <f>IF($C221="B",VLOOKUP($A221,Bat!$A$4:$BD$2323,K$1,FALSE),VLOOKUP($A221,Pit!$A$4:$AZ$2261,K$2,FALSE))</f>
        <v>High</v>
      </c>
      <c r="L221" s="16">
        <f>IF($C221="B",VLOOKUP($A221,Bat!$A$4:$BD$2323,L$1,FALSE),VLOOKUP($A221,Pit!$A$4:$AZ$2261,L$2,FALSE))</f>
        <v>4</v>
      </c>
      <c r="M221" s="16">
        <f>IF($C221="B",VLOOKUP($A221,Bat!$A$4:$BD$2323,M$1,FALSE),VLOOKUP($A221,Pit!$A$4:$AZ$2261,M$2,FALSE))</f>
        <v>5</v>
      </c>
      <c r="N221" s="16">
        <f>IF($C221="B",VLOOKUP($A221,Bat!$A$4:$BD$2323,N$1,FALSE),VLOOKUP($A221,Pit!$A$4:$AZ$2261,N$2,FALSE))</f>
        <v>2</v>
      </c>
      <c r="O221" s="16">
        <f>IF($C221="B",VLOOKUP($A221,Bat!$A$4:$BD$2323,O$1,FALSE),VLOOKUP($A221,Pit!$A$4:$AZ$2261,O$2,FALSE))</f>
        <v>3</v>
      </c>
      <c r="P221" s="17">
        <f>IF($C221="B",VLOOKUP($A221,Bat!$A$4:$BD$2323,P$1,FALSE),VLOOKUP($A221,Pit!$A$4:$AZ$2261,P$2,FALSE))</f>
        <v>4</v>
      </c>
      <c r="Q221" s="18">
        <f>IF($C221="B",VLOOKUP($A221,Bat!$A$4:$BD$2323,Q$1,FALSE),VLOOKUP($A221,Pit!$A$4:$AZ$2261,Q$2,FALSE))</f>
        <v>5.0566381037611219</v>
      </c>
      <c r="R221" s="19">
        <f>IF($C221="B",VLOOKUP($A221,Bat!$A$4:$BD$2323,R$1,FALSE),VLOOKUP($A221,Pit!$A$4:$AZ$2261,R$2,FALSE))</f>
        <v>-0.77934380545217408</v>
      </c>
      <c r="S221" s="20" t="str">
        <f>IF($C221="B",VLOOKUP($A221,Bat!$A$4:$BD$2323,S$1,FALSE),VLOOKUP($A221,Pit!$A$4:$AZ$2261,S$2,FALSE))</f>
        <v>Slot</v>
      </c>
      <c r="T221" s="17" t="str">
        <f>IF(S221="Slot","",VLOOKUP(IF($C221="B",VLOOKUP($A221,Bat!$A$4:$AT$2323,T$1,FALSE),VLOOKUP($A221,Pit!$A$4:$BD$2261,T$2,FALSE)),COND!$A$34:$B$40,2,FALSE))</f>
        <v/>
      </c>
      <c r="U221" s="21" t="str">
        <f>IF($C221="B",VLOOKUP($A221,Bat!$A$4:$AR$1287,44,FALSE),VLOOKUP($A221,Pit!$A$4:$BB$1239,54,FALSE))</f>
        <v/>
      </c>
      <c r="W221" s="21" t="str">
        <f t="shared" si="14"/>
        <v/>
      </c>
      <c r="X221" s="22" t="e">
        <f t="shared" si="15"/>
        <v>#N/A</v>
      </c>
      <c r="Y221" s="16" t="str">
        <f>IF(ISERROR(VLOOKUP($E221&amp;$F221,Results!$A$2:$G$413,Y$1,FALSE)),"",VLOOKUP($E221&amp;$F221,Results!$A$2:$G$413,Y$1,FALSE))</f>
        <v/>
      </c>
      <c r="Z221" s="16" t="str">
        <f>IF(ISERROR(VLOOKUP($E221&amp;$F221,Results!$A$2:$G$413,Z$1,FALSE)),"",VLOOKUP($E221&amp;$F221,Results!$A$2:$G$413,Z$1,FALSE))</f>
        <v/>
      </c>
      <c r="AA221" s="16" t="str">
        <f>IF(ISERROR(VLOOKUP($E221&amp;$F221,Results!$A$2:$G$413,AA$1,FALSE)),"",VLOOKUP($E221&amp;$F221,Results!$A$2:$G$413,AA$1,FALSE))</f>
        <v/>
      </c>
      <c r="AB221" s="16" t="str">
        <f>IF(ISERROR(VLOOKUP($E221&amp;$F221,Results!$A$2:$G$413,AB$1,FALSE)),"",VLOOKUP($E221&amp;$F221,Results!$A$2:$G$413,AB$1,FALSE))</f>
        <v/>
      </c>
      <c r="AC221" s="16"/>
      <c r="AD221" s="20" t="str">
        <f>IF(ISERROR(VLOOKUP($AB221&amp;"-"&amp;$F221,Bonuses!$B$1:$G$1000,4,FALSE)),"",INT(VLOOKUP($AB221&amp;"-"&amp;$F221,Bonuses!$B$1:$G$1000,4,FALSE)))</f>
        <v/>
      </c>
      <c r="AE221" s="16" t="str">
        <f>IF(ISERROR(VLOOKUP($AB221&amp;"-"&amp;$F221,Bonuses!$B$1:$G$1000,5,FALSE)),"",IF(VLOOKUP($AB221&amp;"-"&amp;$F221,Bonuses!$B$1:$G$1000,5,FALSE)="","",VLOOKUP($AB221&amp;"-"&amp;$F221,Bonuses!$B$1:$G$1000,6,FALSE)&amp;" yrs, "&amp;VLOOKUP($AB221&amp;"-"&amp;$F221,Bonuses!$B$1:$G$1000,5,FALSE)))</f>
        <v/>
      </c>
    </row>
    <row r="222" spans="1:31" s="21" customFormat="1">
      <c r="A222" s="21" t="s">
        <v>740</v>
      </c>
      <c r="B222" s="21">
        <f t="shared" si="12"/>
        <v>1</v>
      </c>
      <c r="C222" s="21" t="str">
        <f t="shared" si="13"/>
        <v>B</v>
      </c>
      <c r="D222" s="17">
        <f>IF($C222="B",VLOOKUP($A222,Bat!$A$4:$BD$2323,D$1,FALSE),VLOOKUP($A222,Pit!$A$4:$AZ$2261,D$2,FALSE))</f>
        <v>472</v>
      </c>
      <c r="E222" s="16" t="str">
        <f>IF($C222="B",VLOOKUP($A222,Bat!$A$4:$BD$2323,E$1,FALSE),VLOOKUP($A222,Pit!$A$4:$AZ$2261,E$2,FALSE))</f>
        <v>1B</v>
      </c>
      <c r="F222" s="16" t="str">
        <f>IF($C222="B",VLOOKUP($A222,Bat!$A$4:$BD$2323,F$1,FALSE),VLOOKUP($A222,Pit!$A$4:$AZ$2261,F$2,FALSE))</f>
        <v>Jeff King</v>
      </c>
      <c r="G222" s="16">
        <f>IF($C222="B",VLOOKUP($A222,Bat!$A$4:$BD$2323,G$1,FALSE),VLOOKUP($A222,Pit!$A$4:$AZ$2261,G$2,FALSE))</f>
        <v>18</v>
      </c>
      <c r="H222" s="16" t="str">
        <f>IF($C222="B",VLOOKUP($A222,Bat!$A$4:$BD$2323,H$1,FALSE),VLOOKUP($A222,Pit!$A$4:$AZ$2261,H$2,FALSE))</f>
        <v>R</v>
      </c>
      <c r="I222" s="16" t="str">
        <f>IF($C222="B",VLOOKUP($A222,Bat!$A$4:$BD$2323,I$1,FALSE),VLOOKUP($A222,Pit!$A$4:$AZ$2261,I$2,FALSE))</f>
        <v>R</v>
      </c>
      <c r="J222" s="16" t="str">
        <f>IF($C222="B",VLOOKUP($A222,Bat!$A$4:$BD$2323,J$1,FALSE),VLOOKUP($A222,Pit!$A$4:$AZ$2261,J$2,FALSE))</f>
        <v>Very Low</v>
      </c>
      <c r="K222" s="17" t="str">
        <f>IF($C222="B",VLOOKUP($A222,Bat!$A$4:$BD$2323,K$1,FALSE),VLOOKUP($A222,Pit!$A$4:$AZ$2261,K$2,FALSE))</f>
        <v>Very Low</v>
      </c>
      <c r="L222" s="16">
        <f>IF($C222="B",VLOOKUP($A222,Bat!$A$4:$BD$2323,L$1,FALSE),VLOOKUP($A222,Pit!$A$4:$AZ$2261,L$2,FALSE))</f>
        <v>4</v>
      </c>
      <c r="M222" s="16">
        <f>IF($C222="B",VLOOKUP($A222,Bat!$A$4:$BD$2323,M$1,FALSE),VLOOKUP($A222,Pit!$A$4:$AZ$2261,M$2,FALSE))</f>
        <v>6</v>
      </c>
      <c r="N222" s="16">
        <f>IF($C222="B",VLOOKUP($A222,Bat!$A$4:$BD$2323,N$1,FALSE),VLOOKUP($A222,Pit!$A$4:$AZ$2261,N$2,FALSE))</f>
        <v>4</v>
      </c>
      <c r="O222" s="16">
        <f>IF($C222="B",VLOOKUP($A222,Bat!$A$4:$BD$2323,O$1,FALSE),VLOOKUP($A222,Pit!$A$4:$AZ$2261,O$2,FALSE))</f>
        <v>3</v>
      </c>
      <c r="P222" s="17">
        <f>IF($C222="B",VLOOKUP($A222,Bat!$A$4:$BD$2323,P$1,FALSE),VLOOKUP($A222,Pit!$A$4:$AZ$2261,P$2,FALSE))</f>
        <v>4</v>
      </c>
      <c r="Q222" s="18">
        <f>IF($C222="B",VLOOKUP($A222,Bat!$A$4:$BD$2323,Q$1,FALSE),VLOOKUP($A222,Pit!$A$4:$AZ$2261,Q$2,FALSE))</f>
        <v>5.0439855539721528</v>
      </c>
      <c r="R222" s="19">
        <f>IF($C222="B",VLOOKUP($A222,Bat!$A$4:$BD$2323,R$1,FALSE),VLOOKUP($A222,Pit!$A$4:$AZ$2261,R$2,FALSE))</f>
        <v>-0.78110154388720754</v>
      </c>
      <c r="S222" s="20">
        <f>IF($C222="B",VLOOKUP($A222,Bat!$A$4:$BD$2323,S$1,FALSE),VLOOKUP($A222,Pit!$A$4:$AZ$2261,S$2,FALSE))</f>
        <v>1700000</v>
      </c>
      <c r="T222" s="17" t="str">
        <f>IF(S222="Slot","",VLOOKUP(IF($C222="B",VLOOKUP($A222,Bat!$A$4:$AT$2323,T$1,FALSE),VLOOKUP($A222,Pit!$A$4:$BD$2261,T$2,FALSE)),COND!$A$34:$B$40,2,FALSE))</f>
        <v>EH</v>
      </c>
      <c r="U222" s="21" t="str">
        <f>IF($C222="B",VLOOKUP($A222,Bat!$A$4:$AR$1287,44,FALSE),VLOOKUP($A222,Pit!$A$4:$BB$1239,54,FALSE))</f>
        <v/>
      </c>
      <c r="W222" s="21" t="str">
        <f t="shared" si="14"/>
        <v/>
      </c>
      <c r="X222" s="22" t="e">
        <f t="shared" si="15"/>
        <v>#N/A</v>
      </c>
      <c r="Y222" s="16" t="str">
        <f>IF(ISERROR(VLOOKUP($E222&amp;$F222,Results!$A$2:$G$413,Y$1,FALSE)),"",VLOOKUP($E222&amp;$F222,Results!$A$2:$G$413,Y$1,FALSE))</f>
        <v/>
      </c>
      <c r="Z222" s="16" t="str">
        <f>IF(ISERROR(VLOOKUP($E222&amp;$F222,Results!$A$2:$G$413,Z$1,FALSE)),"",VLOOKUP($E222&amp;$F222,Results!$A$2:$G$413,Z$1,FALSE))</f>
        <v/>
      </c>
      <c r="AA222" s="16" t="str">
        <f>IF(ISERROR(VLOOKUP($E222&amp;$F222,Results!$A$2:$G$413,AA$1,FALSE)),"",VLOOKUP($E222&amp;$F222,Results!$A$2:$G$413,AA$1,FALSE))</f>
        <v/>
      </c>
      <c r="AB222" s="16" t="str">
        <f>IF(ISERROR(VLOOKUP($E222&amp;$F222,Results!$A$2:$G$413,AB$1,FALSE)),"",VLOOKUP($E222&amp;$F222,Results!$A$2:$G$413,AB$1,FALSE))</f>
        <v/>
      </c>
      <c r="AC222" s="16"/>
      <c r="AD222" s="20" t="str">
        <f>IF(ISERROR(VLOOKUP($AB222&amp;"-"&amp;$F222,Bonuses!$B$1:$G$1000,4,FALSE)),"",INT(VLOOKUP($AB222&amp;"-"&amp;$F222,Bonuses!$B$1:$G$1000,4,FALSE)))</f>
        <v/>
      </c>
      <c r="AE222" s="16" t="str">
        <f>IF(ISERROR(VLOOKUP($AB222&amp;"-"&amp;$F222,Bonuses!$B$1:$G$1000,5,FALSE)),"",IF(VLOOKUP($AB222&amp;"-"&amp;$F222,Bonuses!$B$1:$G$1000,5,FALSE)="","",VLOOKUP($AB222&amp;"-"&amp;$F222,Bonuses!$B$1:$G$1000,6,FALSE)&amp;" yrs, "&amp;VLOOKUP($AB222&amp;"-"&amp;$F222,Bonuses!$B$1:$G$1000,5,FALSE)))</f>
        <v/>
      </c>
    </row>
    <row r="223" spans="1:31" s="21" customFormat="1">
      <c r="A223" s="21" t="s">
        <v>901</v>
      </c>
      <c r="B223" s="21">
        <f t="shared" si="12"/>
        <v>1</v>
      </c>
      <c r="C223" s="21" t="str">
        <f t="shared" si="13"/>
        <v>B</v>
      </c>
      <c r="D223" s="17" t="e">
        <f>IF($C223="B",VLOOKUP($A223,Bat!$A$4:$BD$2323,D$1,FALSE),VLOOKUP($A223,Pit!$A$4:$AZ$2261,D$2,FALSE))</f>
        <v>#N/A</v>
      </c>
      <c r="E223" s="16" t="e">
        <f>IF($C223="B",VLOOKUP($A223,Bat!$A$4:$BD$2323,E$1,FALSE),VLOOKUP($A223,Pit!$A$4:$AZ$2261,E$2,FALSE))</f>
        <v>#N/A</v>
      </c>
      <c r="F223" s="16" t="e">
        <f>IF($C223="B",VLOOKUP($A223,Bat!$A$4:$BD$2323,F$1,FALSE),VLOOKUP($A223,Pit!$A$4:$AZ$2261,F$2,FALSE))</f>
        <v>#N/A</v>
      </c>
      <c r="G223" s="16" t="e">
        <f>IF($C223="B",VLOOKUP($A223,Bat!$A$4:$BD$2323,G$1,FALSE),VLOOKUP($A223,Pit!$A$4:$AZ$2261,G$2,FALSE))</f>
        <v>#N/A</v>
      </c>
      <c r="H223" s="16" t="e">
        <f>IF($C223="B",VLOOKUP($A223,Bat!$A$4:$BD$2323,H$1,FALSE),VLOOKUP($A223,Pit!$A$4:$AZ$2261,H$2,FALSE))</f>
        <v>#N/A</v>
      </c>
      <c r="I223" s="16" t="e">
        <f>IF($C223="B",VLOOKUP($A223,Bat!$A$4:$BD$2323,I$1,FALSE),VLOOKUP($A223,Pit!$A$4:$AZ$2261,I$2,FALSE))</f>
        <v>#N/A</v>
      </c>
      <c r="J223" s="16" t="e">
        <f>IF($C223="B",VLOOKUP($A223,Bat!$A$4:$BD$2323,J$1,FALSE),VLOOKUP($A223,Pit!$A$4:$AZ$2261,J$2,FALSE))</f>
        <v>#N/A</v>
      </c>
      <c r="K223" s="17" t="e">
        <f>IF($C223="B",VLOOKUP($A223,Bat!$A$4:$BD$2323,K$1,FALSE),VLOOKUP($A223,Pit!$A$4:$AZ$2261,K$2,FALSE))</f>
        <v>#N/A</v>
      </c>
      <c r="L223" s="16" t="e">
        <f>IF($C223="B",VLOOKUP($A223,Bat!$A$4:$BD$2323,L$1,FALSE),VLOOKUP($A223,Pit!$A$4:$AZ$2261,L$2,FALSE))</f>
        <v>#N/A</v>
      </c>
      <c r="M223" s="16" t="e">
        <f>IF($C223="B",VLOOKUP($A223,Bat!$A$4:$BD$2323,M$1,FALSE),VLOOKUP($A223,Pit!$A$4:$AZ$2261,M$2,FALSE))</f>
        <v>#N/A</v>
      </c>
      <c r="N223" s="16" t="e">
        <f>IF($C223="B",VLOOKUP($A223,Bat!$A$4:$BD$2323,N$1,FALSE),VLOOKUP($A223,Pit!$A$4:$AZ$2261,N$2,FALSE))</f>
        <v>#N/A</v>
      </c>
      <c r="O223" s="16" t="e">
        <f>IF($C223="B",VLOOKUP($A223,Bat!$A$4:$BD$2323,O$1,FALSE),VLOOKUP($A223,Pit!$A$4:$AZ$2261,O$2,FALSE))</f>
        <v>#N/A</v>
      </c>
      <c r="P223" s="17" t="e">
        <f>IF($C223="B",VLOOKUP($A223,Bat!$A$4:$BD$2323,P$1,FALSE),VLOOKUP($A223,Pit!$A$4:$AZ$2261,P$2,FALSE))</f>
        <v>#N/A</v>
      </c>
      <c r="Q223" s="18" t="e">
        <f>IF($C223="B",VLOOKUP($A223,Bat!$A$4:$BD$2323,Q$1,FALSE),VLOOKUP($A223,Pit!$A$4:$AZ$2261,Q$2,FALSE))</f>
        <v>#N/A</v>
      </c>
      <c r="R223" s="19" t="e">
        <f>IF($C223="B",VLOOKUP($A223,Bat!$A$4:$BD$2323,R$1,FALSE),VLOOKUP($A223,Pit!$A$4:$AZ$2261,R$2,FALSE))</f>
        <v>#N/A</v>
      </c>
      <c r="S223" s="20" t="e">
        <f>IF($C223="B",VLOOKUP($A223,Bat!$A$4:$BD$2323,S$1,FALSE),VLOOKUP($A223,Pit!$A$4:$AZ$2261,S$2,FALSE))</f>
        <v>#N/A</v>
      </c>
      <c r="T223" s="17" t="e">
        <f>IF(S223="Slot","",VLOOKUP(IF($C223="B",VLOOKUP($A223,Bat!$A$4:$AT$2323,T$1,FALSE),VLOOKUP($A223,Pit!$A$4:$BD$2261,T$2,FALSE)),COND!$A$34:$B$40,2,FALSE))</f>
        <v>#N/A</v>
      </c>
      <c r="U223" s="21" t="e">
        <f>IF($C223="B",VLOOKUP($A223,Bat!$A$4:$AR$1287,44,FALSE),VLOOKUP($A223,Pit!$A$4:$BB$1239,54,FALSE))</f>
        <v>#N/A</v>
      </c>
      <c r="W223" s="21" t="e">
        <f t="shared" si="14"/>
        <v>#N/A</v>
      </c>
      <c r="X223" s="22" t="e">
        <f t="shared" si="15"/>
        <v>#N/A</v>
      </c>
      <c r="Y223" s="16" t="str">
        <f>IF(ISERROR(VLOOKUP($E223&amp;$F223,Results!$A$2:$G$413,Y$1,FALSE)),"",VLOOKUP($E223&amp;$F223,Results!$A$2:$G$413,Y$1,FALSE))</f>
        <v/>
      </c>
      <c r="Z223" s="16" t="str">
        <f>IF(ISERROR(VLOOKUP($E223&amp;$F223,Results!$A$2:$G$413,Z$1,FALSE)),"",VLOOKUP($E223&amp;$F223,Results!$A$2:$G$413,Z$1,FALSE))</f>
        <v/>
      </c>
      <c r="AA223" s="16" t="str">
        <f>IF(ISERROR(VLOOKUP($E223&amp;$F223,Results!$A$2:$G$413,AA$1,FALSE)),"",VLOOKUP($E223&amp;$F223,Results!$A$2:$G$413,AA$1,FALSE))</f>
        <v/>
      </c>
      <c r="AB223" s="16" t="str">
        <f>IF(ISERROR(VLOOKUP($E223&amp;$F223,Results!$A$2:$G$413,AB$1,FALSE)),"",VLOOKUP($E223&amp;$F223,Results!$A$2:$G$413,AB$1,FALSE))</f>
        <v/>
      </c>
      <c r="AC223" s="16"/>
      <c r="AD223" s="20" t="str">
        <f>IF(ISERROR(VLOOKUP($AB223&amp;"-"&amp;$F223,Bonuses!$B$1:$G$1000,4,FALSE)),"",INT(VLOOKUP($AB223&amp;"-"&amp;$F223,Bonuses!$B$1:$G$1000,4,FALSE)))</f>
        <v/>
      </c>
      <c r="AE223" s="16" t="str">
        <f>IF(ISERROR(VLOOKUP($AB223&amp;"-"&amp;$F223,Bonuses!$B$1:$G$1000,5,FALSE)),"",IF(VLOOKUP($AB223&amp;"-"&amp;$F223,Bonuses!$B$1:$G$1000,5,FALSE)="","",VLOOKUP($AB223&amp;"-"&amp;$F223,Bonuses!$B$1:$G$1000,6,FALSE)&amp;" yrs, "&amp;VLOOKUP($AB223&amp;"-"&amp;$F223,Bonuses!$B$1:$G$1000,5,FALSE)))</f>
        <v/>
      </c>
    </row>
    <row r="224" spans="1:31" s="21" customFormat="1">
      <c r="A224" s="21" t="s">
        <v>75</v>
      </c>
      <c r="B224" s="21">
        <f t="shared" si="12"/>
        <v>1</v>
      </c>
      <c r="C224" s="21" t="str">
        <f t="shared" si="13"/>
        <v>B</v>
      </c>
      <c r="D224" s="17" t="e">
        <f>IF($C224="B",VLOOKUP($A224,Bat!$A$4:$BD$2323,D$1,FALSE),VLOOKUP($A224,Pit!$A$4:$AZ$2261,D$2,FALSE))</f>
        <v>#N/A</v>
      </c>
      <c r="E224" s="16" t="e">
        <f>IF($C224="B",VLOOKUP($A224,Bat!$A$4:$BD$2323,E$1,FALSE),VLOOKUP($A224,Pit!$A$4:$AZ$2261,E$2,FALSE))</f>
        <v>#N/A</v>
      </c>
      <c r="F224" s="16" t="e">
        <f>IF($C224="B",VLOOKUP($A224,Bat!$A$4:$BD$2323,F$1,FALSE),VLOOKUP($A224,Pit!$A$4:$AZ$2261,F$2,FALSE))</f>
        <v>#N/A</v>
      </c>
      <c r="G224" s="16" t="e">
        <f>IF($C224="B",VLOOKUP($A224,Bat!$A$4:$BD$2323,G$1,FALSE),VLOOKUP($A224,Pit!$A$4:$AZ$2261,G$2,FALSE))</f>
        <v>#N/A</v>
      </c>
      <c r="H224" s="16" t="e">
        <f>IF($C224="B",VLOOKUP($A224,Bat!$A$4:$BD$2323,H$1,FALSE),VLOOKUP($A224,Pit!$A$4:$AZ$2261,H$2,FALSE))</f>
        <v>#N/A</v>
      </c>
      <c r="I224" s="16" t="e">
        <f>IF($C224="B",VLOOKUP($A224,Bat!$A$4:$BD$2323,I$1,FALSE),VLOOKUP($A224,Pit!$A$4:$AZ$2261,I$2,FALSE))</f>
        <v>#N/A</v>
      </c>
      <c r="J224" s="16" t="e">
        <f>IF($C224="B",VLOOKUP($A224,Bat!$A$4:$BD$2323,J$1,FALSE),VLOOKUP($A224,Pit!$A$4:$AZ$2261,J$2,FALSE))</f>
        <v>#N/A</v>
      </c>
      <c r="K224" s="17" t="e">
        <f>IF($C224="B",VLOOKUP($A224,Bat!$A$4:$BD$2323,K$1,FALSE),VLOOKUP($A224,Pit!$A$4:$AZ$2261,K$2,FALSE))</f>
        <v>#N/A</v>
      </c>
      <c r="L224" s="16" t="e">
        <f>IF($C224="B",VLOOKUP($A224,Bat!$A$4:$BD$2323,L$1,FALSE),VLOOKUP($A224,Pit!$A$4:$AZ$2261,L$2,FALSE))</f>
        <v>#N/A</v>
      </c>
      <c r="M224" s="16" t="e">
        <f>IF($C224="B",VLOOKUP($A224,Bat!$A$4:$BD$2323,M$1,FALSE),VLOOKUP($A224,Pit!$A$4:$AZ$2261,M$2,FALSE))</f>
        <v>#N/A</v>
      </c>
      <c r="N224" s="16" t="e">
        <f>IF($C224="B",VLOOKUP($A224,Bat!$A$4:$BD$2323,N$1,FALSE),VLOOKUP($A224,Pit!$A$4:$AZ$2261,N$2,FALSE))</f>
        <v>#N/A</v>
      </c>
      <c r="O224" s="16" t="e">
        <f>IF($C224="B",VLOOKUP($A224,Bat!$A$4:$BD$2323,O$1,FALSE),VLOOKUP($A224,Pit!$A$4:$AZ$2261,O$2,FALSE))</f>
        <v>#N/A</v>
      </c>
      <c r="P224" s="17" t="e">
        <f>IF($C224="B",VLOOKUP($A224,Bat!$A$4:$BD$2323,P$1,FALSE),VLOOKUP($A224,Pit!$A$4:$AZ$2261,P$2,FALSE))</f>
        <v>#N/A</v>
      </c>
      <c r="Q224" s="18" t="e">
        <f>IF($C224="B",VLOOKUP($A224,Bat!$A$4:$BD$2323,Q$1,FALSE),VLOOKUP($A224,Pit!$A$4:$AZ$2261,Q$2,FALSE))</f>
        <v>#N/A</v>
      </c>
      <c r="R224" s="19" t="e">
        <f>IF($C224="B",VLOOKUP($A224,Bat!$A$4:$BD$2323,R$1,FALSE),VLOOKUP($A224,Pit!$A$4:$AZ$2261,R$2,FALSE))</f>
        <v>#N/A</v>
      </c>
      <c r="S224" s="20" t="e">
        <f>IF($C224="B",VLOOKUP($A224,Bat!$A$4:$BD$2323,S$1,FALSE),VLOOKUP($A224,Pit!$A$4:$AZ$2261,S$2,FALSE))</f>
        <v>#N/A</v>
      </c>
      <c r="T224" s="17" t="e">
        <f>IF(S224="Slot","",VLOOKUP(IF($C224="B",VLOOKUP($A224,Bat!$A$4:$AT$2323,T$1,FALSE),VLOOKUP($A224,Pit!$A$4:$BD$2261,T$2,FALSE)),COND!$A$34:$B$40,2,FALSE))</f>
        <v>#N/A</v>
      </c>
      <c r="U224" s="21" t="e">
        <f>IF($C224="B",VLOOKUP($A224,Bat!$A$4:$AR$1287,44,FALSE),VLOOKUP($A224,Pit!$A$4:$BB$1239,54,FALSE))</f>
        <v>#N/A</v>
      </c>
      <c r="W224" s="21" t="e">
        <f t="shared" si="14"/>
        <v>#N/A</v>
      </c>
      <c r="X224" s="22" t="e">
        <f t="shared" si="15"/>
        <v>#N/A</v>
      </c>
      <c r="Y224" s="16" t="str">
        <f>IF(ISERROR(VLOOKUP($E224&amp;$F224,Results!$A$2:$G$413,Y$1,FALSE)),"",VLOOKUP($E224&amp;$F224,Results!$A$2:$G$413,Y$1,FALSE))</f>
        <v/>
      </c>
      <c r="Z224" s="16" t="str">
        <f>IF(ISERROR(VLOOKUP($E224&amp;$F224,Results!$A$2:$G$413,Z$1,FALSE)),"",VLOOKUP($E224&amp;$F224,Results!$A$2:$G$413,Z$1,FALSE))</f>
        <v/>
      </c>
      <c r="AA224" s="16" t="str">
        <f>IF(ISERROR(VLOOKUP($E224&amp;$F224,Results!$A$2:$G$413,AA$1,FALSE)),"",VLOOKUP($E224&amp;$F224,Results!$A$2:$G$413,AA$1,FALSE))</f>
        <v/>
      </c>
      <c r="AB224" s="16" t="str">
        <f>IF(ISERROR(VLOOKUP($E224&amp;$F224,Results!$A$2:$G$413,AB$1,FALSE)),"",VLOOKUP($E224&amp;$F224,Results!$A$2:$G$413,AB$1,FALSE))</f>
        <v/>
      </c>
      <c r="AC224" s="16"/>
      <c r="AD224" s="20" t="str">
        <f>IF(ISERROR(VLOOKUP($AB224&amp;"-"&amp;$F224,Bonuses!$B$1:$G$1000,4,FALSE)),"",INT(VLOOKUP($AB224&amp;"-"&amp;$F224,Bonuses!$B$1:$G$1000,4,FALSE)))</f>
        <v/>
      </c>
      <c r="AE224" s="16" t="str">
        <f>IF(ISERROR(VLOOKUP($AB224&amp;"-"&amp;$F224,Bonuses!$B$1:$G$1000,5,FALSE)),"",IF(VLOOKUP($AB224&amp;"-"&amp;$F224,Bonuses!$B$1:$G$1000,5,FALSE)="","",VLOOKUP($AB224&amp;"-"&amp;$F224,Bonuses!$B$1:$G$1000,6,FALSE)&amp;" yrs, "&amp;VLOOKUP($AB224&amp;"-"&amp;$F224,Bonuses!$B$1:$G$1000,5,FALSE)))</f>
        <v/>
      </c>
    </row>
    <row r="225" spans="1:31" s="21" customFormat="1">
      <c r="A225" s="21" t="s">
        <v>886</v>
      </c>
      <c r="B225" s="21">
        <f t="shared" si="12"/>
        <v>1</v>
      </c>
      <c r="C225" s="21" t="str">
        <f t="shared" si="13"/>
        <v>B</v>
      </c>
      <c r="D225" s="17" t="e">
        <f>IF($C225="B",VLOOKUP($A225,Bat!$A$4:$BD$2323,D$1,FALSE),VLOOKUP($A225,Pit!$A$4:$AZ$2261,D$2,FALSE))</f>
        <v>#N/A</v>
      </c>
      <c r="E225" s="16" t="str">
        <f>IF($C225="B",VLOOKUP($A225,Bat!$A$4:$BD$2323,E$1,FALSE),VLOOKUP($A225,Pit!$A$4:$AZ$2261,E$2,FALSE))</f>
        <v>LF</v>
      </c>
      <c r="F225" s="16" t="str">
        <f>IF($C225="B",VLOOKUP($A225,Bat!$A$4:$BD$2323,F$1,FALSE),VLOOKUP($A225,Pit!$A$4:$AZ$2261,F$2,FALSE))</f>
        <v>Vincente Juárez</v>
      </c>
      <c r="G225" s="16">
        <f>IF($C225="B",VLOOKUP($A225,Bat!$A$4:$BD$2323,G$1,FALSE),VLOOKUP($A225,Pit!$A$4:$AZ$2261,G$2,FALSE))</f>
        <v>18</v>
      </c>
      <c r="H225" s="16" t="str">
        <f>IF($C225="B",VLOOKUP($A225,Bat!$A$4:$BD$2323,H$1,FALSE),VLOOKUP($A225,Pit!$A$4:$AZ$2261,H$2,FALSE))</f>
        <v>R</v>
      </c>
      <c r="I225" s="16" t="str">
        <f>IF($C225="B",VLOOKUP($A225,Bat!$A$4:$BD$2323,I$1,FALSE),VLOOKUP($A225,Pit!$A$4:$AZ$2261,I$2,FALSE))</f>
        <v>R</v>
      </c>
      <c r="J225" s="16" t="str">
        <f>IF($C225="B",VLOOKUP($A225,Bat!$A$4:$BD$2323,J$1,FALSE),VLOOKUP($A225,Pit!$A$4:$AZ$2261,J$2,FALSE))</f>
        <v>High</v>
      </c>
      <c r="K225" s="17" t="str">
        <f>IF($C225="B",VLOOKUP($A225,Bat!$A$4:$BD$2323,K$1,FALSE),VLOOKUP($A225,Pit!$A$4:$AZ$2261,K$2,FALSE))</f>
        <v>Low</v>
      </c>
      <c r="L225" s="16">
        <f>IF($C225="B",VLOOKUP($A225,Bat!$A$4:$BD$2323,L$1,FALSE),VLOOKUP($A225,Pit!$A$4:$AZ$2261,L$2,FALSE))</f>
        <v>4</v>
      </c>
      <c r="M225" s="16">
        <f>IF($C225="B",VLOOKUP($A225,Bat!$A$4:$BD$2323,M$1,FALSE),VLOOKUP($A225,Pit!$A$4:$AZ$2261,M$2,FALSE))</f>
        <v>6</v>
      </c>
      <c r="N225" s="16">
        <f>IF($C225="B",VLOOKUP($A225,Bat!$A$4:$BD$2323,N$1,FALSE),VLOOKUP($A225,Pit!$A$4:$AZ$2261,N$2,FALSE))</f>
        <v>2</v>
      </c>
      <c r="O225" s="16">
        <f>IF($C225="B",VLOOKUP($A225,Bat!$A$4:$BD$2323,O$1,FALSE),VLOOKUP($A225,Pit!$A$4:$AZ$2261,O$2,FALSE))</f>
        <v>3</v>
      </c>
      <c r="P225" s="17">
        <f>IF($C225="B",VLOOKUP($A225,Bat!$A$4:$BD$2323,P$1,FALSE),VLOOKUP($A225,Pit!$A$4:$AZ$2261,P$2,FALSE))</f>
        <v>5</v>
      </c>
      <c r="Q225" s="18">
        <f>IF($C225="B",VLOOKUP($A225,Bat!$A$4:$BD$2323,Q$1,FALSE),VLOOKUP($A225,Pit!$A$4:$AZ$2261,Q$2,FALSE))</f>
        <v>5.0255997872416467</v>
      </c>
      <c r="R225" s="19">
        <f>IF($C225="B",VLOOKUP($A225,Bat!$A$4:$BD$2323,R$1,FALSE),VLOOKUP($A225,Pit!$A$4:$AZ$2261,R$2,FALSE))</f>
        <v>-0.78365576176255991</v>
      </c>
      <c r="S225" s="20" t="str">
        <f>IF($C225="B",VLOOKUP($A225,Bat!$A$4:$BD$2323,S$1,FALSE),VLOOKUP($A225,Pit!$A$4:$AZ$2261,S$2,FALSE))</f>
        <v>Slot</v>
      </c>
      <c r="T225" s="17" t="str">
        <f>IF(S225="Slot","",VLOOKUP(IF($C225="B",VLOOKUP($A225,Bat!$A$4:$AT$2323,T$1,FALSE),VLOOKUP($A225,Pit!$A$4:$BD$2261,T$2,FALSE)),COND!$A$34:$B$40,2,FALSE))</f>
        <v/>
      </c>
      <c r="U225" s="21" t="str">
        <f>IF($C225="B",VLOOKUP($A225,Bat!$A$4:$AR$1287,44,FALSE),VLOOKUP($A225,Pit!$A$4:$BB$1239,54,FALSE))</f>
        <v/>
      </c>
      <c r="W225" s="21" t="str">
        <f t="shared" si="14"/>
        <v/>
      </c>
      <c r="X225" s="22" t="e">
        <f t="shared" si="15"/>
        <v>#N/A</v>
      </c>
      <c r="Y225" s="16" t="str">
        <f>IF(ISERROR(VLOOKUP($E225&amp;$F225,Results!$A$2:$G$413,Y$1,FALSE)),"",VLOOKUP($E225&amp;$F225,Results!$A$2:$G$413,Y$1,FALSE))</f>
        <v/>
      </c>
      <c r="Z225" s="16" t="str">
        <f>IF(ISERROR(VLOOKUP($E225&amp;$F225,Results!$A$2:$G$413,Z$1,FALSE)),"",VLOOKUP($E225&amp;$F225,Results!$A$2:$G$413,Z$1,FALSE))</f>
        <v/>
      </c>
      <c r="AA225" s="16" t="str">
        <f>IF(ISERROR(VLOOKUP($E225&amp;$F225,Results!$A$2:$G$413,AA$1,FALSE)),"",VLOOKUP($E225&amp;$F225,Results!$A$2:$G$413,AA$1,FALSE))</f>
        <v/>
      </c>
      <c r="AB225" s="16" t="str">
        <f>IF(ISERROR(VLOOKUP($E225&amp;$F225,Results!$A$2:$G$413,AB$1,FALSE)),"",VLOOKUP($E225&amp;$F225,Results!$A$2:$G$413,AB$1,FALSE))</f>
        <v/>
      </c>
      <c r="AC225" s="16"/>
      <c r="AD225" s="20" t="str">
        <f>IF(ISERROR(VLOOKUP($AB225&amp;"-"&amp;$F225,Bonuses!$B$1:$G$1000,4,FALSE)),"",INT(VLOOKUP($AB225&amp;"-"&amp;$F225,Bonuses!$B$1:$G$1000,4,FALSE)))</f>
        <v/>
      </c>
      <c r="AE225" s="16" t="str">
        <f>IF(ISERROR(VLOOKUP($AB225&amp;"-"&amp;$F225,Bonuses!$B$1:$G$1000,5,FALSE)),"",IF(VLOOKUP($AB225&amp;"-"&amp;$F225,Bonuses!$B$1:$G$1000,5,FALSE)="","",VLOOKUP($AB225&amp;"-"&amp;$F225,Bonuses!$B$1:$G$1000,6,FALSE)&amp;" yrs, "&amp;VLOOKUP($AB225&amp;"-"&amp;$F225,Bonuses!$B$1:$G$1000,5,FALSE)))</f>
        <v/>
      </c>
    </row>
    <row r="226" spans="1:31" s="21" customFormat="1">
      <c r="A226" s="21" t="s">
        <v>848</v>
      </c>
      <c r="B226" s="21">
        <f t="shared" si="12"/>
        <v>1</v>
      </c>
      <c r="C226" s="21" t="str">
        <f t="shared" si="13"/>
        <v>B</v>
      </c>
      <c r="D226" s="17">
        <f>IF($C226="B",VLOOKUP($A226,Bat!$A$4:$BD$2323,D$1,FALSE),VLOOKUP($A226,Pit!$A$4:$AZ$2261,D$2,FALSE))</f>
        <v>7223</v>
      </c>
      <c r="E226" s="16" t="str">
        <f>IF($C226="B",VLOOKUP($A226,Bat!$A$4:$BD$2323,E$1,FALSE),VLOOKUP($A226,Pit!$A$4:$AZ$2261,E$2,FALSE))</f>
        <v>SS</v>
      </c>
      <c r="F226" s="16" t="str">
        <f>IF($C226="B",VLOOKUP($A226,Bat!$A$4:$BD$2323,F$1,FALSE),VLOOKUP($A226,Pit!$A$4:$AZ$2261,F$2,FALSE))</f>
        <v>Jeremy Collins</v>
      </c>
      <c r="G226" s="16">
        <f>IF($C226="B",VLOOKUP($A226,Bat!$A$4:$BD$2323,G$1,FALSE),VLOOKUP($A226,Pit!$A$4:$AZ$2261,G$2,FALSE))</f>
        <v>21</v>
      </c>
      <c r="H226" s="16" t="str">
        <f>IF($C226="B",VLOOKUP($A226,Bat!$A$4:$BD$2323,H$1,FALSE),VLOOKUP($A226,Pit!$A$4:$AZ$2261,H$2,FALSE))</f>
        <v>S</v>
      </c>
      <c r="I226" s="16" t="str">
        <f>IF($C226="B",VLOOKUP($A226,Bat!$A$4:$BD$2323,I$1,FALSE),VLOOKUP($A226,Pit!$A$4:$AZ$2261,I$2,FALSE))</f>
        <v>R</v>
      </c>
      <c r="J226" s="16" t="str">
        <f>IF($C226="B",VLOOKUP($A226,Bat!$A$4:$BD$2323,J$1,FALSE),VLOOKUP($A226,Pit!$A$4:$AZ$2261,J$2,FALSE))</f>
        <v>High</v>
      </c>
      <c r="K226" s="17" t="str">
        <f>IF($C226="B",VLOOKUP($A226,Bat!$A$4:$BD$2323,K$1,FALSE),VLOOKUP($A226,Pit!$A$4:$AZ$2261,K$2,FALSE))</f>
        <v>Very High</v>
      </c>
      <c r="L226" s="16">
        <f>IF($C226="B",VLOOKUP($A226,Bat!$A$4:$BD$2323,L$1,FALSE),VLOOKUP($A226,Pit!$A$4:$AZ$2261,L$2,FALSE))</f>
        <v>4</v>
      </c>
      <c r="M226" s="16">
        <f>IF($C226="B",VLOOKUP($A226,Bat!$A$4:$BD$2323,M$1,FALSE),VLOOKUP($A226,Pit!$A$4:$AZ$2261,M$2,FALSE))</f>
        <v>5</v>
      </c>
      <c r="N226" s="16">
        <f>IF($C226="B",VLOOKUP($A226,Bat!$A$4:$BD$2323,N$1,FALSE),VLOOKUP($A226,Pit!$A$4:$AZ$2261,N$2,FALSE))</f>
        <v>1</v>
      </c>
      <c r="O226" s="16">
        <f>IF($C226="B",VLOOKUP($A226,Bat!$A$4:$BD$2323,O$1,FALSE),VLOOKUP($A226,Pit!$A$4:$AZ$2261,O$2,FALSE))</f>
        <v>2</v>
      </c>
      <c r="P226" s="17">
        <f>IF($C226="B",VLOOKUP($A226,Bat!$A$4:$BD$2323,P$1,FALSE),VLOOKUP($A226,Pit!$A$4:$AZ$2261,P$2,FALSE))</f>
        <v>5</v>
      </c>
      <c r="Q226" s="18">
        <f>IF($C226="B",VLOOKUP($A226,Bat!$A$4:$BD$2323,Q$1,FALSE),VLOOKUP($A226,Pit!$A$4:$AZ$2261,Q$2,FALSE))</f>
        <v>4.9904602957547413</v>
      </c>
      <c r="R226" s="19">
        <f>IF($C226="B",VLOOKUP($A226,Bat!$A$4:$BD$2323,R$1,FALSE),VLOOKUP($A226,Pit!$A$4:$AZ$2261,R$2,FALSE))</f>
        <v>-0.78853746828055493</v>
      </c>
      <c r="S226" s="20" t="str">
        <f>IF($C226="B",VLOOKUP($A226,Bat!$A$4:$BD$2323,S$1,FALSE),VLOOKUP($A226,Pit!$A$4:$AZ$2261,S$2,FALSE))</f>
        <v>Slot</v>
      </c>
      <c r="T226" s="17" t="str">
        <f>IF(S226="Slot","",VLOOKUP(IF($C226="B",VLOOKUP($A226,Bat!$A$4:$AT$2323,T$1,FALSE),VLOOKUP($A226,Pit!$A$4:$BD$2261,T$2,FALSE)),COND!$A$34:$B$40,2,FALSE))</f>
        <v/>
      </c>
      <c r="U226" s="21" t="str">
        <f>IF($C226="B",VLOOKUP($A226,Bat!$A$4:$AR$1287,44,FALSE),VLOOKUP($A226,Pit!$A$4:$BB$1239,54,FALSE))</f>
        <v/>
      </c>
      <c r="W226" s="21" t="str">
        <f t="shared" si="14"/>
        <v/>
      </c>
      <c r="X226" s="22" t="e">
        <f t="shared" si="15"/>
        <v>#N/A</v>
      </c>
      <c r="Y226" s="16" t="str">
        <f>IF(ISERROR(VLOOKUP($E226&amp;$F226,Results!$A$2:$G$413,Y$1,FALSE)),"",VLOOKUP($E226&amp;$F226,Results!$A$2:$G$413,Y$1,FALSE))</f>
        <v/>
      </c>
      <c r="Z226" s="16" t="str">
        <f>IF(ISERROR(VLOOKUP($E226&amp;$F226,Results!$A$2:$G$413,Z$1,FALSE)),"",VLOOKUP($E226&amp;$F226,Results!$A$2:$G$413,Z$1,FALSE))</f>
        <v/>
      </c>
      <c r="AA226" s="16" t="str">
        <f>IF(ISERROR(VLOOKUP($E226&amp;$F226,Results!$A$2:$G$413,AA$1,FALSE)),"",VLOOKUP($E226&amp;$F226,Results!$A$2:$G$413,AA$1,FALSE))</f>
        <v/>
      </c>
      <c r="AB226" s="16" t="str">
        <f>IF(ISERROR(VLOOKUP($E226&amp;$F226,Results!$A$2:$G$413,AB$1,FALSE)),"",VLOOKUP($E226&amp;$F226,Results!$A$2:$G$413,AB$1,FALSE))</f>
        <v/>
      </c>
      <c r="AC226" s="16"/>
      <c r="AD226" s="20" t="str">
        <f>IF(ISERROR(VLOOKUP($AB226&amp;"-"&amp;$F226,Bonuses!$B$1:$G$1000,4,FALSE)),"",INT(VLOOKUP($AB226&amp;"-"&amp;$F226,Bonuses!$B$1:$G$1000,4,FALSE)))</f>
        <v/>
      </c>
      <c r="AE226" s="16" t="str">
        <f>IF(ISERROR(VLOOKUP($AB226&amp;"-"&amp;$F226,Bonuses!$B$1:$G$1000,5,FALSE)),"",IF(VLOOKUP($AB226&amp;"-"&amp;$F226,Bonuses!$B$1:$G$1000,5,FALSE)="","",VLOOKUP($AB226&amp;"-"&amp;$F226,Bonuses!$B$1:$G$1000,6,FALSE)&amp;" yrs, "&amp;VLOOKUP($AB226&amp;"-"&amp;$F226,Bonuses!$B$1:$G$1000,5,FALSE)))</f>
        <v/>
      </c>
    </row>
    <row r="227" spans="1:31" s="21" customFormat="1">
      <c r="A227" s="21" t="s">
        <v>257</v>
      </c>
      <c r="B227" s="21">
        <f t="shared" si="12"/>
        <v>1</v>
      </c>
      <c r="C227" s="21" t="str">
        <f t="shared" si="13"/>
        <v>B</v>
      </c>
      <c r="D227" s="17" t="e">
        <f>IF($C227="B",VLOOKUP($A227,Bat!$A$4:$BD$2323,D$1,FALSE),VLOOKUP($A227,Pit!$A$4:$AZ$2261,D$2,FALSE))</f>
        <v>#N/A</v>
      </c>
      <c r="E227" s="16" t="e">
        <f>IF($C227="B",VLOOKUP($A227,Bat!$A$4:$BD$2323,E$1,FALSE),VLOOKUP($A227,Pit!$A$4:$AZ$2261,E$2,FALSE))</f>
        <v>#N/A</v>
      </c>
      <c r="F227" s="16" t="e">
        <f>IF($C227="B",VLOOKUP($A227,Bat!$A$4:$BD$2323,F$1,FALSE),VLOOKUP($A227,Pit!$A$4:$AZ$2261,F$2,FALSE))</f>
        <v>#N/A</v>
      </c>
      <c r="G227" s="16" t="e">
        <f>IF($C227="B",VLOOKUP($A227,Bat!$A$4:$BD$2323,G$1,FALSE),VLOOKUP($A227,Pit!$A$4:$AZ$2261,G$2,FALSE))</f>
        <v>#N/A</v>
      </c>
      <c r="H227" s="16" t="e">
        <f>IF($C227="B",VLOOKUP($A227,Bat!$A$4:$BD$2323,H$1,FALSE),VLOOKUP($A227,Pit!$A$4:$AZ$2261,H$2,FALSE))</f>
        <v>#N/A</v>
      </c>
      <c r="I227" s="16" t="e">
        <f>IF($C227="B",VLOOKUP($A227,Bat!$A$4:$BD$2323,I$1,FALSE),VLOOKUP($A227,Pit!$A$4:$AZ$2261,I$2,FALSE))</f>
        <v>#N/A</v>
      </c>
      <c r="J227" s="16" t="e">
        <f>IF($C227="B",VLOOKUP($A227,Bat!$A$4:$BD$2323,J$1,FALSE),VLOOKUP($A227,Pit!$A$4:$AZ$2261,J$2,FALSE))</f>
        <v>#N/A</v>
      </c>
      <c r="K227" s="17" t="e">
        <f>IF($C227="B",VLOOKUP($A227,Bat!$A$4:$BD$2323,K$1,FALSE),VLOOKUP($A227,Pit!$A$4:$AZ$2261,K$2,FALSE))</f>
        <v>#N/A</v>
      </c>
      <c r="L227" s="16" t="e">
        <f>IF($C227="B",VLOOKUP($A227,Bat!$A$4:$BD$2323,L$1,FALSE),VLOOKUP($A227,Pit!$A$4:$AZ$2261,L$2,FALSE))</f>
        <v>#N/A</v>
      </c>
      <c r="M227" s="16" t="e">
        <f>IF($C227="B",VLOOKUP($A227,Bat!$A$4:$BD$2323,M$1,FALSE),VLOOKUP($A227,Pit!$A$4:$AZ$2261,M$2,FALSE))</f>
        <v>#N/A</v>
      </c>
      <c r="N227" s="16" t="e">
        <f>IF($C227="B",VLOOKUP($A227,Bat!$A$4:$BD$2323,N$1,FALSE),VLOOKUP($A227,Pit!$A$4:$AZ$2261,N$2,FALSE))</f>
        <v>#N/A</v>
      </c>
      <c r="O227" s="16" t="e">
        <f>IF($C227="B",VLOOKUP($A227,Bat!$A$4:$BD$2323,O$1,FALSE),VLOOKUP($A227,Pit!$A$4:$AZ$2261,O$2,FALSE))</f>
        <v>#N/A</v>
      </c>
      <c r="P227" s="17" t="e">
        <f>IF($C227="B",VLOOKUP($A227,Bat!$A$4:$BD$2323,P$1,FALSE),VLOOKUP($A227,Pit!$A$4:$AZ$2261,P$2,FALSE))</f>
        <v>#N/A</v>
      </c>
      <c r="Q227" s="18" t="e">
        <f>IF($C227="B",VLOOKUP($A227,Bat!$A$4:$BD$2323,Q$1,FALSE),VLOOKUP($A227,Pit!$A$4:$AZ$2261,Q$2,FALSE))</f>
        <v>#N/A</v>
      </c>
      <c r="R227" s="19" t="e">
        <f>IF($C227="B",VLOOKUP($A227,Bat!$A$4:$BD$2323,R$1,FALSE),VLOOKUP($A227,Pit!$A$4:$AZ$2261,R$2,FALSE))</f>
        <v>#N/A</v>
      </c>
      <c r="S227" s="20" t="e">
        <f>IF($C227="B",VLOOKUP($A227,Bat!$A$4:$BD$2323,S$1,FALSE),VLOOKUP($A227,Pit!$A$4:$AZ$2261,S$2,FALSE))</f>
        <v>#N/A</v>
      </c>
      <c r="T227" s="17" t="e">
        <f>IF(S227="Slot","",VLOOKUP(IF($C227="B",VLOOKUP($A227,Bat!$A$4:$AT$2323,T$1,FALSE),VLOOKUP($A227,Pit!$A$4:$BD$2261,T$2,FALSE)),COND!$A$34:$B$40,2,FALSE))</f>
        <v>#N/A</v>
      </c>
      <c r="U227" s="21" t="e">
        <f>IF($C227="B",VLOOKUP($A227,Bat!$A$4:$AR$1287,44,FALSE),VLOOKUP($A227,Pit!$A$4:$BB$1239,54,FALSE))</f>
        <v>#N/A</v>
      </c>
      <c r="W227" s="21" t="e">
        <f t="shared" si="14"/>
        <v>#N/A</v>
      </c>
      <c r="X227" s="22" t="e">
        <f t="shared" si="15"/>
        <v>#N/A</v>
      </c>
      <c r="Y227" s="16" t="str">
        <f>IF(ISERROR(VLOOKUP($E227&amp;$F227,Results!$A$2:$G$413,Y$1,FALSE)),"",VLOOKUP($E227&amp;$F227,Results!$A$2:$G$413,Y$1,FALSE))</f>
        <v/>
      </c>
      <c r="Z227" s="16" t="str">
        <f>IF(ISERROR(VLOOKUP($E227&amp;$F227,Results!$A$2:$G$413,Z$1,FALSE)),"",VLOOKUP($E227&amp;$F227,Results!$A$2:$G$413,Z$1,FALSE))</f>
        <v/>
      </c>
      <c r="AA227" s="16" t="str">
        <f>IF(ISERROR(VLOOKUP($E227&amp;$F227,Results!$A$2:$G$413,AA$1,FALSE)),"",VLOOKUP($E227&amp;$F227,Results!$A$2:$G$413,AA$1,FALSE))</f>
        <v/>
      </c>
      <c r="AB227" s="16" t="str">
        <f>IF(ISERROR(VLOOKUP($E227&amp;$F227,Results!$A$2:$G$413,AB$1,FALSE)),"",VLOOKUP($E227&amp;$F227,Results!$A$2:$G$413,AB$1,FALSE))</f>
        <v/>
      </c>
      <c r="AC227" s="16"/>
      <c r="AD227" s="20" t="str">
        <f>IF(ISERROR(VLOOKUP($AB227&amp;"-"&amp;$F227,Bonuses!$B$1:$G$1000,4,FALSE)),"",INT(VLOOKUP($AB227&amp;"-"&amp;$F227,Bonuses!$B$1:$G$1000,4,FALSE)))</f>
        <v/>
      </c>
      <c r="AE227" s="16" t="str">
        <f>IF(ISERROR(VLOOKUP($AB227&amp;"-"&amp;$F227,Bonuses!$B$1:$G$1000,5,FALSE)),"",IF(VLOOKUP($AB227&amp;"-"&amp;$F227,Bonuses!$B$1:$G$1000,5,FALSE)="","",VLOOKUP($AB227&amp;"-"&amp;$F227,Bonuses!$B$1:$G$1000,6,FALSE)&amp;" yrs, "&amp;VLOOKUP($AB227&amp;"-"&amp;$F227,Bonuses!$B$1:$G$1000,5,FALSE)))</f>
        <v/>
      </c>
    </row>
    <row r="228" spans="1:31" s="21" customFormat="1">
      <c r="A228" s="21" t="s">
        <v>438</v>
      </c>
      <c r="B228" s="21">
        <f t="shared" si="12"/>
        <v>1</v>
      </c>
      <c r="C228" s="21" t="str">
        <f t="shared" si="13"/>
        <v>B</v>
      </c>
      <c r="D228" s="17" t="e">
        <f>IF($C228="B",VLOOKUP($A228,Bat!$A$4:$BD$2323,D$1,FALSE),VLOOKUP($A228,Pit!$A$4:$AZ$2261,D$2,FALSE))</f>
        <v>#N/A</v>
      </c>
      <c r="E228" s="16" t="str">
        <f>IF($C228="B",VLOOKUP($A228,Bat!$A$4:$BD$2323,E$1,FALSE),VLOOKUP($A228,Pit!$A$4:$AZ$2261,E$2,FALSE))</f>
        <v>C</v>
      </c>
      <c r="F228" s="16" t="str">
        <f>IF($C228="B",VLOOKUP($A228,Bat!$A$4:$BD$2323,F$1,FALSE),VLOOKUP($A228,Pit!$A$4:$AZ$2261,F$2,FALSE))</f>
        <v>José González</v>
      </c>
      <c r="G228" s="16">
        <f>IF($C228="B",VLOOKUP($A228,Bat!$A$4:$BD$2323,G$1,FALSE),VLOOKUP($A228,Pit!$A$4:$AZ$2261,G$2,FALSE))</f>
        <v>21</v>
      </c>
      <c r="H228" s="16" t="str">
        <f>IF($C228="B",VLOOKUP($A228,Bat!$A$4:$BD$2323,H$1,FALSE),VLOOKUP($A228,Pit!$A$4:$AZ$2261,H$2,FALSE))</f>
        <v>R</v>
      </c>
      <c r="I228" s="16" t="str">
        <f>IF($C228="B",VLOOKUP($A228,Bat!$A$4:$BD$2323,I$1,FALSE),VLOOKUP($A228,Pit!$A$4:$AZ$2261,I$2,FALSE))</f>
        <v>R</v>
      </c>
      <c r="J228" s="16" t="str">
        <f>IF($C228="B",VLOOKUP($A228,Bat!$A$4:$BD$2323,J$1,FALSE),VLOOKUP($A228,Pit!$A$4:$AZ$2261,J$2,FALSE))</f>
        <v>Normal</v>
      </c>
      <c r="K228" s="17" t="str">
        <f>IF($C228="B",VLOOKUP($A228,Bat!$A$4:$BD$2323,K$1,FALSE),VLOOKUP($A228,Pit!$A$4:$AZ$2261,K$2,FALSE))</f>
        <v>Normal</v>
      </c>
      <c r="L228" s="16">
        <f>IF($C228="B",VLOOKUP($A228,Bat!$A$4:$BD$2323,L$1,FALSE),VLOOKUP($A228,Pit!$A$4:$AZ$2261,L$2,FALSE))</f>
        <v>4</v>
      </c>
      <c r="M228" s="16">
        <f>IF($C228="B",VLOOKUP($A228,Bat!$A$4:$BD$2323,M$1,FALSE),VLOOKUP($A228,Pit!$A$4:$AZ$2261,M$2,FALSE))</f>
        <v>4</v>
      </c>
      <c r="N228" s="16">
        <f>IF($C228="B",VLOOKUP($A228,Bat!$A$4:$BD$2323,N$1,FALSE),VLOOKUP($A228,Pit!$A$4:$AZ$2261,N$2,FALSE))</f>
        <v>2</v>
      </c>
      <c r="O228" s="16">
        <f>IF($C228="B",VLOOKUP($A228,Bat!$A$4:$BD$2323,O$1,FALSE),VLOOKUP($A228,Pit!$A$4:$AZ$2261,O$2,FALSE))</f>
        <v>3</v>
      </c>
      <c r="P228" s="17">
        <f>IF($C228="B",VLOOKUP($A228,Bat!$A$4:$BD$2323,P$1,FALSE),VLOOKUP($A228,Pit!$A$4:$AZ$2261,P$2,FALSE))</f>
        <v>5</v>
      </c>
      <c r="Q228" s="18">
        <f>IF($C228="B",VLOOKUP($A228,Bat!$A$4:$BD$2323,Q$1,FALSE),VLOOKUP($A228,Pit!$A$4:$AZ$2261,Q$2,FALSE))</f>
        <v>4.8737814655768759</v>
      </c>
      <c r="R228" s="19">
        <f>IF($C228="B",VLOOKUP($A228,Bat!$A$4:$BD$2323,R$1,FALSE),VLOOKUP($A228,Pit!$A$4:$AZ$2261,R$2,FALSE))</f>
        <v>-0.80474691758358663</v>
      </c>
      <c r="S228" s="20" t="str">
        <f>IF($C228="B",VLOOKUP($A228,Bat!$A$4:$BD$2323,S$1,FALSE),VLOOKUP($A228,Pit!$A$4:$AZ$2261,S$2,FALSE))</f>
        <v>Slot</v>
      </c>
      <c r="T228" s="17" t="str">
        <f>IF(S228="Slot","",VLOOKUP(IF($C228="B",VLOOKUP($A228,Bat!$A$4:$AT$2323,T$1,FALSE),VLOOKUP($A228,Pit!$A$4:$BD$2261,T$2,FALSE)),COND!$A$34:$B$40,2,FALSE))</f>
        <v/>
      </c>
      <c r="U228" s="21" t="str">
        <f>IF($C228="B",VLOOKUP($A228,Bat!$A$4:$AR$1287,44,FALSE),VLOOKUP($A228,Pit!$A$4:$BB$1239,54,FALSE))</f>
        <v/>
      </c>
      <c r="W228" s="21" t="str">
        <f t="shared" si="14"/>
        <v/>
      </c>
      <c r="X228" s="22" t="e">
        <f t="shared" si="15"/>
        <v>#N/A</v>
      </c>
      <c r="Y228" s="16" t="str">
        <f>IF(ISERROR(VLOOKUP($E228&amp;$F228,Results!$A$2:$G$413,Y$1,FALSE)),"",VLOOKUP($E228&amp;$F228,Results!$A$2:$G$413,Y$1,FALSE))</f>
        <v/>
      </c>
      <c r="Z228" s="16" t="str">
        <f>IF(ISERROR(VLOOKUP($E228&amp;$F228,Results!$A$2:$G$413,Z$1,FALSE)),"",VLOOKUP($E228&amp;$F228,Results!$A$2:$G$413,Z$1,FALSE))</f>
        <v/>
      </c>
      <c r="AA228" s="16" t="str">
        <f>IF(ISERROR(VLOOKUP($E228&amp;$F228,Results!$A$2:$G$413,AA$1,FALSE)),"",VLOOKUP($E228&amp;$F228,Results!$A$2:$G$413,AA$1,FALSE))</f>
        <v/>
      </c>
      <c r="AB228" s="16" t="str">
        <f>IF(ISERROR(VLOOKUP($E228&amp;$F228,Results!$A$2:$G$413,AB$1,FALSE)),"",VLOOKUP($E228&amp;$F228,Results!$A$2:$G$413,AB$1,FALSE))</f>
        <v/>
      </c>
      <c r="AC228" s="16"/>
      <c r="AD228" s="20" t="str">
        <f>IF(ISERROR(VLOOKUP($AB228&amp;"-"&amp;$F228,Bonuses!$B$1:$G$1000,4,FALSE)),"",INT(VLOOKUP($AB228&amp;"-"&amp;$F228,Bonuses!$B$1:$G$1000,4,FALSE)))</f>
        <v/>
      </c>
      <c r="AE228" s="16" t="str">
        <f>IF(ISERROR(VLOOKUP($AB228&amp;"-"&amp;$F228,Bonuses!$B$1:$G$1000,5,FALSE)),"",IF(VLOOKUP($AB228&amp;"-"&amp;$F228,Bonuses!$B$1:$G$1000,5,FALSE)="","",VLOOKUP($AB228&amp;"-"&amp;$F228,Bonuses!$B$1:$G$1000,6,FALSE)&amp;" yrs, "&amp;VLOOKUP($AB228&amp;"-"&amp;$F228,Bonuses!$B$1:$G$1000,5,FALSE)))</f>
        <v/>
      </c>
    </row>
    <row r="229" spans="1:31" s="21" customFormat="1">
      <c r="A229" s="21" t="s">
        <v>896</v>
      </c>
      <c r="B229" s="21">
        <f t="shared" si="12"/>
        <v>1</v>
      </c>
      <c r="C229" s="21" t="str">
        <f t="shared" si="13"/>
        <v>B</v>
      </c>
      <c r="D229" s="17" t="e">
        <f>IF($C229="B",VLOOKUP($A229,Bat!$A$4:$BD$2323,D$1,FALSE),VLOOKUP($A229,Pit!$A$4:$AZ$2261,D$2,FALSE))</f>
        <v>#N/A</v>
      </c>
      <c r="E229" s="16" t="e">
        <f>IF($C229="B",VLOOKUP($A229,Bat!$A$4:$BD$2323,E$1,FALSE),VLOOKUP($A229,Pit!$A$4:$AZ$2261,E$2,FALSE))</f>
        <v>#N/A</v>
      </c>
      <c r="F229" s="16" t="e">
        <f>IF($C229="B",VLOOKUP($A229,Bat!$A$4:$BD$2323,F$1,FALSE),VLOOKUP($A229,Pit!$A$4:$AZ$2261,F$2,FALSE))</f>
        <v>#N/A</v>
      </c>
      <c r="G229" s="16" t="e">
        <f>IF($C229="B",VLOOKUP($A229,Bat!$A$4:$BD$2323,G$1,FALSE),VLOOKUP($A229,Pit!$A$4:$AZ$2261,G$2,FALSE))</f>
        <v>#N/A</v>
      </c>
      <c r="H229" s="16" t="e">
        <f>IF($C229="B",VLOOKUP($A229,Bat!$A$4:$BD$2323,H$1,FALSE),VLOOKUP($A229,Pit!$A$4:$AZ$2261,H$2,FALSE))</f>
        <v>#N/A</v>
      </c>
      <c r="I229" s="16" t="e">
        <f>IF($C229="B",VLOOKUP($A229,Bat!$A$4:$BD$2323,I$1,FALSE),VLOOKUP($A229,Pit!$A$4:$AZ$2261,I$2,FALSE))</f>
        <v>#N/A</v>
      </c>
      <c r="J229" s="16" t="e">
        <f>IF($C229="B",VLOOKUP($A229,Bat!$A$4:$BD$2323,J$1,FALSE),VLOOKUP($A229,Pit!$A$4:$AZ$2261,J$2,FALSE))</f>
        <v>#N/A</v>
      </c>
      <c r="K229" s="17" t="e">
        <f>IF($C229="B",VLOOKUP($A229,Bat!$A$4:$BD$2323,K$1,FALSE),VLOOKUP($A229,Pit!$A$4:$AZ$2261,K$2,FALSE))</f>
        <v>#N/A</v>
      </c>
      <c r="L229" s="16" t="e">
        <f>IF($C229="B",VLOOKUP($A229,Bat!$A$4:$BD$2323,L$1,FALSE),VLOOKUP($A229,Pit!$A$4:$AZ$2261,L$2,FALSE))</f>
        <v>#N/A</v>
      </c>
      <c r="M229" s="16" t="e">
        <f>IF($C229="B",VLOOKUP($A229,Bat!$A$4:$BD$2323,M$1,FALSE),VLOOKUP($A229,Pit!$A$4:$AZ$2261,M$2,FALSE))</f>
        <v>#N/A</v>
      </c>
      <c r="N229" s="16" t="e">
        <f>IF($C229="B",VLOOKUP($A229,Bat!$A$4:$BD$2323,N$1,FALSE),VLOOKUP($A229,Pit!$A$4:$AZ$2261,N$2,FALSE))</f>
        <v>#N/A</v>
      </c>
      <c r="O229" s="16" t="e">
        <f>IF($C229="B",VLOOKUP($A229,Bat!$A$4:$BD$2323,O$1,FALSE),VLOOKUP($A229,Pit!$A$4:$AZ$2261,O$2,FALSE))</f>
        <v>#N/A</v>
      </c>
      <c r="P229" s="17" t="e">
        <f>IF($C229="B",VLOOKUP($A229,Bat!$A$4:$BD$2323,P$1,FALSE),VLOOKUP($A229,Pit!$A$4:$AZ$2261,P$2,FALSE))</f>
        <v>#N/A</v>
      </c>
      <c r="Q229" s="18" t="e">
        <f>IF($C229="B",VLOOKUP($A229,Bat!$A$4:$BD$2323,Q$1,FALSE),VLOOKUP($A229,Pit!$A$4:$AZ$2261,Q$2,FALSE))</f>
        <v>#N/A</v>
      </c>
      <c r="R229" s="19" t="e">
        <f>IF($C229="B",VLOOKUP($A229,Bat!$A$4:$BD$2323,R$1,FALSE),VLOOKUP($A229,Pit!$A$4:$AZ$2261,R$2,FALSE))</f>
        <v>#N/A</v>
      </c>
      <c r="S229" s="20" t="e">
        <f>IF($C229="B",VLOOKUP($A229,Bat!$A$4:$BD$2323,S$1,FALSE),VLOOKUP($A229,Pit!$A$4:$AZ$2261,S$2,FALSE))</f>
        <v>#N/A</v>
      </c>
      <c r="T229" s="17" t="e">
        <f>IF(S229="Slot","",VLOOKUP(IF($C229="B",VLOOKUP($A229,Bat!$A$4:$AT$2323,T$1,FALSE),VLOOKUP($A229,Pit!$A$4:$BD$2261,T$2,FALSE)),COND!$A$34:$B$40,2,FALSE))</f>
        <v>#N/A</v>
      </c>
      <c r="U229" s="21" t="e">
        <f>IF($C229="B",VLOOKUP($A229,Bat!$A$4:$AR$1287,44,FALSE),VLOOKUP($A229,Pit!$A$4:$BB$1239,54,FALSE))</f>
        <v>#N/A</v>
      </c>
      <c r="W229" s="21" t="e">
        <f t="shared" si="14"/>
        <v>#N/A</v>
      </c>
      <c r="X229" s="22" t="e">
        <f t="shared" si="15"/>
        <v>#N/A</v>
      </c>
      <c r="Y229" s="16" t="str">
        <f>IF(ISERROR(VLOOKUP($E229&amp;$F229,Results!$A$2:$G$413,Y$1,FALSE)),"",VLOOKUP($E229&amp;$F229,Results!$A$2:$G$413,Y$1,FALSE))</f>
        <v/>
      </c>
      <c r="Z229" s="16" t="str">
        <f>IF(ISERROR(VLOOKUP($E229&amp;$F229,Results!$A$2:$G$413,Z$1,FALSE)),"",VLOOKUP($E229&amp;$F229,Results!$A$2:$G$413,Z$1,FALSE))</f>
        <v/>
      </c>
      <c r="AA229" s="16" t="str">
        <f>IF(ISERROR(VLOOKUP($E229&amp;$F229,Results!$A$2:$G$413,AA$1,FALSE)),"",VLOOKUP($E229&amp;$F229,Results!$A$2:$G$413,AA$1,FALSE))</f>
        <v/>
      </c>
      <c r="AB229" s="16" t="str">
        <f>IF(ISERROR(VLOOKUP($E229&amp;$F229,Results!$A$2:$G$413,AB$1,FALSE)),"",VLOOKUP($E229&amp;$F229,Results!$A$2:$G$413,AB$1,FALSE))</f>
        <v/>
      </c>
      <c r="AC229" s="16"/>
      <c r="AD229" s="20" t="str">
        <f>IF(ISERROR(VLOOKUP($AB229&amp;"-"&amp;$F229,Bonuses!$B$1:$G$1000,4,FALSE)),"",INT(VLOOKUP($AB229&amp;"-"&amp;$F229,Bonuses!$B$1:$G$1000,4,FALSE)))</f>
        <v/>
      </c>
      <c r="AE229" s="16" t="str">
        <f>IF(ISERROR(VLOOKUP($AB229&amp;"-"&amp;$F229,Bonuses!$B$1:$G$1000,5,FALSE)),"",IF(VLOOKUP($AB229&amp;"-"&amp;$F229,Bonuses!$B$1:$G$1000,5,FALSE)="","",VLOOKUP($AB229&amp;"-"&amp;$F229,Bonuses!$B$1:$G$1000,6,FALSE)&amp;" yrs, "&amp;VLOOKUP($AB229&amp;"-"&amp;$F229,Bonuses!$B$1:$G$1000,5,FALSE)))</f>
        <v/>
      </c>
    </row>
    <row r="230" spans="1:31" s="21" customFormat="1">
      <c r="A230" s="21" t="s">
        <v>874</v>
      </c>
      <c r="B230" s="21">
        <f t="shared" si="12"/>
        <v>1</v>
      </c>
      <c r="C230" s="21" t="str">
        <f t="shared" si="13"/>
        <v>B</v>
      </c>
      <c r="D230" s="17">
        <f>IF($C230="B",VLOOKUP($A230,Bat!$A$4:$BD$2323,D$1,FALSE),VLOOKUP($A230,Pit!$A$4:$AZ$2261,D$2,FALSE))</f>
        <v>6526</v>
      </c>
      <c r="E230" s="16" t="str">
        <f>IF($C230="B",VLOOKUP($A230,Bat!$A$4:$BD$2323,E$1,FALSE),VLOOKUP($A230,Pit!$A$4:$AZ$2261,E$2,FALSE))</f>
        <v>RF</v>
      </c>
      <c r="F230" s="16" t="str">
        <f>IF($C230="B",VLOOKUP($A230,Bat!$A$4:$BD$2323,F$1,FALSE),VLOOKUP($A230,Pit!$A$4:$AZ$2261,F$2,FALSE))</f>
        <v>Dan Jefferson</v>
      </c>
      <c r="G230" s="16">
        <f>IF($C230="B",VLOOKUP($A230,Bat!$A$4:$BD$2323,G$1,FALSE),VLOOKUP($A230,Pit!$A$4:$AZ$2261,G$2,FALSE))</f>
        <v>21</v>
      </c>
      <c r="H230" s="16" t="str">
        <f>IF($C230="B",VLOOKUP($A230,Bat!$A$4:$BD$2323,H$1,FALSE),VLOOKUP($A230,Pit!$A$4:$AZ$2261,H$2,FALSE))</f>
        <v>L</v>
      </c>
      <c r="I230" s="16" t="str">
        <f>IF($C230="B",VLOOKUP($A230,Bat!$A$4:$BD$2323,I$1,FALSE),VLOOKUP($A230,Pit!$A$4:$AZ$2261,I$2,FALSE))</f>
        <v>L</v>
      </c>
      <c r="J230" s="16" t="str">
        <f>IF($C230="B",VLOOKUP($A230,Bat!$A$4:$BD$2323,J$1,FALSE),VLOOKUP($A230,Pit!$A$4:$AZ$2261,J$2,FALSE))</f>
        <v>Normal</v>
      </c>
      <c r="K230" s="17" t="str">
        <f>IF($C230="B",VLOOKUP($A230,Bat!$A$4:$BD$2323,K$1,FALSE),VLOOKUP($A230,Pit!$A$4:$AZ$2261,K$2,FALSE))</f>
        <v>Normal</v>
      </c>
      <c r="L230" s="16">
        <f>IF($C230="B",VLOOKUP($A230,Bat!$A$4:$BD$2323,L$1,FALSE),VLOOKUP($A230,Pit!$A$4:$AZ$2261,L$2,FALSE))</f>
        <v>4</v>
      </c>
      <c r="M230" s="16">
        <f>IF($C230="B",VLOOKUP($A230,Bat!$A$4:$BD$2323,M$1,FALSE),VLOOKUP($A230,Pit!$A$4:$AZ$2261,M$2,FALSE))</f>
        <v>5</v>
      </c>
      <c r="N230" s="16">
        <f>IF($C230="B",VLOOKUP($A230,Bat!$A$4:$BD$2323,N$1,FALSE),VLOOKUP($A230,Pit!$A$4:$AZ$2261,N$2,FALSE))</f>
        <v>3</v>
      </c>
      <c r="O230" s="16">
        <f>IF($C230="B",VLOOKUP($A230,Bat!$A$4:$BD$2323,O$1,FALSE),VLOOKUP($A230,Pit!$A$4:$AZ$2261,O$2,FALSE))</f>
        <v>2</v>
      </c>
      <c r="P230" s="17">
        <f>IF($C230="B",VLOOKUP($A230,Bat!$A$4:$BD$2323,P$1,FALSE),VLOOKUP($A230,Pit!$A$4:$AZ$2261,P$2,FALSE))</f>
        <v>4</v>
      </c>
      <c r="Q230" s="18">
        <f>IF($C230="B",VLOOKUP($A230,Bat!$A$4:$BD$2323,Q$1,FALSE),VLOOKUP($A230,Pit!$A$4:$AZ$2261,Q$2,FALSE))</f>
        <v>4.7840951557261802</v>
      </c>
      <c r="R230" s="19">
        <f>IF($C230="B",VLOOKUP($A230,Bat!$A$4:$BD$2323,R$1,FALSE),VLOOKUP($A230,Pit!$A$4:$AZ$2261,R$2,FALSE))</f>
        <v>-0.81720646736210878</v>
      </c>
      <c r="S230" s="20" t="str">
        <f>IF($C230="B",VLOOKUP($A230,Bat!$A$4:$BD$2323,S$1,FALSE),VLOOKUP($A230,Pit!$A$4:$AZ$2261,S$2,FALSE))</f>
        <v>Slot</v>
      </c>
      <c r="T230" s="17" t="str">
        <f>IF(S230="Slot","",VLOOKUP(IF($C230="B",VLOOKUP($A230,Bat!$A$4:$AT$2323,T$1,FALSE),VLOOKUP($A230,Pit!$A$4:$BD$2261,T$2,FALSE)),COND!$A$34:$B$40,2,FALSE))</f>
        <v/>
      </c>
      <c r="U230" s="21" t="str">
        <f>IF($C230="B",VLOOKUP($A230,Bat!$A$4:$AR$1287,44,FALSE),VLOOKUP($A230,Pit!$A$4:$BB$1239,54,FALSE))</f>
        <v/>
      </c>
      <c r="W230" s="21" t="str">
        <f t="shared" si="14"/>
        <v/>
      </c>
      <c r="X230" s="22" t="e">
        <f t="shared" si="15"/>
        <v>#N/A</v>
      </c>
      <c r="Y230" s="16" t="str">
        <f>IF(ISERROR(VLOOKUP($E230&amp;$F230,Results!$A$2:$G$413,Y$1,FALSE)),"",VLOOKUP($E230&amp;$F230,Results!$A$2:$G$413,Y$1,FALSE))</f>
        <v/>
      </c>
      <c r="Z230" s="16" t="str">
        <f>IF(ISERROR(VLOOKUP($E230&amp;$F230,Results!$A$2:$G$413,Z$1,FALSE)),"",VLOOKUP($E230&amp;$F230,Results!$A$2:$G$413,Z$1,FALSE))</f>
        <v/>
      </c>
      <c r="AA230" s="16" t="str">
        <f>IF(ISERROR(VLOOKUP($E230&amp;$F230,Results!$A$2:$G$413,AA$1,FALSE)),"",VLOOKUP($E230&amp;$F230,Results!$A$2:$G$413,AA$1,FALSE))</f>
        <v/>
      </c>
      <c r="AB230" s="16" t="str">
        <f>IF(ISERROR(VLOOKUP($E230&amp;$F230,Results!$A$2:$G$413,AB$1,FALSE)),"",VLOOKUP($E230&amp;$F230,Results!$A$2:$G$413,AB$1,FALSE))</f>
        <v/>
      </c>
      <c r="AC230" s="16"/>
      <c r="AD230" s="20" t="str">
        <f>IF(ISERROR(VLOOKUP($AB230&amp;"-"&amp;$F230,Bonuses!$B$1:$G$1000,4,FALSE)),"",INT(VLOOKUP($AB230&amp;"-"&amp;$F230,Bonuses!$B$1:$G$1000,4,FALSE)))</f>
        <v/>
      </c>
      <c r="AE230" s="16" t="str">
        <f>IF(ISERROR(VLOOKUP($AB230&amp;"-"&amp;$F230,Bonuses!$B$1:$G$1000,5,FALSE)),"",IF(VLOOKUP($AB230&amp;"-"&amp;$F230,Bonuses!$B$1:$G$1000,5,FALSE)="","",VLOOKUP($AB230&amp;"-"&amp;$F230,Bonuses!$B$1:$G$1000,6,FALSE)&amp;" yrs, "&amp;VLOOKUP($AB230&amp;"-"&amp;$F230,Bonuses!$B$1:$G$1000,5,FALSE)))</f>
        <v/>
      </c>
    </row>
    <row r="231" spans="1:31" s="21" customFormat="1">
      <c r="A231" s="21" t="s">
        <v>261</v>
      </c>
      <c r="B231" s="21">
        <f t="shared" si="12"/>
        <v>1</v>
      </c>
      <c r="C231" s="21" t="str">
        <f t="shared" si="13"/>
        <v>B</v>
      </c>
      <c r="D231" s="17">
        <f>IF($C231="B",VLOOKUP($A231,Bat!$A$4:$BD$2323,D$1,FALSE),VLOOKUP($A231,Pit!$A$4:$AZ$2261,D$2,FALSE))</f>
        <v>738</v>
      </c>
      <c r="E231" s="16" t="str">
        <f>IF($C231="B",VLOOKUP($A231,Bat!$A$4:$BD$2323,E$1,FALSE),VLOOKUP($A231,Pit!$A$4:$AZ$2261,E$2,FALSE))</f>
        <v>3B</v>
      </c>
      <c r="F231" s="16" t="str">
        <f>IF($C231="B",VLOOKUP($A231,Bat!$A$4:$BD$2323,F$1,FALSE),VLOOKUP($A231,Pit!$A$4:$AZ$2261,F$2,FALSE))</f>
        <v>Arthur Miller</v>
      </c>
      <c r="G231" s="16">
        <f>IF($C231="B",VLOOKUP($A231,Bat!$A$4:$BD$2323,G$1,FALSE),VLOOKUP($A231,Pit!$A$4:$AZ$2261,G$2,FALSE))</f>
        <v>18</v>
      </c>
      <c r="H231" s="16" t="str">
        <f>IF($C231="B",VLOOKUP($A231,Bat!$A$4:$BD$2323,H$1,FALSE),VLOOKUP($A231,Pit!$A$4:$AZ$2261,H$2,FALSE))</f>
        <v>R</v>
      </c>
      <c r="I231" s="16" t="str">
        <f>IF($C231="B",VLOOKUP($A231,Bat!$A$4:$BD$2323,I$1,FALSE),VLOOKUP($A231,Pit!$A$4:$AZ$2261,I$2,FALSE))</f>
        <v>R</v>
      </c>
      <c r="J231" s="16" t="str">
        <f>IF($C231="B",VLOOKUP($A231,Bat!$A$4:$BD$2323,J$1,FALSE),VLOOKUP($A231,Pit!$A$4:$AZ$2261,J$2,FALSE))</f>
        <v>Very High</v>
      </c>
      <c r="K231" s="17" t="str">
        <f>IF($C231="B",VLOOKUP($A231,Bat!$A$4:$BD$2323,K$1,FALSE),VLOOKUP($A231,Pit!$A$4:$AZ$2261,K$2,FALSE))</f>
        <v>High</v>
      </c>
      <c r="L231" s="16">
        <f>IF($C231="B",VLOOKUP($A231,Bat!$A$4:$BD$2323,L$1,FALSE),VLOOKUP($A231,Pit!$A$4:$AZ$2261,L$2,FALSE))</f>
        <v>4</v>
      </c>
      <c r="M231" s="16">
        <f>IF($C231="B",VLOOKUP($A231,Bat!$A$4:$BD$2323,M$1,FALSE),VLOOKUP($A231,Pit!$A$4:$AZ$2261,M$2,FALSE))</f>
        <v>5</v>
      </c>
      <c r="N231" s="16">
        <f>IF($C231="B",VLOOKUP($A231,Bat!$A$4:$BD$2323,N$1,FALSE),VLOOKUP($A231,Pit!$A$4:$AZ$2261,N$2,FALSE))</f>
        <v>4</v>
      </c>
      <c r="O231" s="16">
        <f>IF($C231="B",VLOOKUP($A231,Bat!$A$4:$BD$2323,O$1,FALSE),VLOOKUP($A231,Pit!$A$4:$AZ$2261,O$2,FALSE))</f>
        <v>2</v>
      </c>
      <c r="P231" s="17">
        <f>IF($C231="B",VLOOKUP($A231,Bat!$A$4:$BD$2323,P$1,FALSE),VLOOKUP($A231,Pit!$A$4:$AZ$2261,P$2,FALSE))</f>
        <v>4</v>
      </c>
      <c r="Q231" s="18">
        <f>IF($C231="B",VLOOKUP($A231,Bat!$A$4:$BD$2323,Q$1,FALSE),VLOOKUP($A231,Pit!$A$4:$AZ$2261,Q$2,FALSE))</f>
        <v>4.7047523984327375</v>
      </c>
      <c r="R231" s="19">
        <f>IF($C231="B",VLOOKUP($A231,Bat!$A$4:$BD$2323,R$1,FALSE),VLOOKUP($A231,Pit!$A$4:$AZ$2261,R$2,FALSE))</f>
        <v>-0.82822905303553629</v>
      </c>
      <c r="S231" s="20" t="str">
        <f>IF($C231="B",VLOOKUP($A231,Bat!$A$4:$BD$2323,S$1,FALSE),VLOOKUP($A231,Pit!$A$4:$AZ$2261,S$2,FALSE))</f>
        <v>Slot</v>
      </c>
      <c r="T231" s="17" t="str">
        <f>IF(S231="Slot","",VLOOKUP(IF($C231="B",VLOOKUP($A231,Bat!$A$4:$AT$2323,T$1,FALSE),VLOOKUP($A231,Pit!$A$4:$BD$2261,T$2,FALSE)),COND!$A$34:$B$40,2,FALSE))</f>
        <v/>
      </c>
      <c r="U231" s="21" t="str">
        <f>IF($C231="B",VLOOKUP($A231,Bat!$A$4:$AR$1287,44,FALSE),VLOOKUP($A231,Pit!$A$4:$BB$1239,54,FALSE))</f>
        <v/>
      </c>
      <c r="W231" s="21" t="str">
        <f t="shared" si="14"/>
        <v/>
      </c>
      <c r="X231" s="22" t="e">
        <f t="shared" si="15"/>
        <v>#N/A</v>
      </c>
      <c r="Y231" s="16" t="str">
        <f>IF(ISERROR(VLOOKUP($E231&amp;$F231,Results!$A$2:$G$413,Y$1,FALSE)),"",VLOOKUP($E231&amp;$F231,Results!$A$2:$G$413,Y$1,FALSE))</f>
        <v/>
      </c>
      <c r="Z231" s="16" t="str">
        <f>IF(ISERROR(VLOOKUP($E231&amp;$F231,Results!$A$2:$G$413,Z$1,FALSE)),"",VLOOKUP($E231&amp;$F231,Results!$A$2:$G$413,Z$1,FALSE))</f>
        <v/>
      </c>
      <c r="AA231" s="16" t="str">
        <f>IF(ISERROR(VLOOKUP($E231&amp;$F231,Results!$A$2:$G$413,AA$1,FALSE)),"",VLOOKUP($E231&amp;$F231,Results!$A$2:$G$413,AA$1,FALSE))</f>
        <v/>
      </c>
      <c r="AB231" s="16" t="str">
        <f>IF(ISERROR(VLOOKUP($E231&amp;$F231,Results!$A$2:$G$413,AB$1,FALSE)),"",VLOOKUP($E231&amp;$F231,Results!$A$2:$G$413,AB$1,FALSE))</f>
        <v/>
      </c>
      <c r="AC231" s="16"/>
      <c r="AD231" s="20" t="str">
        <f>IF(ISERROR(VLOOKUP($AB231&amp;"-"&amp;$F231,Bonuses!$B$1:$G$1000,4,FALSE)),"",INT(VLOOKUP($AB231&amp;"-"&amp;$F231,Bonuses!$B$1:$G$1000,4,FALSE)))</f>
        <v/>
      </c>
      <c r="AE231" s="16" t="str">
        <f>IF(ISERROR(VLOOKUP($AB231&amp;"-"&amp;$F231,Bonuses!$B$1:$G$1000,5,FALSE)),"",IF(VLOOKUP($AB231&amp;"-"&amp;$F231,Bonuses!$B$1:$G$1000,5,FALSE)="","",VLOOKUP($AB231&amp;"-"&amp;$F231,Bonuses!$B$1:$G$1000,6,FALSE)&amp;" yrs, "&amp;VLOOKUP($AB231&amp;"-"&amp;$F231,Bonuses!$B$1:$G$1000,5,FALSE)))</f>
        <v/>
      </c>
    </row>
    <row r="232" spans="1:31" s="21" customFormat="1">
      <c r="A232" s="21" t="s">
        <v>738</v>
      </c>
      <c r="B232" s="21">
        <f t="shared" si="12"/>
        <v>1</v>
      </c>
      <c r="C232" s="21" t="str">
        <f t="shared" si="13"/>
        <v>B</v>
      </c>
      <c r="D232" s="17">
        <f>IF($C232="B",VLOOKUP($A232,Bat!$A$4:$BD$2323,D$1,FALSE),VLOOKUP($A232,Pit!$A$4:$AZ$2261,D$2,FALSE))</f>
        <v>6843</v>
      </c>
      <c r="E232" s="16" t="str">
        <f>IF($C232="B",VLOOKUP($A232,Bat!$A$4:$BD$2323,E$1,FALSE),VLOOKUP($A232,Pit!$A$4:$AZ$2261,E$2,FALSE))</f>
        <v>1B</v>
      </c>
      <c r="F232" s="16" t="str">
        <f>IF($C232="B",VLOOKUP($A232,Bat!$A$4:$BD$2323,F$1,FALSE),VLOOKUP($A232,Pit!$A$4:$AZ$2261,F$2,FALSE))</f>
        <v>Mike Kennedy</v>
      </c>
      <c r="G232" s="16">
        <f>IF($C232="B",VLOOKUP($A232,Bat!$A$4:$BD$2323,G$1,FALSE),VLOOKUP($A232,Pit!$A$4:$AZ$2261,G$2,FALSE))</f>
        <v>20</v>
      </c>
      <c r="H232" s="16" t="str">
        <f>IF($C232="B",VLOOKUP($A232,Bat!$A$4:$BD$2323,H$1,FALSE),VLOOKUP($A232,Pit!$A$4:$AZ$2261,H$2,FALSE))</f>
        <v>R</v>
      </c>
      <c r="I232" s="16" t="str">
        <f>IF($C232="B",VLOOKUP($A232,Bat!$A$4:$BD$2323,I$1,FALSE),VLOOKUP($A232,Pit!$A$4:$AZ$2261,I$2,FALSE))</f>
        <v>R</v>
      </c>
      <c r="J232" s="16" t="str">
        <f>IF($C232="B",VLOOKUP($A232,Bat!$A$4:$BD$2323,J$1,FALSE),VLOOKUP($A232,Pit!$A$4:$AZ$2261,J$2,FALSE))</f>
        <v>Very Low</v>
      </c>
      <c r="K232" s="17" t="str">
        <f>IF($C232="B",VLOOKUP($A232,Bat!$A$4:$BD$2323,K$1,FALSE),VLOOKUP($A232,Pit!$A$4:$AZ$2261,K$2,FALSE))</f>
        <v>Normal</v>
      </c>
      <c r="L232" s="16">
        <f>IF($C232="B",VLOOKUP($A232,Bat!$A$4:$BD$2323,L$1,FALSE),VLOOKUP($A232,Pit!$A$4:$AZ$2261,L$2,FALSE))</f>
        <v>4</v>
      </c>
      <c r="M232" s="16">
        <f>IF($C232="B",VLOOKUP($A232,Bat!$A$4:$BD$2323,M$1,FALSE),VLOOKUP($A232,Pit!$A$4:$AZ$2261,M$2,FALSE))</f>
        <v>6</v>
      </c>
      <c r="N232" s="16">
        <f>IF($C232="B",VLOOKUP($A232,Bat!$A$4:$BD$2323,N$1,FALSE),VLOOKUP($A232,Pit!$A$4:$AZ$2261,N$2,FALSE))</f>
        <v>4</v>
      </c>
      <c r="O232" s="16">
        <f>IF($C232="B",VLOOKUP($A232,Bat!$A$4:$BD$2323,O$1,FALSE),VLOOKUP($A232,Pit!$A$4:$AZ$2261,O$2,FALSE))</f>
        <v>2</v>
      </c>
      <c r="P232" s="17">
        <f>IF($C232="B",VLOOKUP($A232,Bat!$A$4:$BD$2323,P$1,FALSE),VLOOKUP($A232,Pit!$A$4:$AZ$2261,P$2,FALSE))</f>
        <v>4</v>
      </c>
      <c r="Q232" s="18">
        <f>IF($C232="B",VLOOKUP($A232,Bat!$A$4:$BD$2323,Q$1,FALSE),VLOOKUP($A232,Pit!$A$4:$AZ$2261,Q$2,FALSE))</f>
        <v>4.5088341594210251</v>
      </c>
      <c r="R232" s="19">
        <f>IF($C232="B",VLOOKUP($A232,Bat!$A$4:$BD$2323,R$1,FALSE),VLOOKUP($A232,Pit!$A$4:$AZ$2261,R$2,FALSE))</f>
        <v>-0.85544673046646802</v>
      </c>
      <c r="S232" s="20">
        <f>IF($C232="B",VLOOKUP($A232,Bat!$A$4:$BD$2323,S$1,FALSE),VLOOKUP($A232,Pit!$A$4:$AZ$2261,S$2,FALSE))</f>
        <v>210000</v>
      </c>
      <c r="T232" s="17" t="str">
        <f>IF(S232="Slot","",VLOOKUP(IF($C232="B",VLOOKUP($A232,Bat!$A$4:$AT$2323,T$1,FALSE),VLOOKUP($A232,Pit!$A$4:$BD$2261,T$2,FALSE)),COND!$A$34:$B$40,2,FALSE))</f>
        <v>EH</v>
      </c>
      <c r="U232" s="21" t="str">
        <f>IF($C232="B",VLOOKUP($A232,Bat!$A$4:$AR$1287,44,FALSE),VLOOKUP($A232,Pit!$A$4:$BB$1239,54,FALSE))</f>
        <v/>
      </c>
      <c r="W232" s="21" t="str">
        <f t="shared" si="14"/>
        <v/>
      </c>
      <c r="X232" s="22" t="e">
        <f t="shared" si="15"/>
        <v>#N/A</v>
      </c>
      <c r="Y232" s="16" t="str">
        <f>IF(ISERROR(VLOOKUP($E232&amp;$F232,Results!$A$2:$G$413,Y$1,FALSE)),"",VLOOKUP($E232&amp;$F232,Results!$A$2:$G$413,Y$1,FALSE))</f>
        <v/>
      </c>
      <c r="Z232" s="16" t="str">
        <f>IF(ISERROR(VLOOKUP($E232&amp;$F232,Results!$A$2:$G$413,Z$1,FALSE)),"",VLOOKUP($E232&amp;$F232,Results!$A$2:$G$413,Z$1,FALSE))</f>
        <v/>
      </c>
      <c r="AA232" s="16" t="str">
        <f>IF(ISERROR(VLOOKUP($E232&amp;$F232,Results!$A$2:$G$413,AA$1,FALSE)),"",VLOOKUP($E232&amp;$F232,Results!$A$2:$G$413,AA$1,FALSE))</f>
        <v/>
      </c>
      <c r="AB232" s="16" t="str">
        <f>IF(ISERROR(VLOOKUP($E232&amp;$F232,Results!$A$2:$G$413,AB$1,FALSE)),"",VLOOKUP($E232&amp;$F232,Results!$A$2:$G$413,AB$1,FALSE))</f>
        <v/>
      </c>
      <c r="AC232" s="16"/>
      <c r="AD232" s="20" t="str">
        <f>IF(ISERROR(VLOOKUP($AB232&amp;"-"&amp;$F232,Bonuses!$B$1:$G$1000,4,FALSE)),"",INT(VLOOKUP($AB232&amp;"-"&amp;$F232,Bonuses!$B$1:$G$1000,4,FALSE)))</f>
        <v/>
      </c>
      <c r="AE232" s="16" t="str">
        <f>IF(ISERROR(VLOOKUP($AB232&amp;"-"&amp;$F232,Bonuses!$B$1:$G$1000,5,FALSE)),"",IF(VLOOKUP($AB232&amp;"-"&amp;$F232,Bonuses!$B$1:$G$1000,5,FALSE)="","",VLOOKUP($AB232&amp;"-"&amp;$F232,Bonuses!$B$1:$G$1000,6,FALSE)&amp;" yrs, "&amp;VLOOKUP($AB232&amp;"-"&amp;$F232,Bonuses!$B$1:$G$1000,5,FALSE)))</f>
        <v/>
      </c>
    </row>
    <row r="233" spans="1:31" s="21" customFormat="1">
      <c r="A233" s="21" t="s">
        <v>260</v>
      </c>
      <c r="B233" s="21">
        <f t="shared" si="12"/>
        <v>1</v>
      </c>
      <c r="C233" s="21" t="str">
        <f t="shared" si="13"/>
        <v>B</v>
      </c>
      <c r="D233" s="17">
        <f>IF($C233="B",VLOOKUP($A233,Bat!$A$4:$BD$2323,D$1,FALSE),VLOOKUP($A233,Pit!$A$4:$AZ$2261,D$2,FALSE))</f>
        <v>3915</v>
      </c>
      <c r="E233" s="16" t="str">
        <f>IF($C233="B",VLOOKUP($A233,Bat!$A$4:$BD$2323,E$1,FALSE),VLOOKUP($A233,Pit!$A$4:$AZ$2261,E$2,FALSE))</f>
        <v>SS</v>
      </c>
      <c r="F233" s="16" t="str">
        <f>IF($C233="B",VLOOKUP($A233,Bat!$A$4:$BD$2323,F$1,FALSE),VLOOKUP($A233,Pit!$A$4:$AZ$2261,F$2,FALSE))</f>
        <v>Manuel Villarreal</v>
      </c>
      <c r="G233" s="16">
        <f>IF($C233="B",VLOOKUP($A233,Bat!$A$4:$BD$2323,G$1,FALSE),VLOOKUP($A233,Pit!$A$4:$AZ$2261,G$2,FALSE))</f>
        <v>21</v>
      </c>
      <c r="H233" s="16" t="str">
        <f>IF($C233="B",VLOOKUP($A233,Bat!$A$4:$BD$2323,H$1,FALSE),VLOOKUP($A233,Pit!$A$4:$AZ$2261,H$2,FALSE))</f>
        <v>R</v>
      </c>
      <c r="I233" s="16" t="str">
        <f>IF($C233="B",VLOOKUP($A233,Bat!$A$4:$BD$2323,I$1,FALSE),VLOOKUP($A233,Pit!$A$4:$AZ$2261,I$2,FALSE))</f>
        <v>R</v>
      </c>
      <c r="J233" s="16" t="str">
        <f>IF($C233="B",VLOOKUP($A233,Bat!$A$4:$BD$2323,J$1,FALSE),VLOOKUP($A233,Pit!$A$4:$AZ$2261,J$2,FALSE))</f>
        <v>Very Low</v>
      </c>
      <c r="K233" s="17" t="str">
        <f>IF($C233="B",VLOOKUP($A233,Bat!$A$4:$BD$2323,K$1,FALSE),VLOOKUP($A233,Pit!$A$4:$AZ$2261,K$2,FALSE))</f>
        <v>High</v>
      </c>
      <c r="L233" s="16">
        <f>IF($C233="B",VLOOKUP($A233,Bat!$A$4:$BD$2323,L$1,FALSE),VLOOKUP($A233,Pit!$A$4:$AZ$2261,L$2,FALSE))</f>
        <v>4</v>
      </c>
      <c r="M233" s="16">
        <f>IF($C233="B",VLOOKUP($A233,Bat!$A$4:$BD$2323,M$1,FALSE),VLOOKUP($A233,Pit!$A$4:$AZ$2261,M$2,FALSE))</f>
        <v>5</v>
      </c>
      <c r="N233" s="16">
        <f>IF($C233="B",VLOOKUP($A233,Bat!$A$4:$BD$2323,N$1,FALSE),VLOOKUP($A233,Pit!$A$4:$AZ$2261,N$2,FALSE))</f>
        <v>1</v>
      </c>
      <c r="O233" s="16">
        <f>IF($C233="B",VLOOKUP($A233,Bat!$A$4:$BD$2323,O$1,FALSE),VLOOKUP($A233,Pit!$A$4:$AZ$2261,O$2,FALSE))</f>
        <v>3</v>
      </c>
      <c r="P233" s="17">
        <f>IF($C233="B",VLOOKUP($A233,Bat!$A$4:$BD$2323,P$1,FALSE),VLOOKUP($A233,Pit!$A$4:$AZ$2261,P$2,FALSE))</f>
        <v>5</v>
      </c>
      <c r="Q233" s="18">
        <f>IF($C233="B",VLOOKUP($A233,Bat!$A$4:$BD$2323,Q$1,FALSE),VLOOKUP($A233,Pit!$A$4:$AZ$2261,Q$2,FALSE))</f>
        <v>4.4835048955937564</v>
      </c>
      <c r="R233" s="19">
        <f>IF($C233="B",VLOOKUP($A233,Bat!$A$4:$BD$2323,R$1,FALSE),VLOOKUP($A233,Pit!$A$4:$AZ$2261,R$2,FALSE))</f>
        <v>-0.8589655643223213</v>
      </c>
      <c r="S233" s="20" t="str">
        <f>IF($C233="B",VLOOKUP($A233,Bat!$A$4:$BD$2323,S$1,FALSE),VLOOKUP($A233,Pit!$A$4:$AZ$2261,S$2,FALSE))</f>
        <v>Slot</v>
      </c>
      <c r="T233" s="17" t="str">
        <f>IF(S233="Slot","",VLOOKUP(IF($C233="B",VLOOKUP($A233,Bat!$A$4:$AT$2323,T$1,FALSE),VLOOKUP($A233,Pit!$A$4:$BD$2261,T$2,FALSE)),COND!$A$34:$B$40,2,FALSE))</f>
        <v/>
      </c>
      <c r="U233" s="21" t="str">
        <f>IF($C233="B",VLOOKUP($A233,Bat!$A$4:$AR$1287,44,FALSE),VLOOKUP($A233,Pit!$A$4:$BB$1239,54,FALSE))</f>
        <v/>
      </c>
      <c r="W233" s="21" t="str">
        <f t="shared" si="14"/>
        <v/>
      </c>
      <c r="X233" s="22" t="e">
        <f t="shared" si="15"/>
        <v>#N/A</v>
      </c>
      <c r="Y233" s="16" t="str">
        <f>IF(ISERROR(VLOOKUP($E233&amp;$F233,Results!$A$2:$G$413,Y$1,FALSE)),"",VLOOKUP($E233&amp;$F233,Results!$A$2:$G$413,Y$1,FALSE))</f>
        <v/>
      </c>
      <c r="Z233" s="16" t="str">
        <f>IF(ISERROR(VLOOKUP($E233&amp;$F233,Results!$A$2:$G$413,Z$1,FALSE)),"",VLOOKUP($E233&amp;$F233,Results!$A$2:$G$413,Z$1,FALSE))</f>
        <v/>
      </c>
      <c r="AA233" s="16" t="str">
        <f>IF(ISERROR(VLOOKUP($E233&amp;$F233,Results!$A$2:$G$413,AA$1,FALSE)),"",VLOOKUP($E233&amp;$F233,Results!$A$2:$G$413,AA$1,FALSE))</f>
        <v/>
      </c>
      <c r="AB233" s="16" t="str">
        <f>IF(ISERROR(VLOOKUP($E233&amp;$F233,Results!$A$2:$G$413,AB$1,FALSE)),"",VLOOKUP($E233&amp;$F233,Results!$A$2:$G$413,AB$1,FALSE))</f>
        <v/>
      </c>
      <c r="AC233" s="16"/>
      <c r="AD233" s="20" t="str">
        <f>IF(ISERROR(VLOOKUP($AB233&amp;"-"&amp;$F233,Bonuses!$B$1:$G$1000,4,FALSE)),"",INT(VLOOKUP($AB233&amp;"-"&amp;$F233,Bonuses!$B$1:$G$1000,4,FALSE)))</f>
        <v/>
      </c>
      <c r="AE233" s="16" t="str">
        <f>IF(ISERROR(VLOOKUP($AB233&amp;"-"&amp;$F233,Bonuses!$B$1:$G$1000,5,FALSE)),"",IF(VLOOKUP($AB233&amp;"-"&amp;$F233,Bonuses!$B$1:$G$1000,5,FALSE)="","",VLOOKUP($AB233&amp;"-"&amp;$F233,Bonuses!$B$1:$G$1000,6,FALSE)&amp;" yrs, "&amp;VLOOKUP($AB233&amp;"-"&amp;$F233,Bonuses!$B$1:$G$1000,5,FALSE)))</f>
        <v/>
      </c>
    </row>
    <row r="234" spans="1:31" s="21" customFormat="1">
      <c r="A234" s="21" t="s">
        <v>441</v>
      </c>
      <c r="B234" s="21">
        <f t="shared" si="12"/>
        <v>1</v>
      </c>
      <c r="C234" s="21" t="str">
        <f t="shared" si="13"/>
        <v>B</v>
      </c>
      <c r="D234" s="17">
        <f>IF($C234="B",VLOOKUP($A234,Bat!$A$4:$BD$2323,D$1,FALSE),VLOOKUP($A234,Pit!$A$4:$AZ$2261,D$2,FALSE))</f>
        <v>2772</v>
      </c>
      <c r="E234" s="16" t="str">
        <f>IF($C234="B",VLOOKUP($A234,Bat!$A$4:$BD$2323,E$1,FALSE),VLOOKUP($A234,Pit!$A$4:$AZ$2261,E$2,FALSE))</f>
        <v>C</v>
      </c>
      <c r="F234" s="16" t="str">
        <f>IF($C234="B",VLOOKUP($A234,Bat!$A$4:$BD$2323,F$1,FALSE),VLOOKUP($A234,Pit!$A$4:$AZ$2261,F$2,FALSE))</f>
        <v>Dexter Armstrong</v>
      </c>
      <c r="G234" s="16">
        <f>IF($C234="B",VLOOKUP($A234,Bat!$A$4:$BD$2323,G$1,FALSE),VLOOKUP($A234,Pit!$A$4:$AZ$2261,G$2,FALSE))</f>
        <v>21</v>
      </c>
      <c r="H234" s="16" t="str">
        <f>IF($C234="B",VLOOKUP($A234,Bat!$A$4:$BD$2323,H$1,FALSE),VLOOKUP($A234,Pit!$A$4:$AZ$2261,H$2,FALSE))</f>
        <v>R</v>
      </c>
      <c r="I234" s="16" t="str">
        <f>IF($C234="B",VLOOKUP($A234,Bat!$A$4:$BD$2323,I$1,FALSE),VLOOKUP($A234,Pit!$A$4:$AZ$2261,I$2,FALSE))</f>
        <v>R</v>
      </c>
      <c r="J234" s="16" t="str">
        <f>IF($C234="B",VLOOKUP($A234,Bat!$A$4:$BD$2323,J$1,FALSE),VLOOKUP($A234,Pit!$A$4:$AZ$2261,J$2,FALSE))</f>
        <v>Normal</v>
      </c>
      <c r="K234" s="17" t="str">
        <f>IF($C234="B",VLOOKUP($A234,Bat!$A$4:$BD$2323,K$1,FALSE),VLOOKUP($A234,Pit!$A$4:$AZ$2261,K$2,FALSE))</f>
        <v>High</v>
      </c>
      <c r="L234" s="16">
        <f>IF($C234="B",VLOOKUP($A234,Bat!$A$4:$BD$2323,L$1,FALSE),VLOOKUP($A234,Pit!$A$4:$AZ$2261,L$2,FALSE))</f>
        <v>4</v>
      </c>
      <c r="M234" s="16">
        <f>IF($C234="B",VLOOKUP($A234,Bat!$A$4:$BD$2323,M$1,FALSE),VLOOKUP($A234,Pit!$A$4:$AZ$2261,M$2,FALSE))</f>
        <v>4</v>
      </c>
      <c r="N234" s="16">
        <f>IF($C234="B",VLOOKUP($A234,Bat!$A$4:$BD$2323,N$1,FALSE),VLOOKUP($A234,Pit!$A$4:$AZ$2261,N$2,FALSE))</f>
        <v>2</v>
      </c>
      <c r="O234" s="16">
        <f>IF($C234="B",VLOOKUP($A234,Bat!$A$4:$BD$2323,O$1,FALSE),VLOOKUP($A234,Pit!$A$4:$AZ$2261,O$2,FALSE))</f>
        <v>3</v>
      </c>
      <c r="P234" s="17">
        <f>IF($C234="B",VLOOKUP($A234,Bat!$A$4:$BD$2323,P$1,FALSE),VLOOKUP($A234,Pit!$A$4:$AZ$2261,P$2,FALSE))</f>
        <v>4</v>
      </c>
      <c r="Q234" s="18">
        <f>IF($C234="B",VLOOKUP($A234,Bat!$A$4:$BD$2323,Q$1,FALSE),VLOOKUP($A234,Pit!$A$4:$AZ$2261,Q$2,FALSE))</f>
        <v>4.471405113132727</v>
      </c>
      <c r="R234" s="19">
        <f>IF($C234="B",VLOOKUP($A234,Bat!$A$4:$BD$2323,R$1,FALSE),VLOOKUP($A234,Pit!$A$4:$AZ$2261,R$2,FALSE))</f>
        <v>-0.86064651030096018</v>
      </c>
      <c r="S234" s="20" t="str">
        <f>IF($C234="B",VLOOKUP($A234,Bat!$A$4:$BD$2323,S$1,FALSE),VLOOKUP($A234,Pit!$A$4:$AZ$2261,S$2,FALSE))</f>
        <v>Slot</v>
      </c>
      <c r="T234" s="17" t="str">
        <f>IF(S234="Slot","",VLOOKUP(IF($C234="B",VLOOKUP($A234,Bat!$A$4:$AT$2323,T$1,FALSE),VLOOKUP($A234,Pit!$A$4:$BD$2261,T$2,FALSE)),COND!$A$34:$B$40,2,FALSE))</f>
        <v/>
      </c>
      <c r="U234" s="21" t="str">
        <f>IF($C234="B",VLOOKUP($A234,Bat!$A$4:$AR$1287,44,FALSE),VLOOKUP($A234,Pit!$A$4:$BB$1239,54,FALSE))</f>
        <v/>
      </c>
      <c r="W234" s="21" t="str">
        <f t="shared" si="14"/>
        <v/>
      </c>
      <c r="X234" s="22" t="e">
        <f t="shared" si="15"/>
        <v>#N/A</v>
      </c>
      <c r="Y234" s="16" t="str">
        <f>IF(ISERROR(VLOOKUP($E234&amp;$F234,Results!$A$2:$G$413,Y$1,FALSE)),"",VLOOKUP($E234&amp;$F234,Results!$A$2:$G$413,Y$1,FALSE))</f>
        <v/>
      </c>
      <c r="Z234" s="16" t="str">
        <f>IF(ISERROR(VLOOKUP($E234&amp;$F234,Results!$A$2:$G$413,Z$1,FALSE)),"",VLOOKUP($E234&amp;$F234,Results!$A$2:$G$413,Z$1,FALSE))</f>
        <v/>
      </c>
      <c r="AA234" s="16" t="str">
        <f>IF(ISERROR(VLOOKUP($E234&amp;$F234,Results!$A$2:$G$413,AA$1,FALSE)),"",VLOOKUP($E234&amp;$F234,Results!$A$2:$G$413,AA$1,FALSE))</f>
        <v/>
      </c>
      <c r="AB234" s="16" t="str">
        <f>IF(ISERROR(VLOOKUP($E234&amp;$F234,Results!$A$2:$G$413,AB$1,FALSE)),"",VLOOKUP($E234&amp;$F234,Results!$A$2:$G$413,AB$1,FALSE))</f>
        <v/>
      </c>
      <c r="AC234" s="16"/>
      <c r="AD234" s="20" t="str">
        <f>IF(ISERROR(VLOOKUP($AB234&amp;"-"&amp;$F234,Bonuses!$B$1:$G$1000,4,FALSE)),"",INT(VLOOKUP($AB234&amp;"-"&amp;$F234,Bonuses!$B$1:$G$1000,4,FALSE)))</f>
        <v/>
      </c>
      <c r="AE234" s="16" t="str">
        <f>IF(ISERROR(VLOOKUP($AB234&amp;"-"&amp;$F234,Bonuses!$B$1:$G$1000,5,FALSE)),"",IF(VLOOKUP($AB234&amp;"-"&amp;$F234,Bonuses!$B$1:$G$1000,5,FALSE)="","",VLOOKUP($AB234&amp;"-"&amp;$F234,Bonuses!$B$1:$G$1000,6,FALSE)&amp;" yrs, "&amp;VLOOKUP($AB234&amp;"-"&amp;$F234,Bonuses!$B$1:$G$1000,5,FALSE)))</f>
        <v/>
      </c>
    </row>
    <row r="235" spans="1:31" s="21" customFormat="1">
      <c r="A235" s="21" t="s">
        <v>440</v>
      </c>
      <c r="B235" s="21">
        <f t="shared" si="12"/>
        <v>1</v>
      </c>
      <c r="C235" s="21" t="str">
        <f t="shared" si="13"/>
        <v>B</v>
      </c>
      <c r="D235" s="17">
        <f>IF($C235="B",VLOOKUP($A235,Bat!$A$4:$BD$2323,D$1,FALSE),VLOOKUP($A235,Pit!$A$4:$AZ$2261,D$2,FALSE))</f>
        <v>8025</v>
      </c>
      <c r="E235" s="16" t="str">
        <f>IF($C235="B",VLOOKUP($A235,Bat!$A$4:$BD$2323,E$1,FALSE),VLOOKUP($A235,Pit!$A$4:$AZ$2261,E$2,FALSE))</f>
        <v>C</v>
      </c>
      <c r="F235" s="16" t="str">
        <f>IF($C235="B",VLOOKUP($A235,Bat!$A$4:$BD$2323,F$1,FALSE),VLOOKUP($A235,Pit!$A$4:$AZ$2261,F$2,FALSE))</f>
        <v>Jim Reese</v>
      </c>
      <c r="G235" s="16">
        <f>IF($C235="B",VLOOKUP($A235,Bat!$A$4:$BD$2323,G$1,FALSE),VLOOKUP($A235,Pit!$A$4:$AZ$2261,G$2,FALSE))</f>
        <v>21</v>
      </c>
      <c r="H235" s="16" t="str">
        <f>IF($C235="B",VLOOKUP($A235,Bat!$A$4:$BD$2323,H$1,FALSE),VLOOKUP($A235,Pit!$A$4:$AZ$2261,H$2,FALSE))</f>
        <v>L</v>
      </c>
      <c r="I235" s="16" t="str">
        <f>IF($C235="B",VLOOKUP($A235,Bat!$A$4:$BD$2323,I$1,FALSE),VLOOKUP($A235,Pit!$A$4:$AZ$2261,I$2,FALSE))</f>
        <v>R</v>
      </c>
      <c r="J235" s="16" t="str">
        <f>IF($C235="B",VLOOKUP($A235,Bat!$A$4:$BD$2323,J$1,FALSE),VLOOKUP($A235,Pit!$A$4:$AZ$2261,J$2,FALSE))</f>
        <v>Low</v>
      </c>
      <c r="K235" s="17" t="str">
        <f>IF($C235="B",VLOOKUP($A235,Bat!$A$4:$BD$2323,K$1,FALSE),VLOOKUP($A235,Pit!$A$4:$AZ$2261,K$2,FALSE))</f>
        <v>Low</v>
      </c>
      <c r="L235" s="16">
        <f>IF($C235="B",VLOOKUP($A235,Bat!$A$4:$BD$2323,L$1,FALSE),VLOOKUP($A235,Pit!$A$4:$AZ$2261,L$2,FALSE))</f>
        <v>4</v>
      </c>
      <c r="M235" s="16">
        <f>IF($C235="B",VLOOKUP($A235,Bat!$A$4:$BD$2323,M$1,FALSE),VLOOKUP($A235,Pit!$A$4:$AZ$2261,M$2,FALSE))</f>
        <v>4</v>
      </c>
      <c r="N235" s="16">
        <f>IF($C235="B",VLOOKUP($A235,Bat!$A$4:$BD$2323,N$1,FALSE),VLOOKUP($A235,Pit!$A$4:$AZ$2261,N$2,FALSE))</f>
        <v>2</v>
      </c>
      <c r="O235" s="16">
        <f>IF($C235="B",VLOOKUP($A235,Bat!$A$4:$BD$2323,O$1,FALSE),VLOOKUP($A235,Pit!$A$4:$AZ$2261,O$2,FALSE))</f>
        <v>3</v>
      </c>
      <c r="P235" s="17">
        <f>IF($C235="B",VLOOKUP($A235,Bat!$A$4:$BD$2323,P$1,FALSE),VLOOKUP($A235,Pit!$A$4:$AZ$2261,P$2,FALSE))</f>
        <v>4</v>
      </c>
      <c r="Q235" s="18">
        <f>IF($C235="B",VLOOKUP($A235,Bat!$A$4:$BD$2323,Q$1,FALSE),VLOOKUP($A235,Pit!$A$4:$AZ$2261,Q$2,FALSE))</f>
        <v>4.4576623307347036</v>
      </c>
      <c r="R235" s="19">
        <f>IF($C235="B",VLOOKUP($A235,Bat!$A$4:$BD$2323,R$1,FALSE),VLOOKUP($A235,Pit!$A$4:$AZ$2261,R$2,FALSE))</f>
        <v>-0.86255570783254132</v>
      </c>
      <c r="S235" s="20" t="str">
        <f>IF($C235="B",VLOOKUP($A235,Bat!$A$4:$BD$2323,S$1,FALSE),VLOOKUP($A235,Pit!$A$4:$AZ$2261,S$2,FALSE))</f>
        <v>Slot</v>
      </c>
      <c r="T235" s="17" t="str">
        <f>IF(S235="Slot","",VLOOKUP(IF($C235="B",VLOOKUP($A235,Bat!$A$4:$AT$2323,T$1,FALSE),VLOOKUP($A235,Pit!$A$4:$BD$2261,T$2,FALSE)),COND!$A$34:$B$40,2,FALSE))</f>
        <v/>
      </c>
      <c r="U235" s="21" t="str">
        <f>IF($C235="B",VLOOKUP($A235,Bat!$A$4:$AR$1287,44,FALSE),VLOOKUP($A235,Pit!$A$4:$BB$1239,54,FALSE))</f>
        <v/>
      </c>
      <c r="W235" s="21" t="str">
        <f t="shared" si="14"/>
        <v/>
      </c>
      <c r="X235" s="22" t="e">
        <f t="shared" si="15"/>
        <v>#N/A</v>
      </c>
      <c r="Y235" s="16" t="str">
        <f>IF(ISERROR(VLOOKUP($E235&amp;$F235,Results!$A$2:$G$413,Y$1,FALSE)),"",VLOOKUP($E235&amp;$F235,Results!$A$2:$G$413,Y$1,FALSE))</f>
        <v/>
      </c>
      <c r="Z235" s="16" t="str">
        <f>IF(ISERROR(VLOOKUP($E235&amp;$F235,Results!$A$2:$G$413,Z$1,FALSE)),"",VLOOKUP($E235&amp;$F235,Results!$A$2:$G$413,Z$1,FALSE))</f>
        <v/>
      </c>
      <c r="AA235" s="16" t="str">
        <f>IF(ISERROR(VLOOKUP($E235&amp;$F235,Results!$A$2:$G$413,AA$1,FALSE)),"",VLOOKUP($E235&amp;$F235,Results!$A$2:$G$413,AA$1,FALSE))</f>
        <v/>
      </c>
      <c r="AB235" s="16" t="str">
        <f>IF(ISERROR(VLOOKUP($E235&amp;$F235,Results!$A$2:$G$413,AB$1,FALSE)),"",VLOOKUP($E235&amp;$F235,Results!$A$2:$G$413,AB$1,FALSE))</f>
        <v/>
      </c>
      <c r="AC235" s="16"/>
      <c r="AD235" s="20" t="str">
        <f>IF(ISERROR(VLOOKUP($AB235&amp;"-"&amp;$F235,Bonuses!$B$1:$G$1000,4,FALSE)),"",INT(VLOOKUP($AB235&amp;"-"&amp;$F235,Bonuses!$B$1:$G$1000,4,FALSE)))</f>
        <v/>
      </c>
      <c r="AE235" s="16" t="str">
        <f>IF(ISERROR(VLOOKUP($AB235&amp;"-"&amp;$F235,Bonuses!$B$1:$G$1000,5,FALSE)),"",IF(VLOOKUP($AB235&amp;"-"&amp;$F235,Bonuses!$B$1:$G$1000,5,FALSE)="","",VLOOKUP($AB235&amp;"-"&amp;$F235,Bonuses!$B$1:$G$1000,6,FALSE)&amp;" yrs, "&amp;VLOOKUP($AB235&amp;"-"&amp;$F235,Bonuses!$B$1:$G$1000,5,FALSE)))</f>
        <v/>
      </c>
    </row>
    <row r="236" spans="1:31" s="21" customFormat="1">
      <c r="A236" s="21" t="s">
        <v>888</v>
      </c>
      <c r="B236" s="21">
        <f t="shared" si="12"/>
        <v>1</v>
      </c>
      <c r="C236" s="21" t="str">
        <f t="shared" si="13"/>
        <v>B</v>
      </c>
      <c r="D236" s="17">
        <f>IF($C236="B",VLOOKUP($A236,Bat!$A$4:$BD$2323,D$1,FALSE),VLOOKUP($A236,Pit!$A$4:$AZ$2261,D$2,FALSE))</f>
        <v>3549</v>
      </c>
      <c r="E236" s="16" t="str">
        <f>IF($C236="B",VLOOKUP($A236,Bat!$A$4:$BD$2323,E$1,FALSE),VLOOKUP($A236,Pit!$A$4:$AZ$2261,E$2,FALSE))</f>
        <v>2B</v>
      </c>
      <c r="F236" s="16" t="str">
        <f>IF($C236="B",VLOOKUP($A236,Bat!$A$4:$BD$2323,F$1,FALSE),VLOOKUP($A236,Pit!$A$4:$AZ$2261,F$2,FALSE))</f>
        <v>John Avery</v>
      </c>
      <c r="G236" s="16">
        <f>IF($C236="B",VLOOKUP($A236,Bat!$A$4:$BD$2323,G$1,FALSE),VLOOKUP($A236,Pit!$A$4:$AZ$2261,G$2,FALSE))</f>
        <v>21</v>
      </c>
      <c r="H236" s="16" t="str">
        <f>IF($C236="B",VLOOKUP($A236,Bat!$A$4:$BD$2323,H$1,FALSE),VLOOKUP($A236,Pit!$A$4:$AZ$2261,H$2,FALSE))</f>
        <v>R</v>
      </c>
      <c r="I236" s="16" t="str">
        <f>IF($C236="B",VLOOKUP($A236,Bat!$A$4:$BD$2323,I$1,FALSE),VLOOKUP($A236,Pit!$A$4:$AZ$2261,I$2,FALSE))</f>
        <v>R</v>
      </c>
      <c r="J236" s="16" t="str">
        <f>IF($C236="B",VLOOKUP($A236,Bat!$A$4:$BD$2323,J$1,FALSE),VLOOKUP($A236,Pit!$A$4:$AZ$2261,J$2,FALSE))</f>
        <v>Very Low</v>
      </c>
      <c r="K236" s="17" t="str">
        <f>IF($C236="B",VLOOKUP($A236,Bat!$A$4:$BD$2323,K$1,FALSE),VLOOKUP($A236,Pit!$A$4:$AZ$2261,K$2,FALSE))</f>
        <v>High</v>
      </c>
      <c r="L236" s="16">
        <f>IF($C236="B",VLOOKUP($A236,Bat!$A$4:$BD$2323,L$1,FALSE),VLOOKUP($A236,Pit!$A$4:$AZ$2261,L$2,FALSE))</f>
        <v>4</v>
      </c>
      <c r="M236" s="16">
        <f>IF($C236="B",VLOOKUP($A236,Bat!$A$4:$BD$2323,M$1,FALSE),VLOOKUP($A236,Pit!$A$4:$AZ$2261,M$2,FALSE))</f>
        <v>5</v>
      </c>
      <c r="N236" s="16">
        <f>IF($C236="B",VLOOKUP($A236,Bat!$A$4:$BD$2323,N$1,FALSE),VLOOKUP($A236,Pit!$A$4:$AZ$2261,N$2,FALSE))</f>
        <v>2</v>
      </c>
      <c r="O236" s="16">
        <f>IF($C236="B",VLOOKUP($A236,Bat!$A$4:$BD$2323,O$1,FALSE),VLOOKUP($A236,Pit!$A$4:$AZ$2261,O$2,FALSE))</f>
        <v>3</v>
      </c>
      <c r="P236" s="17">
        <f>IF($C236="B",VLOOKUP($A236,Bat!$A$4:$BD$2323,P$1,FALSE),VLOOKUP($A236,Pit!$A$4:$AZ$2261,P$2,FALSE))</f>
        <v>4</v>
      </c>
      <c r="Q236" s="18">
        <f>IF($C236="B",VLOOKUP($A236,Bat!$A$4:$BD$2323,Q$1,FALSE),VLOOKUP($A236,Pit!$A$4:$AZ$2261,Q$2,FALSE))</f>
        <v>4.3921535407876826</v>
      </c>
      <c r="R236" s="19">
        <f>IF($C236="B",VLOOKUP($A236,Bat!$A$4:$BD$2323,R$1,FALSE),VLOOKUP($A236,Pit!$A$4:$AZ$2261,R$2,FALSE))</f>
        <v>-0.87165642822826772</v>
      </c>
      <c r="S236" s="20" t="str">
        <f>IF($C236="B",VLOOKUP($A236,Bat!$A$4:$BD$2323,S$1,FALSE),VLOOKUP($A236,Pit!$A$4:$AZ$2261,S$2,FALSE))</f>
        <v>Slot</v>
      </c>
      <c r="T236" s="17" t="str">
        <f>IF(S236="Slot","",VLOOKUP(IF($C236="B",VLOOKUP($A236,Bat!$A$4:$AT$2323,T$1,FALSE),VLOOKUP($A236,Pit!$A$4:$BD$2261,T$2,FALSE)),COND!$A$34:$B$40,2,FALSE))</f>
        <v/>
      </c>
      <c r="U236" s="21" t="str">
        <f>IF($C236="B",VLOOKUP($A236,Bat!$A$4:$AR$1287,44,FALSE),VLOOKUP($A236,Pit!$A$4:$BB$1239,54,FALSE))</f>
        <v/>
      </c>
      <c r="W236" s="21" t="str">
        <f t="shared" si="14"/>
        <v/>
      </c>
      <c r="X236" s="22" t="e">
        <f t="shared" si="15"/>
        <v>#N/A</v>
      </c>
      <c r="Y236" s="16" t="str">
        <f>IF(ISERROR(VLOOKUP($E236&amp;$F236,Results!$A$2:$G$413,Y$1,FALSE)),"",VLOOKUP($E236&amp;$F236,Results!$A$2:$G$413,Y$1,FALSE))</f>
        <v/>
      </c>
      <c r="Z236" s="16" t="str">
        <f>IF(ISERROR(VLOOKUP($E236&amp;$F236,Results!$A$2:$G$413,Z$1,FALSE)),"",VLOOKUP($E236&amp;$F236,Results!$A$2:$G$413,Z$1,FALSE))</f>
        <v/>
      </c>
      <c r="AA236" s="16" t="str">
        <f>IF(ISERROR(VLOOKUP($E236&amp;$F236,Results!$A$2:$G$413,AA$1,FALSE)),"",VLOOKUP($E236&amp;$F236,Results!$A$2:$G$413,AA$1,FALSE))</f>
        <v/>
      </c>
      <c r="AB236" s="16" t="str">
        <f>IF(ISERROR(VLOOKUP($E236&amp;$F236,Results!$A$2:$G$413,AB$1,FALSE)),"",VLOOKUP($E236&amp;$F236,Results!$A$2:$G$413,AB$1,FALSE))</f>
        <v/>
      </c>
      <c r="AC236" s="16"/>
      <c r="AD236" s="20" t="str">
        <f>IF(ISERROR(VLOOKUP($AB236&amp;"-"&amp;$F236,Bonuses!$B$1:$G$1000,4,FALSE)),"",INT(VLOOKUP($AB236&amp;"-"&amp;$F236,Bonuses!$B$1:$G$1000,4,FALSE)))</f>
        <v/>
      </c>
      <c r="AE236" s="16" t="str">
        <f>IF(ISERROR(VLOOKUP($AB236&amp;"-"&amp;$F236,Bonuses!$B$1:$G$1000,5,FALSE)),"",IF(VLOOKUP($AB236&amp;"-"&amp;$F236,Bonuses!$B$1:$G$1000,5,FALSE)="","",VLOOKUP($AB236&amp;"-"&amp;$F236,Bonuses!$B$1:$G$1000,6,FALSE)&amp;" yrs, "&amp;VLOOKUP($AB236&amp;"-"&amp;$F236,Bonuses!$B$1:$G$1000,5,FALSE)))</f>
        <v/>
      </c>
    </row>
    <row r="237" spans="1:31" s="21" customFormat="1">
      <c r="A237" s="21" t="s">
        <v>891</v>
      </c>
      <c r="B237" s="21">
        <f t="shared" si="12"/>
        <v>1</v>
      </c>
      <c r="C237" s="21" t="str">
        <f t="shared" si="13"/>
        <v>B</v>
      </c>
      <c r="D237" s="17">
        <f>IF($C237="B",VLOOKUP($A237,Bat!$A$4:$BD$2323,D$1,FALSE),VLOOKUP($A237,Pit!$A$4:$AZ$2261,D$2,FALSE))</f>
        <v>2987</v>
      </c>
      <c r="E237" s="16" t="str">
        <f>IF($C237="B",VLOOKUP($A237,Bat!$A$4:$BD$2323,E$1,FALSE),VLOOKUP($A237,Pit!$A$4:$AZ$2261,E$2,FALSE))</f>
        <v>CF</v>
      </c>
      <c r="F237" s="16" t="str">
        <f>IF($C237="B",VLOOKUP($A237,Bat!$A$4:$BD$2323,F$1,FALSE),VLOOKUP($A237,Pit!$A$4:$AZ$2261,F$2,FALSE))</f>
        <v>Jared Ward</v>
      </c>
      <c r="G237" s="16">
        <f>IF($C237="B",VLOOKUP($A237,Bat!$A$4:$BD$2323,G$1,FALSE),VLOOKUP($A237,Pit!$A$4:$AZ$2261,G$2,FALSE))</f>
        <v>21</v>
      </c>
      <c r="H237" s="16" t="str">
        <f>IF($C237="B",VLOOKUP($A237,Bat!$A$4:$BD$2323,H$1,FALSE),VLOOKUP($A237,Pit!$A$4:$AZ$2261,H$2,FALSE))</f>
        <v>L</v>
      </c>
      <c r="I237" s="16" t="str">
        <f>IF($C237="B",VLOOKUP($A237,Bat!$A$4:$BD$2323,I$1,FALSE),VLOOKUP($A237,Pit!$A$4:$AZ$2261,I$2,FALSE))</f>
        <v>R</v>
      </c>
      <c r="J237" s="16" t="str">
        <f>IF($C237="B",VLOOKUP($A237,Bat!$A$4:$BD$2323,J$1,FALSE),VLOOKUP($A237,Pit!$A$4:$AZ$2261,J$2,FALSE))</f>
        <v>Very Low</v>
      </c>
      <c r="K237" s="17" t="str">
        <f>IF($C237="B",VLOOKUP($A237,Bat!$A$4:$BD$2323,K$1,FALSE),VLOOKUP($A237,Pit!$A$4:$AZ$2261,K$2,FALSE))</f>
        <v>Normal</v>
      </c>
      <c r="L237" s="16">
        <f>IF($C237="B",VLOOKUP($A237,Bat!$A$4:$BD$2323,L$1,FALSE),VLOOKUP($A237,Pit!$A$4:$AZ$2261,L$2,FALSE))</f>
        <v>4</v>
      </c>
      <c r="M237" s="16">
        <f>IF($C237="B",VLOOKUP($A237,Bat!$A$4:$BD$2323,M$1,FALSE),VLOOKUP($A237,Pit!$A$4:$AZ$2261,M$2,FALSE))</f>
        <v>5</v>
      </c>
      <c r="N237" s="16">
        <f>IF($C237="B",VLOOKUP($A237,Bat!$A$4:$BD$2323,N$1,FALSE),VLOOKUP($A237,Pit!$A$4:$AZ$2261,N$2,FALSE))</f>
        <v>2</v>
      </c>
      <c r="O237" s="16">
        <f>IF($C237="B",VLOOKUP($A237,Bat!$A$4:$BD$2323,O$1,FALSE),VLOOKUP($A237,Pit!$A$4:$AZ$2261,O$2,FALSE))</f>
        <v>3</v>
      </c>
      <c r="P237" s="17">
        <f>IF($C237="B",VLOOKUP($A237,Bat!$A$4:$BD$2323,P$1,FALSE),VLOOKUP($A237,Pit!$A$4:$AZ$2261,P$2,FALSE))</f>
        <v>4</v>
      </c>
      <c r="Q237" s="18">
        <f>IF($C237="B",VLOOKUP($A237,Bat!$A$4:$BD$2323,Q$1,FALSE),VLOOKUP($A237,Pit!$A$4:$AZ$2261,Q$2,FALSE))</f>
        <v>4.3498492524533905</v>
      </c>
      <c r="R237" s="19">
        <f>IF($C237="B",VLOOKUP($A237,Bat!$A$4:$BD$2323,R$1,FALSE),VLOOKUP($A237,Pit!$A$4:$AZ$2261,R$2,FALSE))</f>
        <v>-0.87753349449650353</v>
      </c>
      <c r="S237" s="20" t="str">
        <f>IF($C237="B",VLOOKUP($A237,Bat!$A$4:$BD$2323,S$1,FALSE),VLOOKUP($A237,Pit!$A$4:$AZ$2261,S$2,FALSE))</f>
        <v>Slot</v>
      </c>
      <c r="T237" s="17" t="str">
        <f>IF(S237="Slot","",VLOOKUP(IF($C237="B",VLOOKUP($A237,Bat!$A$4:$AT$2323,T$1,FALSE),VLOOKUP($A237,Pit!$A$4:$BD$2261,T$2,FALSE)),COND!$A$34:$B$40,2,FALSE))</f>
        <v/>
      </c>
      <c r="U237" s="21" t="str">
        <f>IF($C237="B",VLOOKUP($A237,Bat!$A$4:$AR$1287,44,FALSE),VLOOKUP($A237,Pit!$A$4:$BB$1239,54,FALSE))</f>
        <v/>
      </c>
      <c r="W237" s="21" t="str">
        <f t="shared" si="14"/>
        <v/>
      </c>
      <c r="X237" s="22" t="e">
        <f t="shared" si="15"/>
        <v>#N/A</v>
      </c>
      <c r="Y237" s="16" t="str">
        <f>IF(ISERROR(VLOOKUP($E237&amp;$F237,Results!$A$2:$G$413,Y$1,FALSE)),"",VLOOKUP($E237&amp;$F237,Results!$A$2:$G$413,Y$1,FALSE))</f>
        <v/>
      </c>
      <c r="Z237" s="16" t="str">
        <f>IF(ISERROR(VLOOKUP($E237&amp;$F237,Results!$A$2:$G$413,Z$1,FALSE)),"",VLOOKUP($E237&amp;$F237,Results!$A$2:$G$413,Z$1,FALSE))</f>
        <v/>
      </c>
      <c r="AA237" s="16" t="str">
        <f>IF(ISERROR(VLOOKUP($E237&amp;$F237,Results!$A$2:$G$413,AA$1,FALSE)),"",VLOOKUP($E237&amp;$F237,Results!$A$2:$G$413,AA$1,FALSE))</f>
        <v/>
      </c>
      <c r="AB237" s="16" t="str">
        <f>IF(ISERROR(VLOOKUP($E237&amp;$F237,Results!$A$2:$G$413,AB$1,FALSE)),"",VLOOKUP($E237&amp;$F237,Results!$A$2:$G$413,AB$1,FALSE))</f>
        <v/>
      </c>
      <c r="AC237" s="16"/>
      <c r="AD237" s="20" t="str">
        <f>IF(ISERROR(VLOOKUP($AB237&amp;"-"&amp;$F237,Bonuses!$B$1:$G$1000,4,FALSE)),"",INT(VLOOKUP($AB237&amp;"-"&amp;$F237,Bonuses!$B$1:$G$1000,4,FALSE)))</f>
        <v/>
      </c>
      <c r="AE237" s="16" t="str">
        <f>IF(ISERROR(VLOOKUP($AB237&amp;"-"&amp;$F237,Bonuses!$B$1:$G$1000,5,FALSE)),"",IF(VLOOKUP($AB237&amp;"-"&amp;$F237,Bonuses!$B$1:$G$1000,5,FALSE)="","",VLOOKUP($AB237&amp;"-"&amp;$F237,Bonuses!$B$1:$G$1000,6,FALSE)&amp;" yrs, "&amp;VLOOKUP($AB237&amp;"-"&amp;$F237,Bonuses!$B$1:$G$1000,5,FALSE)))</f>
        <v/>
      </c>
    </row>
    <row r="238" spans="1:31" s="21" customFormat="1">
      <c r="A238" s="21" t="s">
        <v>734</v>
      </c>
      <c r="B238" s="21">
        <f t="shared" si="12"/>
        <v>1</v>
      </c>
      <c r="C238" s="21" t="str">
        <f t="shared" si="13"/>
        <v>B</v>
      </c>
      <c r="D238" s="17" t="e">
        <f>IF($C238="B",VLOOKUP($A238,Bat!$A$4:$BD$2323,D$1,FALSE),VLOOKUP($A238,Pit!$A$4:$AZ$2261,D$2,FALSE))</f>
        <v>#N/A</v>
      </c>
      <c r="E238" s="16" t="e">
        <f>IF($C238="B",VLOOKUP($A238,Bat!$A$4:$BD$2323,E$1,FALSE),VLOOKUP($A238,Pit!$A$4:$AZ$2261,E$2,FALSE))</f>
        <v>#N/A</v>
      </c>
      <c r="F238" s="16" t="e">
        <f>IF($C238="B",VLOOKUP($A238,Bat!$A$4:$BD$2323,F$1,FALSE),VLOOKUP($A238,Pit!$A$4:$AZ$2261,F$2,FALSE))</f>
        <v>#N/A</v>
      </c>
      <c r="G238" s="16" t="e">
        <f>IF($C238="B",VLOOKUP($A238,Bat!$A$4:$BD$2323,G$1,FALSE),VLOOKUP($A238,Pit!$A$4:$AZ$2261,G$2,FALSE))</f>
        <v>#N/A</v>
      </c>
      <c r="H238" s="16" t="e">
        <f>IF($C238="B",VLOOKUP($A238,Bat!$A$4:$BD$2323,H$1,FALSE),VLOOKUP($A238,Pit!$A$4:$AZ$2261,H$2,FALSE))</f>
        <v>#N/A</v>
      </c>
      <c r="I238" s="16" t="e">
        <f>IF($C238="B",VLOOKUP($A238,Bat!$A$4:$BD$2323,I$1,FALSE),VLOOKUP($A238,Pit!$A$4:$AZ$2261,I$2,FALSE))</f>
        <v>#N/A</v>
      </c>
      <c r="J238" s="16" t="e">
        <f>IF($C238="B",VLOOKUP($A238,Bat!$A$4:$BD$2323,J$1,FALSE),VLOOKUP($A238,Pit!$A$4:$AZ$2261,J$2,FALSE))</f>
        <v>#N/A</v>
      </c>
      <c r="K238" s="17" t="e">
        <f>IF($C238="B",VLOOKUP($A238,Bat!$A$4:$BD$2323,K$1,FALSE),VLOOKUP($A238,Pit!$A$4:$AZ$2261,K$2,FALSE))</f>
        <v>#N/A</v>
      </c>
      <c r="L238" s="16" t="e">
        <f>IF($C238="B",VLOOKUP($A238,Bat!$A$4:$BD$2323,L$1,FALSE),VLOOKUP($A238,Pit!$A$4:$AZ$2261,L$2,FALSE))</f>
        <v>#N/A</v>
      </c>
      <c r="M238" s="16" t="e">
        <f>IF($C238="B",VLOOKUP($A238,Bat!$A$4:$BD$2323,M$1,FALSE),VLOOKUP($A238,Pit!$A$4:$AZ$2261,M$2,FALSE))</f>
        <v>#N/A</v>
      </c>
      <c r="N238" s="16" t="e">
        <f>IF($C238="B",VLOOKUP($A238,Bat!$A$4:$BD$2323,N$1,FALSE),VLOOKUP($A238,Pit!$A$4:$AZ$2261,N$2,FALSE))</f>
        <v>#N/A</v>
      </c>
      <c r="O238" s="16" t="e">
        <f>IF($C238="B",VLOOKUP($A238,Bat!$A$4:$BD$2323,O$1,FALSE),VLOOKUP($A238,Pit!$A$4:$AZ$2261,O$2,FALSE))</f>
        <v>#N/A</v>
      </c>
      <c r="P238" s="17" t="e">
        <f>IF($C238="B",VLOOKUP($A238,Bat!$A$4:$BD$2323,P$1,FALSE),VLOOKUP($A238,Pit!$A$4:$AZ$2261,P$2,FALSE))</f>
        <v>#N/A</v>
      </c>
      <c r="Q238" s="18" t="e">
        <f>IF($C238="B",VLOOKUP($A238,Bat!$A$4:$BD$2323,Q$1,FALSE),VLOOKUP($A238,Pit!$A$4:$AZ$2261,Q$2,FALSE))</f>
        <v>#N/A</v>
      </c>
      <c r="R238" s="19" t="e">
        <f>IF($C238="B",VLOOKUP($A238,Bat!$A$4:$BD$2323,R$1,FALSE),VLOOKUP($A238,Pit!$A$4:$AZ$2261,R$2,FALSE))</f>
        <v>#N/A</v>
      </c>
      <c r="S238" s="20" t="e">
        <f>IF($C238="B",VLOOKUP($A238,Bat!$A$4:$BD$2323,S$1,FALSE),VLOOKUP($A238,Pit!$A$4:$AZ$2261,S$2,FALSE))</f>
        <v>#N/A</v>
      </c>
      <c r="T238" s="17" t="e">
        <f>IF(S238="Slot","",VLOOKUP(IF($C238="B",VLOOKUP($A238,Bat!$A$4:$AT$2323,T$1,FALSE),VLOOKUP($A238,Pit!$A$4:$BD$2261,T$2,FALSE)),COND!$A$34:$B$40,2,FALSE))</f>
        <v>#N/A</v>
      </c>
      <c r="U238" s="21" t="e">
        <f>IF($C238="B",VLOOKUP($A238,Bat!$A$4:$AR$1287,44,FALSE),VLOOKUP($A238,Pit!$A$4:$BB$1239,54,FALSE))</f>
        <v>#N/A</v>
      </c>
      <c r="W238" s="21" t="e">
        <f t="shared" si="14"/>
        <v>#N/A</v>
      </c>
      <c r="X238" s="22" t="e">
        <f t="shared" si="15"/>
        <v>#N/A</v>
      </c>
      <c r="Y238" s="16" t="str">
        <f>IF(ISERROR(VLOOKUP($E238&amp;$F238,Results!$A$2:$G$413,Y$1,FALSE)),"",VLOOKUP($E238&amp;$F238,Results!$A$2:$G$413,Y$1,FALSE))</f>
        <v/>
      </c>
      <c r="Z238" s="16" t="str">
        <f>IF(ISERROR(VLOOKUP($E238&amp;$F238,Results!$A$2:$G$413,Z$1,FALSE)),"",VLOOKUP($E238&amp;$F238,Results!$A$2:$G$413,Z$1,FALSE))</f>
        <v/>
      </c>
      <c r="AA238" s="16" t="str">
        <f>IF(ISERROR(VLOOKUP($E238&amp;$F238,Results!$A$2:$G$413,AA$1,FALSE)),"",VLOOKUP($E238&amp;$F238,Results!$A$2:$G$413,AA$1,FALSE))</f>
        <v/>
      </c>
      <c r="AB238" s="16" t="str">
        <f>IF(ISERROR(VLOOKUP($E238&amp;$F238,Results!$A$2:$G$413,AB$1,FALSE)),"",VLOOKUP($E238&amp;$F238,Results!$A$2:$G$413,AB$1,FALSE))</f>
        <v/>
      </c>
      <c r="AC238" s="16"/>
      <c r="AD238" s="20" t="str">
        <f>IF(ISERROR(VLOOKUP($AB238&amp;"-"&amp;$F238,Bonuses!$B$1:$G$1000,4,FALSE)),"",INT(VLOOKUP($AB238&amp;"-"&amp;$F238,Bonuses!$B$1:$G$1000,4,FALSE)))</f>
        <v/>
      </c>
      <c r="AE238" s="16" t="str">
        <f>IF(ISERROR(VLOOKUP($AB238&amp;"-"&amp;$F238,Bonuses!$B$1:$G$1000,5,FALSE)),"",IF(VLOOKUP($AB238&amp;"-"&amp;$F238,Bonuses!$B$1:$G$1000,5,FALSE)="","",VLOOKUP($AB238&amp;"-"&amp;$F238,Bonuses!$B$1:$G$1000,6,FALSE)&amp;" yrs, "&amp;VLOOKUP($AB238&amp;"-"&amp;$F238,Bonuses!$B$1:$G$1000,5,FALSE)))</f>
        <v/>
      </c>
    </row>
    <row r="239" spans="1:31" s="21" customFormat="1">
      <c r="A239" s="21" t="s">
        <v>893</v>
      </c>
      <c r="B239" s="21">
        <f t="shared" si="12"/>
        <v>1</v>
      </c>
      <c r="C239" s="21" t="str">
        <f t="shared" si="13"/>
        <v>B</v>
      </c>
      <c r="D239" s="17" t="e">
        <f>IF($C239="B",VLOOKUP($A239,Bat!$A$4:$BD$2323,D$1,FALSE),VLOOKUP($A239,Pit!$A$4:$AZ$2261,D$2,FALSE))</f>
        <v>#N/A</v>
      </c>
      <c r="E239" s="16" t="str">
        <f>IF($C239="B",VLOOKUP($A239,Bat!$A$4:$BD$2323,E$1,FALSE),VLOOKUP($A239,Pit!$A$4:$AZ$2261,E$2,FALSE))</f>
        <v>LF</v>
      </c>
      <c r="F239" s="16" t="str">
        <f>IF($C239="B",VLOOKUP($A239,Bat!$A$4:$BD$2323,F$1,FALSE),VLOOKUP($A239,Pit!$A$4:$AZ$2261,F$2,FALSE))</f>
        <v>Mario Gonzáles</v>
      </c>
      <c r="G239" s="16">
        <f>IF($C239="B",VLOOKUP($A239,Bat!$A$4:$BD$2323,G$1,FALSE),VLOOKUP($A239,Pit!$A$4:$AZ$2261,G$2,FALSE))</f>
        <v>21</v>
      </c>
      <c r="H239" s="16" t="str">
        <f>IF($C239="B",VLOOKUP($A239,Bat!$A$4:$BD$2323,H$1,FALSE),VLOOKUP($A239,Pit!$A$4:$AZ$2261,H$2,FALSE))</f>
        <v>L</v>
      </c>
      <c r="I239" s="16" t="str">
        <f>IF($C239="B",VLOOKUP($A239,Bat!$A$4:$BD$2323,I$1,FALSE),VLOOKUP($A239,Pit!$A$4:$AZ$2261,I$2,FALSE))</f>
        <v>L</v>
      </c>
      <c r="J239" s="16" t="str">
        <f>IF($C239="B",VLOOKUP($A239,Bat!$A$4:$BD$2323,J$1,FALSE),VLOOKUP($A239,Pit!$A$4:$AZ$2261,J$2,FALSE))</f>
        <v>Normal</v>
      </c>
      <c r="K239" s="17" t="str">
        <f>IF($C239="B",VLOOKUP($A239,Bat!$A$4:$BD$2323,K$1,FALSE),VLOOKUP($A239,Pit!$A$4:$AZ$2261,K$2,FALSE))</f>
        <v>Normal</v>
      </c>
      <c r="L239" s="16">
        <f>IF($C239="B",VLOOKUP($A239,Bat!$A$4:$BD$2323,L$1,FALSE),VLOOKUP($A239,Pit!$A$4:$AZ$2261,L$2,FALSE))</f>
        <v>4</v>
      </c>
      <c r="M239" s="16">
        <f>IF($C239="B",VLOOKUP($A239,Bat!$A$4:$BD$2323,M$1,FALSE),VLOOKUP($A239,Pit!$A$4:$AZ$2261,M$2,FALSE))</f>
        <v>6</v>
      </c>
      <c r="N239" s="16">
        <f>IF($C239="B",VLOOKUP($A239,Bat!$A$4:$BD$2323,N$1,FALSE),VLOOKUP($A239,Pit!$A$4:$AZ$2261,N$2,FALSE))</f>
        <v>1</v>
      </c>
      <c r="O239" s="16">
        <f>IF($C239="B",VLOOKUP($A239,Bat!$A$4:$BD$2323,O$1,FALSE),VLOOKUP($A239,Pit!$A$4:$AZ$2261,O$2,FALSE))</f>
        <v>3</v>
      </c>
      <c r="P239" s="17">
        <f>IF($C239="B",VLOOKUP($A239,Bat!$A$4:$BD$2323,P$1,FALSE),VLOOKUP($A239,Pit!$A$4:$AZ$2261,P$2,FALSE))</f>
        <v>4</v>
      </c>
      <c r="Q239" s="18">
        <f>IF($C239="B",VLOOKUP($A239,Bat!$A$4:$BD$2323,Q$1,FALSE),VLOOKUP($A239,Pit!$A$4:$AZ$2261,Q$2,FALSE))</f>
        <v>4.1516794771823804</v>
      </c>
      <c r="R239" s="19">
        <f>IF($C239="B",VLOOKUP($A239,Bat!$A$4:$BD$2323,R$1,FALSE),VLOOKUP($A239,Pit!$A$4:$AZ$2261,R$2,FALSE))</f>
        <v>-0.90506396356918717</v>
      </c>
      <c r="S239" s="20" t="str">
        <f>IF($C239="B",VLOOKUP($A239,Bat!$A$4:$BD$2323,S$1,FALSE),VLOOKUP($A239,Pit!$A$4:$AZ$2261,S$2,FALSE))</f>
        <v>Slot</v>
      </c>
      <c r="T239" s="17" t="str">
        <f>IF(S239="Slot","",VLOOKUP(IF($C239="B",VLOOKUP($A239,Bat!$A$4:$AT$2323,T$1,FALSE),VLOOKUP($A239,Pit!$A$4:$BD$2261,T$2,FALSE)),COND!$A$34:$B$40,2,FALSE))</f>
        <v/>
      </c>
      <c r="U239" s="21" t="str">
        <f>IF($C239="B",VLOOKUP($A239,Bat!$A$4:$AR$1287,44,FALSE),VLOOKUP($A239,Pit!$A$4:$BB$1239,54,FALSE))</f>
        <v/>
      </c>
      <c r="W239" s="21" t="str">
        <f t="shared" si="14"/>
        <v/>
      </c>
      <c r="X239" s="22" t="e">
        <f t="shared" si="15"/>
        <v>#N/A</v>
      </c>
      <c r="Y239" s="16" t="str">
        <f>IF(ISERROR(VLOOKUP($E239&amp;$F239,Results!$A$2:$G$413,Y$1,FALSE)),"",VLOOKUP($E239&amp;$F239,Results!$A$2:$G$413,Y$1,FALSE))</f>
        <v/>
      </c>
      <c r="Z239" s="16" t="str">
        <f>IF(ISERROR(VLOOKUP($E239&amp;$F239,Results!$A$2:$G$413,Z$1,FALSE)),"",VLOOKUP($E239&amp;$F239,Results!$A$2:$G$413,Z$1,FALSE))</f>
        <v/>
      </c>
      <c r="AA239" s="16" t="str">
        <f>IF(ISERROR(VLOOKUP($E239&amp;$F239,Results!$A$2:$G$413,AA$1,FALSE)),"",VLOOKUP($E239&amp;$F239,Results!$A$2:$G$413,AA$1,FALSE))</f>
        <v/>
      </c>
      <c r="AB239" s="16" t="str">
        <f>IF(ISERROR(VLOOKUP($E239&amp;$F239,Results!$A$2:$G$413,AB$1,FALSE)),"",VLOOKUP($E239&amp;$F239,Results!$A$2:$G$413,AB$1,FALSE))</f>
        <v/>
      </c>
      <c r="AC239" s="16"/>
      <c r="AD239" s="20" t="str">
        <f>IF(ISERROR(VLOOKUP($AB239&amp;"-"&amp;$F239,Bonuses!$B$1:$G$1000,4,FALSE)),"",INT(VLOOKUP($AB239&amp;"-"&amp;$F239,Bonuses!$B$1:$G$1000,4,FALSE)))</f>
        <v/>
      </c>
      <c r="AE239" s="16" t="str">
        <f>IF(ISERROR(VLOOKUP($AB239&amp;"-"&amp;$F239,Bonuses!$B$1:$G$1000,5,FALSE)),"",IF(VLOOKUP($AB239&amp;"-"&amp;$F239,Bonuses!$B$1:$G$1000,5,FALSE)="","",VLOOKUP($AB239&amp;"-"&amp;$F239,Bonuses!$B$1:$G$1000,6,FALSE)&amp;" yrs, "&amp;VLOOKUP($AB239&amp;"-"&amp;$F239,Bonuses!$B$1:$G$1000,5,FALSE)))</f>
        <v/>
      </c>
    </row>
    <row r="240" spans="1:31" s="21" customFormat="1">
      <c r="A240" s="21" t="s">
        <v>894</v>
      </c>
      <c r="B240" s="21">
        <f t="shared" si="12"/>
        <v>1</v>
      </c>
      <c r="C240" s="21" t="str">
        <f t="shared" si="13"/>
        <v>B</v>
      </c>
      <c r="D240" s="17">
        <f>IF($C240="B",VLOOKUP($A240,Bat!$A$4:$BD$2323,D$1,FALSE),VLOOKUP($A240,Pit!$A$4:$AZ$2261,D$2,FALSE))</f>
        <v>6219</v>
      </c>
      <c r="E240" s="16" t="str">
        <f>IF($C240="B",VLOOKUP($A240,Bat!$A$4:$BD$2323,E$1,FALSE),VLOOKUP($A240,Pit!$A$4:$AZ$2261,E$2,FALSE))</f>
        <v>RF</v>
      </c>
      <c r="F240" s="16" t="str">
        <f>IF($C240="B",VLOOKUP($A240,Bat!$A$4:$BD$2323,F$1,FALSE),VLOOKUP($A240,Pit!$A$4:$AZ$2261,F$2,FALSE))</f>
        <v>Chris Nicholas</v>
      </c>
      <c r="G240" s="16">
        <f>IF($C240="B",VLOOKUP($A240,Bat!$A$4:$BD$2323,G$1,FALSE),VLOOKUP($A240,Pit!$A$4:$AZ$2261,G$2,FALSE))</f>
        <v>21</v>
      </c>
      <c r="H240" s="16" t="str">
        <f>IF($C240="B",VLOOKUP($A240,Bat!$A$4:$BD$2323,H$1,FALSE),VLOOKUP($A240,Pit!$A$4:$AZ$2261,H$2,FALSE))</f>
        <v>L</v>
      </c>
      <c r="I240" s="16" t="str">
        <f>IF($C240="B",VLOOKUP($A240,Bat!$A$4:$BD$2323,I$1,FALSE),VLOOKUP($A240,Pit!$A$4:$AZ$2261,I$2,FALSE))</f>
        <v>L</v>
      </c>
      <c r="J240" s="16" t="str">
        <f>IF($C240="B",VLOOKUP($A240,Bat!$A$4:$BD$2323,J$1,FALSE),VLOOKUP($A240,Pit!$A$4:$AZ$2261,J$2,FALSE))</f>
        <v>High</v>
      </c>
      <c r="K240" s="17" t="str">
        <f>IF($C240="B",VLOOKUP($A240,Bat!$A$4:$BD$2323,K$1,FALSE),VLOOKUP($A240,Pit!$A$4:$AZ$2261,K$2,FALSE))</f>
        <v>Normal</v>
      </c>
      <c r="L240" s="16">
        <f>IF($C240="B",VLOOKUP($A240,Bat!$A$4:$BD$2323,L$1,FALSE),VLOOKUP($A240,Pit!$A$4:$AZ$2261,L$2,FALSE))</f>
        <v>4</v>
      </c>
      <c r="M240" s="16">
        <f>IF($C240="B",VLOOKUP($A240,Bat!$A$4:$BD$2323,M$1,FALSE),VLOOKUP($A240,Pit!$A$4:$AZ$2261,M$2,FALSE))</f>
        <v>6</v>
      </c>
      <c r="N240" s="16">
        <f>IF($C240="B",VLOOKUP($A240,Bat!$A$4:$BD$2323,N$1,FALSE),VLOOKUP($A240,Pit!$A$4:$AZ$2261,N$2,FALSE))</f>
        <v>1</v>
      </c>
      <c r="O240" s="16">
        <f>IF($C240="B",VLOOKUP($A240,Bat!$A$4:$BD$2323,O$1,FALSE),VLOOKUP($A240,Pit!$A$4:$AZ$2261,O$2,FALSE))</f>
        <v>3</v>
      </c>
      <c r="P240" s="17">
        <f>IF($C240="B",VLOOKUP($A240,Bat!$A$4:$BD$2323,P$1,FALSE),VLOOKUP($A240,Pit!$A$4:$AZ$2261,P$2,FALSE))</f>
        <v>4</v>
      </c>
      <c r="Q240" s="18">
        <f>IF($C240="B",VLOOKUP($A240,Bat!$A$4:$BD$2323,Q$1,FALSE),VLOOKUP($A240,Pit!$A$4:$AZ$2261,Q$2,FALSE))</f>
        <v>4.1172683941359809</v>
      </c>
      <c r="R240" s="19">
        <f>IF($C240="B",VLOOKUP($A240,Bat!$A$4:$BD$2323,R$1,FALSE),VLOOKUP($A240,Pit!$A$4:$AZ$2261,R$2,FALSE))</f>
        <v>-0.90984447692583237</v>
      </c>
      <c r="S240" s="20" t="str">
        <f>IF($C240="B",VLOOKUP($A240,Bat!$A$4:$BD$2323,S$1,FALSE),VLOOKUP($A240,Pit!$A$4:$AZ$2261,S$2,FALSE))</f>
        <v>Slot</v>
      </c>
      <c r="T240" s="17" t="str">
        <f>IF(S240="Slot","",VLOOKUP(IF($C240="B",VLOOKUP($A240,Bat!$A$4:$AT$2323,T$1,FALSE),VLOOKUP($A240,Pit!$A$4:$BD$2261,T$2,FALSE)),COND!$A$34:$B$40,2,FALSE))</f>
        <v/>
      </c>
      <c r="U240" s="21" t="str">
        <f>IF($C240="B",VLOOKUP($A240,Bat!$A$4:$AR$1287,44,FALSE),VLOOKUP($A240,Pit!$A$4:$BB$1239,54,FALSE))</f>
        <v/>
      </c>
      <c r="W240" s="21" t="str">
        <f t="shared" si="14"/>
        <v/>
      </c>
      <c r="X240" s="22" t="e">
        <f t="shared" si="15"/>
        <v>#N/A</v>
      </c>
      <c r="Y240" s="16" t="str">
        <f>IF(ISERROR(VLOOKUP($E240&amp;$F240,Results!$A$2:$G$413,Y$1,FALSE)),"",VLOOKUP($E240&amp;$F240,Results!$A$2:$G$413,Y$1,FALSE))</f>
        <v/>
      </c>
      <c r="Z240" s="16" t="str">
        <f>IF(ISERROR(VLOOKUP($E240&amp;$F240,Results!$A$2:$G$413,Z$1,FALSE)),"",VLOOKUP($E240&amp;$F240,Results!$A$2:$G$413,Z$1,FALSE))</f>
        <v/>
      </c>
      <c r="AA240" s="16" t="str">
        <f>IF(ISERROR(VLOOKUP($E240&amp;$F240,Results!$A$2:$G$413,AA$1,FALSE)),"",VLOOKUP($E240&amp;$F240,Results!$A$2:$G$413,AA$1,FALSE))</f>
        <v/>
      </c>
      <c r="AB240" s="16" t="str">
        <f>IF(ISERROR(VLOOKUP($E240&amp;$F240,Results!$A$2:$G$413,AB$1,FALSE)),"",VLOOKUP($E240&amp;$F240,Results!$A$2:$G$413,AB$1,FALSE))</f>
        <v/>
      </c>
      <c r="AC240" s="16"/>
      <c r="AD240" s="20" t="str">
        <f>IF(ISERROR(VLOOKUP($AB240&amp;"-"&amp;$F240,Bonuses!$B$1:$G$1000,4,FALSE)),"",INT(VLOOKUP($AB240&amp;"-"&amp;$F240,Bonuses!$B$1:$G$1000,4,FALSE)))</f>
        <v/>
      </c>
      <c r="AE240" s="16" t="str">
        <f>IF(ISERROR(VLOOKUP($AB240&amp;"-"&amp;$F240,Bonuses!$B$1:$G$1000,5,FALSE)),"",IF(VLOOKUP($AB240&amp;"-"&amp;$F240,Bonuses!$B$1:$G$1000,5,FALSE)="","",VLOOKUP($AB240&amp;"-"&amp;$F240,Bonuses!$B$1:$G$1000,6,FALSE)&amp;" yrs, "&amp;VLOOKUP($AB240&amp;"-"&amp;$F240,Bonuses!$B$1:$G$1000,5,FALSE)))</f>
        <v/>
      </c>
    </row>
    <row r="241" spans="1:31" s="21" customFormat="1">
      <c r="A241" s="21" t="s">
        <v>732</v>
      </c>
      <c r="B241" s="21">
        <f t="shared" si="12"/>
        <v>1</v>
      </c>
      <c r="C241" s="21" t="str">
        <f t="shared" si="13"/>
        <v>B</v>
      </c>
      <c r="D241" s="17">
        <f>IF($C241="B",VLOOKUP($A241,Bat!$A$4:$BD$2323,D$1,FALSE),VLOOKUP($A241,Pit!$A$4:$AZ$2261,D$2,FALSE))</f>
        <v>13778</v>
      </c>
      <c r="E241" s="16" t="str">
        <f>IF($C241="B",VLOOKUP($A241,Bat!$A$4:$BD$2323,E$1,FALSE),VLOOKUP($A241,Pit!$A$4:$AZ$2261,E$2,FALSE))</f>
        <v>SS</v>
      </c>
      <c r="F241" s="16" t="str">
        <f>IF($C241="B",VLOOKUP($A241,Bat!$A$4:$BD$2323,F$1,FALSE),VLOOKUP($A241,Pit!$A$4:$AZ$2261,F$2,FALSE))</f>
        <v>Bryan Buckley</v>
      </c>
      <c r="G241" s="16">
        <f>IF($C241="B",VLOOKUP($A241,Bat!$A$4:$BD$2323,G$1,FALSE),VLOOKUP($A241,Pit!$A$4:$AZ$2261,G$2,FALSE))</f>
        <v>18</v>
      </c>
      <c r="H241" s="16" t="str">
        <f>IF($C241="B",VLOOKUP($A241,Bat!$A$4:$BD$2323,H$1,FALSE),VLOOKUP($A241,Pit!$A$4:$AZ$2261,H$2,FALSE))</f>
        <v>L</v>
      </c>
      <c r="I241" s="16" t="str">
        <f>IF($C241="B",VLOOKUP($A241,Bat!$A$4:$BD$2323,I$1,FALSE),VLOOKUP($A241,Pit!$A$4:$AZ$2261,I$2,FALSE))</f>
        <v>R</v>
      </c>
      <c r="J241" s="16" t="str">
        <f>IF($C241="B",VLOOKUP($A241,Bat!$A$4:$BD$2323,J$1,FALSE),VLOOKUP($A241,Pit!$A$4:$AZ$2261,J$2,FALSE))</f>
        <v>Very Low</v>
      </c>
      <c r="K241" s="17" t="str">
        <f>IF($C241="B",VLOOKUP($A241,Bat!$A$4:$BD$2323,K$1,FALSE),VLOOKUP($A241,Pit!$A$4:$AZ$2261,K$2,FALSE))</f>
        <v>High</v>
      </c>
      <c r="L241" s="16">
        <f>IF($C241="B",VLOOKUP($A241,Bat!$A$4:$BD$2323,L$1,FALSE),VLOOKUP($A241,Pit!$A$4:$AZ$2261,L$2,FALSE))</f>
        <v>4</v>
      </c>
      <c r="M241" s="16">
        <f>IF($C241="B",VLOOKUP($A241,Bat!$A$4:$BD$2323,M$1,FALSE),VLOOKUP($A241,Pit!$A$4:$AZ$2261,M$2,FALSE))</f>
        <v>5</v>
      </c>
      <c r="N241" s="16">
        <f>IF($C241="B",VLOOKUP($A241,Bat!$A$4:$BD$2323,N$1,FALSE),VLOOKUP($A241,Pit!$A$4:$AZ$2261,N$2,FALSE))</f>
        <v>2</v>
      </c>
      <c r="O241" s="16">
        <f>IF($C241="B",VLOOKUP($A241,Bat!$A$4:$BD$2323,O$1,FALSE),VLOOKUP($A241,Pit!$A$4:$AZ$2261,O$2,FALSE))</f>
        <v>3</v>
      </c>
      <c r="P241" s="17">
        <f>IF($C241="B",VLOOKUP($A241,Bat!$A$4:$BD$2323,P$1,FALSE),VLOOKUP($A241,Pit!$A$4:$AZ$2261,P$2,FALSE))</f>
        <v>4</v>
      </c>
      <c r="Q241" s="18">
        <f>IF($C241="B",VLOOKUP($A241,Bat!$A$4:$BD$2323,Q$1,FALSE),VLOOKUP($A241,Pit!$A$4:$AZ$2261,Q$2,FALSE))</f>
        <v>4.0428971299359437</v>
      </c>
      <c r="R241" s="19">
        <f>IF($C241="B",VLOOKUP($A241,Bat!$A$4:$BD$2323,R$1,FALSE),VLOOKUP($A241,Pit!$A$4:$AZ$2261,R$2,FALSE))</f>
        <v>-0.92017640461841543</v>
      </c>
      <c r="S241" s="20">
        <f>IF($C241="B",VLOOKUP($A241,Bat!$A$4:$BD$2323,S$1,FALSE),VLOOKUP($A241,Pit!$A$4:$AZ$2261,S$2,FALSE))</f>
        <v>2400000</v>
      </c>
      <c r="T241" s="17" t="str">
        <f>IF(S241="Slot","",VLOOKUP(IF($C241="B",VLOOKUP($A241,Bat!$A$4:$AT$2323,T$1,FALSE),VLOOKUP($A241,Pit!$A$4:$BD$2261,T$2,FALSE)),COND!$A$34:$B$40,2,FALSE))</f>
        <v>EH</v>
      </c>
      <c r="U241" s="21" t="str">
        <f>IF($C241="B",VLOOKUP($A241,Bat!$A$4:$AR$1287,44,FALSE),VLOOKUP($A241,Pit!$A$4:$BB$1239,54,FALSE))</f>
        <v/>
      </c>
      <c r="W241" s="21" t="str">
        <f t="shared" si="14"/>
        <v/>
      </c>
      <c r="X241" s="22" t="e">
        <f t="shared" si="15"/>
        <v>#N/A</v>
      </c>
      <c r="Y241" s="16" t="str">
        <f>IF(ISERROR(VLOOKUP($E241&amp;$F241,Results!$A$2:$G$413,Y$1,FALSE)),"",VLOOKUP($E241&amp;$F241,Results!$A$2:$G$413,Y$1,FALSE))</f>
        <v/>
      </c>
      <c r="Z241" s="16" t="str">
        <f>IF(ISERROR(VLOOKUP($E241&amp;$F241,Results!$A$2:$G$413,Z$1,FALSE)),"",VLOOKUP($E241&amp;$F241,Results!$A$2:$G$413,Z$1,FALSE))</f>
        <v/>
      </c>
      <c r="AA241" s="16" t="str">
        <f>IF(ISERROR(VLOOKUP($E241&amp;$F241,Results!$A$2:$G$413,AA$1,FALSE)),"",VLOOKUP($E241&amp;$F241,Results!$A$2:$G$413,AA$1,FALSE))</f>
        <v/>
      </c>
      <c r="AB241" s="16" t="str">
        <f>IF(ISERROR(VLOOKUP($E241&amp;$F241,Results!$A$2:$G$413,AB$1,FALSE)),"",VLOOKUP($E241&amp;$F241,Results!$A$2:$G$413,AB$1,FALSE))</f>
        <v/>
      </c>
      <c r="AC241" s="16"/>
      <c r="AD241" s="20" t="str">
        <f>IF(ISERROR(VLOOKUP($AB241&amp;"-"&amp;$F241,Bonuses!$B$1:$G$1000,4,FALSE)),"",INT(VLOOKUP($AB241&amp;"-"&amp;$F241,Bonuses!$B$1:$G$1000,4,FALSE)))</f>
        <v/>
      </c>
      <c r="AE241" s="16" t="str">
        <f>IF(ISERROR(VLOOKUP($AB241&amp;"-"&amp;$F241,Bonuses!$B$1:$G$1000,5,FALSE)),"",IF(VLOOKUP($AB241&amp;"-"&amp;$F241,Bonuses!$B$1:$G$1000,5,FALSE)="","",VLOOKUP($AB241&amp;"-"&amp;$F241,Bonuses!$B$1:$G$1000,6,FALSE)&amp;" yrs, "&amp;VLOOKUP($AB241&amp;"-"&amp;$F241,Bonuses!$B$1:$G$1000,5,FALSE)))</f>
        <v/>
      </c>
    </row>
    <row r="242" spans="1:31" s="21" customFormat="1">
      <c r="A242" s="21" t="s">
        <v>733</v>
      </c>
      <c r="B242" s="21">
        <f t="shared" si="12"/>
        <v>1</v>
      </c>
      <c r="C242" s="21" t="str">
        <f t="shared" si="13"/>
        <v>B</v>
      </c>
      <c r="D242" s="17">
        <f>IF($C242="B",VLOOKUP($A242,Bat!$A$4:$BD$2323,D$1,FALSE),VLOOKUP($A242,Pit!$A$4:$AZ$2261,D$2,FALSE))</f>
        <v>13760</v>
      </c>
      <c r="E242" s="16" t="str">
        <f>IF($C242="B",VLOOKUP($A242,Bat!$A$4:$BD$2323,E$1,FALSE),VLOOKUP($A242,Pit!$A$4:$AZ$2261,E$2,FALSE))</f>
        <v>LF</v>
      </c>
      <c r="F242" s="16" t="str">
        <f>IF($C242="B",VLOOKUP($A242,Bat!$A$4:$BD$2323,F$1,FALSE),VLOOKUP($A242,Pit!$A$4:$AZ$2261,F$2,FALSE))</f>
        <v>Toby Lott</v>
      </c>
      <c r="G242" s="16">
        <f>IF($C242="B",VLOOKUP($A242,Bat!$A$4:$BD$2323,G$1,FALSE),VLOOKUP($A242,Pit!$A$4:$AZ$2261,G$2,FALSE))</f>
        <v>18</v>
      </c>
      <c r="H242" s="16" t="str">
        <f>IF($C242="B",VLOOKUP($A242,Bat!$A$4:$BD$2323,H$1,FALSE),VLOOKUP($A242,Pit!$A$4:$AZ$2261,H$2,FALSE))</f>
        <v>R</v>
      </c>
      <c r="I242" s="16" t="str">
        <f>IF($C242="B",VLOOKUP($A242,Bat!$A$4:$BD$2323,I$1,FALSE),VLOOKUP($A242,Pit!$A$4:$AZ$2261,I$2,FALSE))</f>
        <v>R</v>
      </c>
      <c r="J242" s="16" t="str">
        <f>IF($C242="B",VLOOKUP($A242,Bat!$A$4:$BD$2323,J$1,FALSE),VLOOKUP($A242,Pit!$A$4:$AZ$2261,J$2,FALSE))</f>
        <v>Low</v>
      </c>
      <c r="K242" s="17" t="str">
        <f>IF($C242="B",VLOOKUP($A242,Bat!$A$4:$BD$2323,K$1,FALSE),VLOOKUP($A242,Pit!$A$4:$AZ$2261,K$2,FALSE))</f>
        <v>Low</v>
      </c>
      <c r="L242" s="16">
        <f>IF($C242="B",VLOOKUP($A242,Bat!$A$4:$BD$2323,L$1,FALSE),VLOOKUP($A242,Pit!$A$4:$AZ$2261,L$2,FALSE))</f>
        <v>4</v>
      </c>
      <c r="M242" s="16">
        <f>IF($C242="B",VLOOKUP($A242,Bat!$A$4:$BD$2323,M$1,FALSE),VLOOKUP($A242,Pit!$A$4:$AZ$2261,M$2,FALSE))</f>
        <v>4</v>
      </c>
      <c r="N242" s="16">
        <f>IF($C242="B",VLOOKUP($A242,Bat!$A$4:$BD$2323,N$1,FALSE),VLOOKUP($A242,Pit!$A$4:$AZ$2261,N$2,FALSE))</f>
        <v>4</v>
      </c>
      <c r="O242" s="16">
        <f>IF($C242="B",VLOOKUP($A242,Bat!$A$4:$BD$2323,O$1,FALSE),VLOOKUP($A242,Pit!$A$4:$AZ$2261,O$2,FALSE))</f>
        <v>2</v>
      </c>
      <c r="P242" s="17">
        <f>IF($C242="B",VLOOKUP($A242,Bat!$A$4:$BD$2323,P$1,FALSE),VLOOKUP($A242,Pit!$A$4:$AZ$2261,P$2,FALSE))</f>
        <v>4</v>
      </c>
      <c r="Q242" s="18">
        <f>IF($C242="B",VLOOKUP($A242,Bat!$A$4:$BD$2323,Q$1,FALSE),VLOOKUP($A242,Pit!$A$4:$AZ$2261,Q$2,FALSE))</f>
        <v>4.0420338430082969</v>
      </c>
      <c r="R242" s="19">
        <f>IF($C242="B",VLOOKUP($A242,Bat!$A$4:$BD$2323,R$1,FALSE),VLOOKUP($A242,Pit!$A$4:$AZ$2261,R$2,FALSE))</f>
        <v>-0.92029633559189483</v>
      </c>
      <c r="S242" s="20" t="str">
        <f>IF($C242="B",VLOOKUP($A242,Bat!$A$4:$BD$2323,S$1,FALSE),VLOOKUP($A242,Pit!$A$4:$AZ$2261,S$2,FALSE))</f>
        <v>Slot</v>
      </c>
      <c r="T242" s="17" t="str">
        <f>IF(S242="Slot","",VLOOKUP(IF($C242="B",VLOOKUP($A242,Bat!$A$4:$AT$2323,T$1,FALSE),VLOOKUP($A242,Pit!$A$4:$BD$2261,T$2,FALSE)),COND!$A$34:$B$40,2,FALSE))</f>
        <v/>
      </c>
      <c r="U242" s="21" t="str">
        <f>IF($C242="B",VLOOKUP($A242,Bat!$A$4:$AR$1287,44,FALSE),VLOOKUP($A242,Pit!$A$4:$BB$1239,54,FALSE))</f>
        <v/>
      </c>
      <c r="W242" s="21" t="str">
        <f t="shared" si="14"/>
        <v/>
      </c>
      <c r="X242" s="22" t="e">
        <f t="shared" si="15"/>
        <v>#N/A</v>
      </c>
      <c r="Y242" s="16" t="str">
        <f>IF(ISERROR(VLOOKUP($E242&amp;$F242,Results!$A$2:$G$413,Y$1,FALSE)),"",VLOOKUP($E242&amp;$F242,Results!$A$2:$G$413,Y$1,FALSE))</f>
        <v/>
      </c>
      <c r="Z242" s="16" t="str">
        <f>IF(ISERROR(VLOOKUP($E242&amp;$F242,Results!$A$2:$G$413,Z$1,FALSE)),"",VLOOKUP($E242&amp;$F242,Results!$A$2:$G$413,Z$1,FALSE))</f>
        <v/>
      </c>
      <c r="AA242" s="16" t="str">
        <f>IF(ISERROR(VLOOKUP($E242&amp;$F242,Results!$A$2:$G$413,AA$1,FALSE)),"",VLOOKUP($E242&amp;$F242,Results!$A$2:$G$413,AA$1,FALSE))</f>
        <v/>
      </c>
      <c r="AB242" s="16" t="str">
        <f>IF(ISERROR(VLOOKUP($E242&amp;$F242,Results!$A$2:$G$413,AB$1,FALSE)),"",VLOOKUP($E242&amp;$F242,Results!$A$2:$G$413,AB$1,FALSE))</f>
        <v/>
      </c>
      <c r="AC242" s="16"/>
      <c r="AD242" s="20" t="str">
        <f>IF(ISERROR(VLOOKUP($AB242&amp;"-"&amp;$F242,Bonuses!$B$1:$G$1000,4,FALSE)),"",INT(VLOOKUP($AB242&amp;"-"&amp;$F242,Bonuses!$B$1:$G$1000,4,FALSE)))</f>
        <v/>
      </c>
      <c r="AE242" s="16" t="str">
        <f>IF(ISERROR(VLOOKUP($AB242&amp;"-"&amp;$F242,Bonuses!$B$1:$G$1000,5,FALSE)),"",IF(VLOOKUP($AB242&amp;"-"&amp;$F242,Bonuses!$B$1:$G$1000,5,FALSE)="","",VLOOKUP($AB242&amp;"-"&amp;$F242,Bonuses!$B$1:$G$1000,6,FALSE)&amp;" yrs, "&amp;VLOOKUP($AB242&amp;"-"&amp;$F242,Bonuses!$B$1:$G$1000,5,FALSE)))</f>
        <v/>
      </c>
    </row>
    <row r="243" spans="1:31" s="21" customFormat="1">
      <c r="A243" s="21" t="s">
        <v>443</v>
      </c>
      <c r="B243" s="21">
        <f t="shared" si="12"/>
        <v>1</v>
      </c>
      <c r="C243" s="21" t="str">
        <f t="shared" si="13"/>
        <v>B</v>
      </c>
      <c r="D243" s="17">
        <f>IF($C243="B",VLOOKUP($A243,Bat!$A$4:$BD$2323,D$1,FALSE),VLOOKUP($A243,Pit!$A$4:$AZ$2261,D$2,FALSE))</f>
        <v>1785</v>
      </c>
      <c r="E243" s="16" t="str">
        <f>IF($C243="B",VLOOKUP($A243,Bat!$A$4:$BD$2323,E$1,FALSE),VLOOKUP($A243,Pit!$A$4:$AZ$2261,E$2,FALSE))</f>
        <v>C</v>
      </c>
      <c r="F243" s="16" t="str">
        <f>IF($C243="B",VLOOKUP($A243,Bat!$A$4:$BD$2323,F$1,FALSE),VLOOKUP($A243,Pit!$A$4:$AZ$2261,F$2,FALSE))</f>
        <v>Tim Morgan</v>
      </c>
      <c r="G243" s="16">
        <f>IF($C243="B",VLOOKUP($A243,Bat!$A$4:$BD$2323,G$1,FALSE),VLOOKUP($A243,Pit!$A$4:$AZ$2261,G$2,FALSE))</f>
        <v>18</v>
      </c>
      <c r="H243" s="16" t="str">
        <f>IF($C243="B",VLOOKUP($A243,Bat!$A$4:$BD$2323,H$1,FALSE),VLOOKUP($A243,Pit!$A$4:$AZ$2261,H$2,FALSE))</f>
        <v>R</v>
      </c>
      <c r="I243" s="16" t="str">
        <f>IF($C243="B",VLOOKUP($A243,Bat!$A$4:$BD$2323,I$1,FALSE),VLOOKUP($A243,Pit!$A$4:$AZ$2261,I$2,FALSE))</f>
        <v>R</v>
      </c>
      <c r="J243" s="16" t="str">
        <f>IF($C243="B",VLOOKUP($A243,Bat!$A$4:$BD$2323,J$1,FALSE),VLOOKUP($A243,Pit!$A$4:$AZ$2261,J$2,FALSE))</f>
        <v>Very Low</v>
      </c>
      <c r="K243" s="17" t="str">
        <f>IF($C243="B",VLOOKUP($A243,Bat!$A$4:$BD$2323,K$1,FALSE),VLOOKUP($A243,Pit!$A$4:$AZ$2261,K$2,FALSE))</f>
        <v>High</v>
      </c>
      <c r="L243" s="16">
        <f>IF($C243="B",VLOOKUP($A243,Bat!$A$4:$BD$2323,L$1,FALSE),VLOOKUP($A243,Pit!$A$4:$AZ$2261,L$2,FALSE))</f>
        <v>4</v>
      </c>
      <c r="M243" s="16">
        <f>IF($C243="B",VLOOKUP($A243,Bat!$A$4:$BD$2323,M$1,FALSE),VLOOKUP($A243,Pit!$A$4:$AZ$2261,M$2,FALSE))</f>
        <v>5</v>
      </c>
      <c r="N243" s="16">
        <f>IF($C243="B",VLOOKUP($A243,Bat!$A$4:$BD$2323,N$1,FALSE),VLOOKUP($A243,Pit!$A$4:$AZ$2261,N$2,FALSE))</f>
        <v>3</v>
      </c>
      <c r="O243" s="16">
        <f>IF($C243="B",VLOOKUP($A243,Bat!$A$4:$BD$2323,O$1,FALSE),VLOOKUP($A243,Pit!$A$4:$AZ$2261,O$2,FALSE))</f>
        <v>3</v>
      </c>
      <c r="P243" s="17">
        <f>IF($C243="B",VLOOKUP($A243,Bat!$A$4:$BD$2323,P$1,FALSE),VLOOKUP($A243,Pit!$A$4:$AZ$2261,P$2,FALSE))</f>
        <v>4</v>
      </c>
      <c r="Q243" s="18">
        <f>IF($C243="B",VLOOKUP($A243,Bat!$A$4:$BD$2323,Q$1,FALSE),VLOOKUP($A243,Pit!$A$4:$AZ$2261,Q$2,FALSE))</f>
        <v>4.0294230822990214</v>
      </c>
      <c r="R243" s="19">
        <f>IF($C243="B",VLOOKUP($A243,Bat!$A$4:$BD$2323,R$1,FALSE),VLOOKUP($A243,Pit!$A$4:$AZ$2261,R$2,FALSE))</f>
        <v>-0.9220482685353264</v>
      </c>
      <c r="S243" s="20" t="str">
        <f>IF($C243="B",VLOOKUP($A243,Bat!$A$4:$BD$2323,S$1,FALSE),VLOOKUP($A243,Pit!$A$4:$AZ$2261,S$2,FALSE))</f>
        <v>Slot</v>
      </c>
      <c r="T243" s="17" t="str">
        <f>IF(S243="Slot","",VLOOKUP(IF($C243="B",VLOOKUP($A243,Bat!$A$4:$AT$2323,T$1,FALSE),VLOOKUP($A243,Pit!$A$4:$BD$2261,T$2,FALSE)),COND!$A$34:$B$40,2,FALSE))</f>
        <v/>
      </c>
      <c r="U243" s="21" t="str">
        <f>IF($C243="B",VLOOKUP($A243,Bat!$A$4:$AR$1287,44,FALSE),VLOOKUP($A243,Pit!$A$4:$BB$1239,54,FALSE))</f>
        <v/>
      </c>
      <c r="W243" s="21" t="str">
        <f t="shared" si="14"/>
        <v/>
      </c>
      <c r="X243" s="22" t="e">
        <f t="shared" si="15"/>
        <v>#N/A</v>
      </c>
      <c r="Y243" s="16" t="str">
        <f>IF(ISERROR(VLOOKUP($E243&amp;$F243,Results!$A$2:$G$413,Y$1,FALSE)),"",VLOOKUP($E243&amp;$F243,Results!$A$2:$G$413,Y$1,FALSE))</f>
        <v/>
      </c>
      <c r="Z243" s="16" t="str">
        <f>IF(ISERROR(VLOOKUP($E243&amp;$F243,Results!$A$2:$G$413,Z$1,FALSE)),"",VLOOKUP($E243&amp;$F243,Results!$A$2:$G$413,Z$1,FALSE))</f>
        <v/>
      </c>
      <c r="AA243" s="16" t="str">
        <f>IF(ISERROR(VLOOKUP($E243&amp;$F243,Results!$A$2:$G$413,AA$1,FALSE)),"",VLOOKUP($E243&amp;$F243,Results!$A$2:$G$413,AA$1,FALSE))</f>
        <v/>
      </c>
      <c r="AB243" s="16" t="str">
        <f>IF(ISERROR(VLOOKUP($E243&amp;$F243,Results!$A$2:$G$413,AB$1,FALSE)),"",VLOOKUP($E243&amp;$F243,Results!$A$2:$G$413,AB$1,FALSE))</f>
        <v/>
      </c>
      <c r="AC243" s="16"/>
      <c r="AD243" s="20" t="str">
        <f>IF(ISERROR(VLOOKUP($AB243&amp;"-"&amp;$F243,Bonuses!$B$1:$G$1000,4,FALSE)),"",INT(VLOOKUP($AB243&amp;"-"&amp;$F243,Bonuses!$B$1:$G$1000,4,FALSE)))</f>
        <v/>
      </c>
      <c r="AE243" s="16" t="str">
        <f>IF(ISERROR(VLOOKUP($AB243&amp;"-"&amp;$F243,Bonuses!$B$1:$G$1000,5,FALSE)),"",IF(VLOOKUP($AB243&amp;"-"&amp;$F243,Bonuses!$B$1:$G$1000,5,FALSE)="","",VLOOKUP($AB243&amp;"-"&amp;$F243,Bonuses!$B$1:$G$1000,6,FALSE)&amp;" yrs, "&amp;VLOOKUP($AB243&amp;"-"&amp;$F243,Bonuses!$B$1:$G$1000,5,FALSE)))</f>
        <v/>
      </c>
    </row>
    <row r="244" spans="1:31" s="21" customFormat="1">
      <c r="A244" s="21" t="s">
        <v>900</v>
      </c>
      <c r="B244" s="21">
        <f t="shared" si="12"/>
        <v>1</v>
      </c>
      <c r="C244" s="21" t="str">
        <f t="shared" si="13"/>
        <v>B</v>
      </c>
      <c r="D244" s="17">
        <f>IF($C244="B",VLOOKUP($A244,Bat!$A$4:$BD$2323,D$1,FALSE),VLOOKUP($A244,Pit!$A$4:$AZ$2261,D$2,FALSE))</f>
        <v>13751</v>
      </c>
      <c r="E244" s="16" t="str">
        <f>IF($C244="B",VLOOKUP($A244,Bat!$A$4:$BD$2323,E$1,FALSE),VLOOKUP($A244,Pit!$A$4:$AZ$2261,E$2,FALSE))</f>
        <v>RF</v>
      </c>
      <c r="F244" s="16" t="str">
        <f>IF($C244="B",VLOOKUP($A244,Bat!$A$4:$BD$2323,F$1,FALSE),VLOOKUP($A244,Pit!$A$4:$AZ$2261,F$2,FALSE))</f>
        <v>Paul Jackson</v>
      </c>
      <c r="G244" s="16">
        <f>IF($C244="B",VLOOKUP($A244,Bat!$A$4:$BD$2323,G$1,FALSE),VLOOKUP($A244,Pit!$A$4:$AZ$2261,G$2,FALSE))</f>
        <v>18</v>
      </c>
      <c r="H244" s="16" t="str">
        <f>IF($C244="B",VLOOKUP($A244,Bat!$A$4:$BD$2323,H$1,FALSE),VLOOKUP($A244,Pit!$A$4:$AZ$2261,H$2,FALSE))</f>
        <v>R</v>
      </c>
      <c r="I244" s="16" t="str">
        <f>IF($C244="B",VLOOKUP($A244,Bat!$A$4:$BD$2323,I$1,FALSE),VLOOKUP($A244,Pit!$A$4:$AZ$2261,I$2,FALSE))</f>
        <v>R</v>
      </c>
      <c r="J244" s="16" t="str">
        <f>IF($C244="B",VLOOKUP($A244,Bat!$A$4:$BD$2323,J$1,FALSE),VLOOKUP($A244,Pit!$A$4:$AZ$2261,J$2,FALSE))</f>
        <v>Normal</v>
      </c>
      <c r="K244" s="17" t="str">
        <f>IF($C244="B",VLOOKUP($A244,Bat!$A$4:$BD$2323,K$1,FALSE),VLOOKUP($A244,Pit!$A$4:$AZ$2261,K$2,FALSE))</f>
        <v>Normal</v>
      </c>
      <c r="L244" s="16">
        <f>IF($C244="B",VLOOKUP($A244,Bat!$A$4:$BD$2323,L$1,FALSE),VLOOKUP($A244,Pit!$A$4:$AZ$2261,L$2,FALSE))</f>
        <v>4</v>
      </c>
      <c r="M244" s="16">
        <f>IF($C244="B",VLOOKUP($A244,Bat!$A$4:$BD$2323,M$1,FALSE),VLOOKUP($A244,Pit!$A$4:$AZ$2261,M$2,FALSE))</f>
        <v>5</v>
      </c>
      <c r="N244" s="16">
        <f>IF($C244="B",VLOOKUP($A244,Bat!$A$4:$BD$2323,N$1,FALSE),VLOOKUP($A244,Pit!$A$4:$AZ$2261,N$2,FALSE))</f>
        <v>3</v>
      </c>
      <c r="O244" s="16">
        <f>IF($C244="B",VLOOKUP($A244,Bat!$A$4:$BD$2323,O$1,FALSE),VLOOKUP($A244,Pit!$A$4:$AZ$2261,O$2,FALSE))</f>
        <v>2</v>
      </c>
      <c r="P244" s="17">
        <f>IF($C244="B",VLOOKUP($A244,Bat!$A$4:$BD$2323,P$1,FALSE),VLOOKUP($A244,Pit!$A$4:$AZ$2261,P$2,FALSE))</f>
        <v>4</v>
      </c>
      <c r="Q244" s="18">
        <f>IF($C244="B",VLOOKUP($A244,Bat!$A$4:$BD$2323,Q$1,FALSE),VLOOKUP($A244,Pit!$A$4:$AZ$2261,Q$2,FALSE))</f>
        <v>4.0246811368125872</v>
      </c>
      <c r="R244" s="19">
        <f>IF($C244="B",VLOOKUP($A244,Bat!$A$4:$BD$2323,R$1,FALSE),VLOOKUP($A244,Pit!$A$4:$AZ$2261,R$2,FALSE))</f>
        <v>-0.92270703692409861</v>
      </c>
      <c r="S244" s="20" t="str">
        <f>IF($C244="B",VLOOKUP($A244,Bat!$A$4:$BD$2323,S$1,FALSE),VLOOKUP($A244,Pit!$A$4:$AZ$2261,S$2,FALSE))</f>
        <v>Slot</v>
      </c>
      <c r="T244" s="17" t="str">
        <f>IF(S244="Slot","",VLOOKUP(IF($C244="B",VLOOKUP($A244,Bat!$A$4:$AT$2323,T$1,FALSE),VLOOKUP($A244,Pit!$A$4:$BD$2261,T$2,FALSE)),COND!$A$34:$B$40,2,FALSE))</f>
        <v/>
      </c>
      <c r="U244" s="21" t="str">
        <f>IF($C244="B",VLOOKUP($A244,Bat!$A$4:$AR$1287,44,FALSE),VLOOKUP($A244,Pit!$A$4:$BB$1239,54,FALSE))</f>
        <v/>
      </c>
      <c r="W244" s="21" t="str">
        <f t="shared" si="14"/>
        <v/>
      </c>
      <c r="X244" s="22" t="e">
        <f t="shared" si="15"/>
        <v>#N/A</v>
      </c>
      <c r="Y244" s="16" t="str">
        <f>IF(ISERROR(VLOOKUP($E244&amp;$F244,Results!$A$2:$G$413,Y$1,FALSE)),"",VLOOKUP($E244&amp;$F244,Results!$A$2:$G$413,Y$1,FALSE))</f>
        <v/>
      </c>
      <c r="Z244" s="16" t="str">
        <f>IF(ISERROR(VLOOKUP($E244&amp;$F244,Results!$A$2:$G$413,Z$1,FALSE)),"",VLOOKUP($E244&amp;$F244,Results!$A$2:$G$413,Z$1,FALSE))</f>
        <v/>
      </c>
      <c r="AA244" s="16" t="str">
        <f>IF(ISERROR(VLOOKUP($E244&amp;$F244,Results!$A$2:$G$413,AA$1,FALSE)),"",VLOOKUP($E244&amp;$F244,Results!$A$2:$G$413,AA$1,FALSE))</f>
        <v/>
      </c>
      <c r="AB244" s="16" t="str">
        <f>IF(ISERROR(VLOOKUP($E244&amp;$F244,Results!$A$2:$G$413,AB$1,FALSE)),"",VLOOKUP($E244&amp;$F244,Results!$A$2:$G$413,AB$1,FALSE))</f>
        <v/>
      </c>
      <c r="AC244" s="16"/>
      <c r="AD244" s="20" t="str">
        <f>IF(ISERROR(VLOOKUP($AB244&amp;"-"&amp;$F244,Bonuses!$B$1:$G$1000,4,FALSE)),"",INT(VLOOKUP($AB244&amp;"-"&amp;$F244,Bonuses!$B$1:$G$1000,4,FALSE)))</f>
        <v/>
      </c>
      <c r="AE244" s="16" t="str">
        <f>IF(ISERROR(VLOOKUP($AB244&amp;"-"&amp;$F244,Bonuses!$B$1:$G$1000,5,FALSE)),"",IF(VLOOKUP($AB244&amp;"-"&amp;$F244,Bonuses!$B$1:$G$1000,5,FALSE)="","",VLOOKUP($AB244&amp;"-"&amp;$F244,Bonuses!$B$1:$G$1000,6,FALSE)&amp;" yrs, "&amp;VLOOKUP($AB244&amp;"-"&amp;$F244,Bonuses!$B$1:$G$1000,5,FALSE)))</f>
        <v/>
      </c>
    </row>
    <row r="245" spans="1:31" s="21" customFormat="1">
      <c r="A245" s="21" t="s">
        <v>445</v>
      </c>
      <c r="B245" s="21">
        <f t="shared" si="12"/>
        <v>1</v>
      </c>
      <c r="C245" s="21" t="str">
        <f t="shared" si="13"/>
        <v>B</v>
      </c>
      <c r="D245" s="17">
        <f>IF($C245="B",VLOOKUP($A245,Bat!$A$4:$BD$2323,D$1,FALSE),VLOOKUP($A245,Pit!$A$4:$AZ$2261,D$2,FALSE))</f>
        <v>5817</v>
      </c>
      <c r="E245" s="16" t="str">
        <f>IF($C245="B",VLOOKUP($A245,Bat!$A$4:$BD$2323,E$1,FALSE),VLOOKUP($A245,Pit!$A$4:$AZ$2261,E$2,FALSE))</f>
        <v>C</v>
      </c>
      <c r="F245" s="16" t="str">
        <f>IF($C245="B",VLOOKUP($A245,Bat!$A$4:$BD$2323,F$1,FALSE),VLOOKUP($A245,Pit!$A$4:$AZ$2261,F$2,FALSE))</f>
        <v>Lawrence Weston</v>
      </c>
      <c r="G245" s="16">
        <f>IF($C245="B",VLOOKUP($A245,Bat!$A$4:$BD$2323,G$1,FALSE),VLOOKUP($A245,Pit!$A$4:$AZ$2261,G$2,FALSE))</f>
        <v>21</v>
      </c>
      <c r="H245" s="16" t="str">
        <f>IF($C245="B",VLOOKUP($A245,Bat!$A$4:$BD$2323,H$1,FALSE),VLOOKUP($A245,Pit!$A$4:$AZ$2261,H$2,FALSE))</f>
        <v>R</v>
      </c>
      <c r="I245" s="16" t="str">
        <f>IF($C245="B",VLOOKUP($A245,Bat!$A$4:$BD$2323,I$1,FALSE),VLOOKUP($A245,Pit!$A$4:$AZ$2261,I$2,FALSE))</f>
        <v>R</v>
      </c>
      <c r="J245" s="16" t="str">
        <f>IF($C245="B",VLOOKUP($A245,Bat!$A$4:$BD$2323,J$1,FALSE),VLOOKUP($A245,Pit!$A$4:$AZ$2261,J$2,FALSE))</f>
        <v>Very Low</v>
      </c>
      <c r="K245" s="17" t="str">
        <f>IF($C245="B",VLOOKUP($A245,Bat!$A$4:$BD$2323,K$1,FALSE),VLOOKUP($A245,Pit!$A$4:$AZ$2261,K$2,FALSE))</f>
        <v>Low</v>
      </c>
      <c r="L245" s="16">
        <f>IF($C245="B",VLOOKUP($A245,Bat!$A$4:$BD$2323,L$1,FALSE),VLOOKUP($A245,Pit!$A$4:$AZ$2261,L$2,FALSE))</f>
        <v>4</v>
      </c>
      <c r="M245" s="16">
        <f>IF($C245="B",VLOOKUP($A245,Bat!$A$4:$BD$2323,M$1,FALSE),VLOOKUP($A245,Pit!$A$4:$AZ$2261,M$2,FALSE))</f>
        <v>5</v>
      </c>
      <c r="N245" s="16">
        <f>IF($C245="B",VLOOKUP($A245,Bat!$A$4:$BD$2323,N$1,FALSE),VLOOKUP($A245,Pit!$A$4:$AZ$2261,N$2,FALSE))</f>
        <v>1</v>
      </c>
      <c r="O245" s="16">
        <f>IF($C245="B",VLOOKUP($A245,Bat!$A$4:$BD$2323,O$1,FALSE),VLOOKUP($A245,Pit!$A$4:$AZ$2261,O$2,FALSE))</f>
        <v>3</v>
      </c>
      <c r="P245" s="17">
        <f>IF($C245="B",VLOOKUP($A245,Bat!$A$4:$BD$2323,P$1,FALSE),VLOOKUP($A245,Pit!$A$4:$AZ$2261,P$2,FALSE))</f>
        <v>5</v>
      </c>
      <c r="Q245" s="18">
        <f>IF($C245="B",VLOOKUP($A245,Bat!$A$4:$BD$2323,Q$1,FALSE),VLOOKUP($A245,Pit!$A$4:$AZ$2261,Q$2,FALSE))</f>
        <v>3.9492038752228833</v>
      </c>
      <c r="R245" s="19">
        <f>IF($C245="B",VLOOKUP($A245,Bat!$A$4:$BD$2323,R$1,FALSE),VLOOKUP($A245,Pit!$A$4:$AZ$2261,R$2,FALSE))</f>
        <v>-0.93319261381413898</v>
      </c>
      <c r="S245" s="20" t="str">
        <f>IF($C245="B",VLOOKUP($A245,Bat!$A$4:$BD$2323,S$1,FALSE),VLOOKUP($A245,Pit!$A$4:$AZ$2261,S$2,FALSE))</f>
        <v>Slot</v>
      </c>
      <c r="T245" s="17" t="str">
        <f>IF(S245="Slot","",VLOOKUP(IF($C245="B",VLOOKUP($A245,Bat!$A$4:$AT$2323,T$1,FALSE),VLOOKUP($A245,Pit!$A$4:$BD$2261,T$2,FALSE)),COND!$A$34:$B$40,2,FALSE))</f>
        <v/>
      </c>
      <c r="U245" s="21" t="str">
        <f>IF($C245="B",VLOOKUP($A245,Bat!$A$4:$AR$1287,44,FALSE),VLOOKUP($A245,Pit!$A$4:$BB$1239,54,FALSE))</f>
        <v/>
      </c>
      <c r="W245" s="21" t="str">
        <f t="shared" si="14"/>
        <v/>
      </c>
      <c r="X245" s="22" t="e">
        <f t="shared" si="15"/>
        <v>#N/A</v>
      </c>
      <c r="Y245" s="16" t="str">
        <f>IF(ISERROR(VLOOKUP($E245&amp;$F245,Results!$A$2:$G$413,Y$1,FALSE)),"",VLOOKUP($E245&amp;$F245,Results!$A$2:$G$413,Y$1,FALSE))</f>
        <v/>
      </c>
      <c r="Z245" s="16" t="str">
        <f>IF(ISERROR(VLOOKUP($E245&amp;$F245,Results!$A$2:$G$413,Z$1,FALSE)),"",VLOOKUP($E245&amp;$F245,Results!$A$2:$G$413,Z$1,FALSE))</f>
        <v/>
      </c>
      <c r="AA245" s="16" t="str">
        <f>IF(ISERROR(VLOOKUP($E245&amp;$F245,Results!$A$2:$G$413,AA$1,FALSE)),"",VLOOKUP($E245&amp;$F245,Results!$A$2:$G$413,AA$1,FALSE))</f>
        <v/>
      </c>
      <c r="AB245" s="16" t="str">
        <f>IF(ISERROR(VLOOKUP($E245&amp;$F245,Results!$A$2:$G$413,AB$1,FALSE)),"",VLOOKUP($E245&amp;$F245,Results!$A$2:$G$413,AB$1,FALSE))</f>
        <v/>
      </c>
      <c r="AC245" s="16"/>
      <c r="AD245" s="20" t="str">
        <f>IF(ISERROR(VLOOKUP($AB245&amp;"-"&amp;$F245,Bonuses!$B$1:$G$1000,4,FALSE)),"",INT(VLOOKUP($AB245&amp;"-"&amp;$F245,Bonuses!$B$1:$G$1000,4,FALSE)))</f>
        <v/>
      </c>
      <c r="AE245" s="16" t="str">
        <f>IF(ISERROR(VLOOKUP($AB245&amp;"-"&amp;$F245,Bonuses!$B$1:$G$1000,5,FALSE)),"",IF(VLOOKUP($AB245&amp;"-"&amp;$F245,Bonuses!$B$1:$G$1000,5,FALSE)="","",VLOOKUP($AB245&amp;"-"&amp;$F245,Bonuses!$B$1:$G$1000,6,FALSE)&amp;" yrs, "&amp;VLOOKUP($AB245&amp;"-"&amp;$F245,Bonuses!$B$1:$G$1000,5,FALSE)))</f>
        <v/>
      </c>
    </row>
    <row r="246" spans="1:31" s="21" customFormat="1">
      <c r="A246" s="21" t="s">
        <v>731</v>
      </c>
      <c r="B246" s="21">
        <f t="shared" si="12"/>
        <v>1</v>
      </c>
      <c r="C246" s="21" t="str">
        <f t="shared" si="13"/>
        <v>B</v>
      </c>
      <c r="D246" s="17" t="e">
        <f>IF($C246="B",VLOOKUP($A246,Bat!$A$4:$BD$2323,D$1,FALSE),VLOOKUP($A246,Pit!$A$4:$AZ$2261,D$2,FALSE))</f>
        <v>#N/A</v>
      </c>
      <c r="E246" s="16" t="str">
        <f>IF($C246="B",VLOOKUP($A246,Bat!$A$4:$BD$2323,E$1,FALSE),VLOOKUP($A246,Pit!$A$4:$AZ$2261,E$2,FALSE))</f>
        <v>LF</v>
      </c>
      <c r="F246" s="16" t="str">
        <f>IF($C246="B",VLOOKUP($A246,Bat!$A$4:$BD$2323,F$1,FALSE),VLOOKUP($A246,Pit!$A$4:$AZ$2261,F$2,FALSE))</f>
        <v>Reynaldo Díaz</v>
      </c>
      <c r="G246" s="16">
        <f>IF($C246="B",VLOOKUP($A246,Bat!$A$4:$BD$2323,G$1,FALSE),VLOOKUP($A246,Pit!$A$4:$AZ$2261,G$2,FALSE))</f>
        <v>18</v>
      </c>
      <c r="H246" s="16" t="str">
        <f>IF($C246="B",VLOOKUP($A246,Bat!$A$4:$BD$2323,H$1,FALSE),VLOOKUP($A246,Pit!$A$4:$AZ$2261,H$2,FALSE))</f>
        <v>L</v>
      </c>
      <c r="I246" s="16" t="str">
        <f>IF($C246="B",VLOOKUP($A246,Bat!$A$4:$BD$2323,I$1,FALSE),VLOOKUP($A246,Pit!$A$4:$AZ$2261,I$2,FALSE))</f>
        <v>L</v>
      </c>
      <c r="J246" s="16" t="str">
        <f>IF($C246="B",VLOOKUP($A246,Bat!$A$4:$BD$2323,J$1,FALSE),VLOOKUP($A246,Pit!$A$4:$AZ$2261,J$2,FALSE))</f>
        <v>Very Low</v>
      </c>
      <c r="K246" s="17" t="str">
        <f>IF($C246="B",VLOOKUP($A246,Bat!$A$4:$BD$2323,K$1,FALSE),VLOOKUP($A246,Pit!$A$4:$AZ$2261,K$2,FALSE))</f>
        <v>Very High</v>
      </c>
      <c r="L246" s="16">
        <f>IF($C246="B",VLOOKUP($A246,Bat!$A$4:$BD$2323,L$1,FALSE),VLOOKUP($A246,Pit!$A$4:$AZ$2261,L$2,FALSE))</f>
        <v>4</v>
      </c>
      <c r="M246" s="16">
        <f>IF($C246="B",VLOOKUP($A246,Bat!$A$4:$BD$2323,M$1,FALSE),VLOOKUP($A246,Pit!$A$4:$AZ$2261,M$2,FALSE))</f>
        <v>5</v>
      </c>
      <c r="N246" s="16">
        <f>IF($C246="B",VLOOKUP($A246,Bat!$A$4:$BD$2323,N$1,FALSE),VLOOKUP($A246,Pit!$A$4:$AZ$2261,N$2,FALSE))</f>
        <v>3</v>
      </c>
      <c r="O246" s="16">
        <f>IF($C246="B",VLOOKUP($A246,Bat!$A$4:$BD$2323,O$1,FALSE),VLOOKUP($A246,Pit!$A$4:$AZ$2261,O$2,FALSE))</f>
        <v>2</v>
      </c>
      <c r="P246" s="17">
        <f>IF($C246="B",VLOOKUP($A246,Bat!$A$4:$BD$2323,P$1,FALSE),VLOOKUP($A246,Pit!$A$4:$AZ$2261,P$2,FALSE))</f>
        <v>4</v>
      </c>
      <c r="Q246" s="18">
        <f>IF($C246="B",VLOOKUP($A246,Bat!$A$4:$BD$2323,Q$1,FALSE),VLOOKUP($A246,Pit!$A$4:$AZ$2261,Q$2,FALSE))</f>
        <v>3.9362418155173824</v>
      </c>
      <c r="R246" s="19">
        <f>IF($C246="B",VLOOKUP($A246,Bat!$A$4:$BD$2323,R$1,FALSE),VLOOKUP($A246,Pit!$A$4:$AZ$2261,R$2,FALSE))</f>
        <v>-0.93499335049738219</v>
      </c>
      <c r="S246" s="20" t="str">
        <f>IF($C246="B",VLOOKUP($A246,Bat!$A$4:$BD$2323,S$1,FALSE),VLOOKUP($A246,Pit!$A$4:$AZ$2261,S$2,FALSE))</f>
        <v>Slot</v>
      </c>
      <c r="T246" s="17" t="str">
        <f>IF(S246="Slot","",VLOOKUP(IF($C246="B",VLOOKUP($A246,Bat!$A$4:$AT$2323,T$1,FALSE),VLOOKUP($A246,Pit!$A$4:$BD$2261,T$2,FALSE)),COND!$A$34:$B$40,2,FALSE))</f>
        <v/>
      </c>
      <c r="U246" s="21" t="str">
        <f>IF($C246="B",VLOOKUP($A246,Bat!$A$4:$AR$1287,44,FALSE),VLOOKUP($A246,Pit!$A$4:$BB$1239,54,FALSE))</f>
        <v/>
      </c>
      <c r="W246" s="21" t="str">
        <f t="shared" si="14"/>
        <v/>
      </c>
      <c r="X246" s="22" t="e">
        <f t="shared" si="15"/>
        <v>#N/A</v>
      </c>
      <c r="Y246" s="16" t="str">
        <f>IF(ISERROR(VLOOKUP($E246&amp;$F246,Results!$A$2:$G$413,Y$1,FALSE)),"",VLOOKUP($E246&amp;$F246,Results!$A$2:$G$413,Y$1,FALSE))</f>
        <v/>
      </c>
      <c r="Z246" s="16" t="str">
        <f>IF(ISERROR(VLOOKUP($E246&amp;$F246,Results!$A$2:$G$413,Z$1,FALSE)),"",VLOOKUP($E246&amp;$F246,Results!$A$2:$G$413,Z$1,FALSE))</f>
        <v/>
      </c>
      <c r="AA246" s="16" t="str">
        <f>IF(ISERROR(VLOOKUP($E246&amp;$F246,Results!$A$2:$G$413,AA$1,FALSE)),"",VLOOKUP($E246&amp;$F246,Results!$A$2:$G$413,AA$1,FALSE))</f>
        <v/>
      </c>
      <c r="AB246" s="16" t="str">
        <f>IF(ISERROR(VLOOKUP($E246&amp;$F246,Results!$A$2:$G$413,AB$1,FALSE)),"",VLOOKUP($E246&amp;$F246,Results!$A$2:$G$413,AB$1,FALSE))</f>
        <v/>
      </c>
      <c r="AC246" s="16"/>
      <c r="AD246" s="20" t="str">
        <f>IF(ISERROR(VLOOKUP($AB246&amp;"-"&amp;$F246,Bonuses!$B$1:$G$1000,4,FALSE)),"",INT(VLOOKUP($AB246&amp;"-"&amp;$F246,Bonuses!$B$1:$G$1000,4,FALSE)))</f>
        <v/>
      </c>
      <c r="AE246" s="16" t="str">
        <f>IF(ISERROR(VLOOKUP($AB246&amp;"-"&amp;$F246,Bonuses!$B$1:$G$1000,5,FALSE)),"",IF(VLOOKUP($AB246&amp;"-"&amp;$F246,Bonuses!$B$1:$G$1000,5,FALSE)="","",VLOOKUP($AB246&amp;"-"&amp;$F246,Bonuses!$B$1:$G$1000,6,FALSE)&amp;" yrs, "&amp;VLOOKUP($AB246&amp;"-"&amp;$F246,Bonuses!$B$1:$G$1000,5,FALSE)))</f>
        <v/>
      </c>
    </row>
    <row r="247" spans="1:31" s="21" customFormat="1">
      <c r="A247" s="21" t="s">
        <v>285</v>
      </c>
      <c r="B247" s="21">
        <f t="shared" si="12"/>
        <v>1</v>
      </c>
      <c r="C247" s="21" t="str">
        <f t="shared" si="13"/>
        <v>B</v>
      </c>
      <c r="D247" s="17" t="e">
        <f>IF($C247="B",VLOOKUP($A247,Bat!$A$4:$BD$2323,D$1,FALSE),VLOOKUP($A247,Pit!$A$4:$AZ$2261,D$2,FALSE))</f>
        <v>#N/A</v>
      </c>
      <c r="E247" s="16" t="str">
        <f>IF($C247="B",VLOOKUP($A247,Bat!$A$4:$BD$2323,E$1,FALSE),VLOOKUP($A247,Pit!$A$4:$AZ$2261,E$2,FALSE))</f>
        <v>C</v>
      </c>
      <c r="F247" s="16" t="str">
        <f>IF($C247="B",VLOOKUP($A247,Bat!$A$4:$BD$2323,F$1,FALSE),VLOOKUP($A247,Pit!$A$4:$AZ$2261,F$2,FALSE))</f>
        <v>Juan Gómez</v>
      </c>
      <c r="G247" s="16">
        <f>IF($C247="B",VLOOKUP($A247,Bat!$A$4:$BD$2323,G$1,FALSE),VLOOKUP($A247,Pit!$A$4:$AZ$2261,G$2,FALSE))</f>
        <v>21</v>
      </c>
      <c r="H247" s="16" t="str">
        <f>IF($C247="B",VLOOKUP($A247,Bat!$A$4:$BD$2323,H$1,FALSE),VLOOKUP($A247,Pit!$A$4:$AZ$2261,H$2,FALSE))</f>
        <v>S</v>
      </c>
      <c r="I247" s="16" t="str">
        <f>IF($C247="B",VLOOKUP($A247,Bat!$A$4:$BD$2323,I$1,FALSE),VLOOKUP($A247,Pit!$A$4:$AZ$2261,I$2,FALSE))</f>
        <v>R</v>
      </c>
      <c r="J247" s="16" t="str">
        <f>IF($C247="B",VLOOKUP($A247,Bat!$A$4:$BD$2323,J$1,FALSE),VLOOKUP($A247,Pit!$A$4:$AZ$2261,J$2,FALSE))</f>
        <v>Very Low</v>
      </c>
      <c r="K247" s="17" t="str">
        <f>IF($C247="B",VLOOKUP($A247,Bat!$A$4:$BD$2323,K$1,FALSE),VLOOKUP($A247,Pit!$A$4:$AZ$2261,K$2,FALSE))</f>
        <v>Low</v>
      </c>
      <c r="L247" s="16">
        <f>IF($C247="B",VLOOKUP($A247,Bat!$A$4:$BD$2323,L$1,FALSE),VLOOKUP($A247,Pit!$A$4:$AZ$2261,L$2,FALSE))</f>
        <v>4</v>
      </c>
      <c r="M247" s="16">
        <f>IF($C247="B",VLOOKUP($A247,Bat!$A$4:$BD$2323,M$1,FALSE),VLOOKUP($A247,Pit!$A$4:$AZ$2261,M$2,FALSE))</f>
        <v>5</v>
      </c>
      <c r="N247" s="16">
        <f>IF($C247="B",VLOOKUP($A247,Bat!$A$4:$BD$2323,N$1,FALSE),VLOOKUP($A247,Pit!$A$4:$AZ$2261,N$2,FALSE))</f>
        <v>2</v>
      </c>
      <c r="O247" s="16">
        <f>IF($C247="B",VLOOKUP($A247,Bat!$A$4:$BD$2323,O$1,FALSE),VLOOKUP($A247,Pit!$A$4:$AZ$2261,O$2,FALSE))</f>
        <v>3</v>
      </c>
      <c r="P247" s="17">
        <f>IF($C247="B",VLOOKUP($A247,Bat!$A$4:$BD$2323,P$1,FALSE),VLOOKUP($A247,Pit!$A$4:$AZ$2261,P$2,FALSE))</f>
        <v>4</v>
      </c>
      <c r="Q247" s="18">
        <f>IF($C247="B",VLOOKUP($A247,Bat!$A$4:$BD$2323,Q$1,FALSE),VLOOKUP($A247,Pit!$A$4:$AZ$2261,Q$2,FALSE))</f>
        <v>3.9165159191200578</v>
      </c>
      <c r="R247" s="19">
        <f>IF($C247="B",VLOOKUP($A247,Bat!$A$4:$BD$2323,R$1,FALSE),VLOOKUP($A247,Pit!$A$4:$AZ$2261,R$2,FALSE))</f>
        <v>-0.93773374408139287</v>
      </c>
      <c r="S247" s="20" t="str">
        <f>IF($C247="B",VLOOKUP($A247,Bat!$A$4:$BD$2323,S$1,FALSE),VLOOKUP($A247,Pit!$A$4:$AZ$2261,S$2,FALSE))</f>
        <v>Slot</v>
      </c>
      <c r="T247" s="17" t="str">
        <f>IF(S247="Slot","",VLOOKUP(IF($C247="B",VLOOKUP($A247,Bat!$A$4:$AT$2323,T$1,FALSE),VLOOKUP($A247,Pit!$A$4:$BD$2261,T$2,FALSE)),COND!$A$34:$B$40,2,FALSE))</f>
        <v/>
      </c>
      <c r="U247" s="21" t="str">
        <f>IF($C247="B",VLOOKUP($A247,Bat!$A$4:$AR$1287,44,FALSE),VLOOKUP($A247,Pit!$A$4:$BB$1239,54,FALSE))</f>
        <v/>
      </c>
      <c r="W247" s="21" t="str">
        <f t="shared" si="14"/>
        <v/>
      </c>
      <c r="X247" s="22" t="e">
        <f t="shared" si="15"/>
        <v>#N/A</v>
      </c>
      <c r="Y247" s="16" t="str">
        <f>IF(ISERROR(VLOOKUP($E247&amp;$F247,Results!$A$2:$G$413,Y$1,FALSE)),"",VLOOKUP($E247&amp;$F247,Results!$A$2:$G$413,Y$1,FALSE))</f>
        <v/>
      </c>
      <c r="Z247" s="16" t="str">
        <f>IF(ISERROR(VLOOKUP($E247&amp;$F247,Results!$A$2:$G$413,Z$1,FALSE)),"",VLOOKUP($E247&amp;$F247,Results!$A$2:$G$413,Z$1,FALSE))</f>
        <v/>
      </c>
      <c r="AA247" s="16" t="str">
        <f>IF(ISERROR(VLOOKUP($E247&amp;$F247,Results!$A$2:$G$413,AA$1,FALSE)),"",VLOOKUP($E247&amp;$F247,Results!$A$2:$G$413,AA$1,FALSE))</f>
        <v/>
      </c>
      <c r="AB247" s="16" t="str">
        <f>IF(ISERROR(VLOOKUP($E247&amp;$F247,Results!$A$2:$G$413,AB$1,FALSE)),"",VLOOKUP($E247&amp;$F247,Results!$A$2:$G$413,AB$1,FALSE))</f>
        <v/>
      </c>
      <c r="AC247" s="16"/>
      <c r="AD247" s="20" t="str">
        <f>IF(ISERROR(VLOOKUP($AB247&amp;"-"&amp;$F247,Bonuses!$B$1:$G$1000,4,FALSE)),"",INT(VLOOKUP($AB247&amp;"-"&amp;$F247,Bonuses!$B$1:$G$1000,4,FALSE)))</f>
        <v/>
      </c>
      <c r="AE247" s="16" t="str">
        <f>IF(ISERROR(VLOOKUP($AB247&amp;"-"&amp;$F247,Bonuses!$B$1:$G$1000,5,FALSE)),"",IF(VLOOKUP($AB247&amp;"-"&amp;$F247,Bonuses!$B$1:$G$1000,5,FALSE)="","",VLOOKUP($AB247&amp;"-"&amp;$F247,Bonuses!$B$1:$G$1000,6,FALSE)&amp;" yrs, "&amp;VLOOKUP($AB247&amp;"-"&amp;$F247,Bonuses!$B$1:$G$1000,5,FALSE)))</f>
        <v/>
      </c>
    </row>
    <row r="248" spans="1:31" s="21" customFormat="1">
      <c r="A248" s="21" t="s">
        <v>448</v>
      </c>
      <c r="B248" s="21">
        <f t="shared" si="12"/>
        <v>1</v>
      </c>
      <c r="C248" s="21" t="str">
        <f t="shared" si="13"/>
        <v>B</v>
      </c>
      <c r="D248" s="17">
        <f>IF($C248="B",VLOOKUP($A248,Bat!$A$4:$BD$2323,D$1,FALSE),VLOOKUP($A248,Pit!$A$4:$AZ$2261,D$2,FALSE))</f>
        <v>1388</v>
      </c>
      <c r="E248" s="16" t="str">
        <f>IF($C248="B",VLOOKUP($A248,Bat!$A$4:$BD$2323,E$1,FALSE),VLOOKUP($A248,Pit!$A$4:$AZ$2261,E$2,FALSE))</f>
        <v>C</v>
      </c>
      <c r="F248" s="16" t="str">
        <f>IF($C248="B",VLOOKUP($A248,Bat!$A$4:$BD$2323,F$1,FALSE),VLOOKUP($A248,Pit!$A$4:$AZ$2261,F$2,FALSE))</f>
        <v>Michael Carter</v>
      </c>
      <c r="G248" s="16">
        <f>IF($C248="B",VLOOKUP($A248,Bat!$A$4:$BD$2323,G$1,FALSE),VLOOKUP($A248,Pit!$A$4:$AZ$2261,G$2,FALSE))</f>
        <v>18</v>
      </c>
      <c r="H248" s="16" t="str">
        <f>IF($C248="B",VLOOKUP($A248,Bat!$A$4:$BD$2323,H$1,FALSE),VLOOKUP($A248,Pit!$A$4:$AZ$2261,H$2,FALSE))</f>
        <v>R</v>
      </c>
      <c r="I248" s="16" t="str">
        <f>IF($C248="B",VLOOKUP($A248,Bat!$A$4:$BD$2323,I$1,FALSE),VLOOKUP($A248,Pit!$A$4:$AZ$2261,I$2,FALSE))</f>
        <v>R</v>
      </c>
      <c r="J248" s="16" t="str">
        <f>IF($C248="B",VLOOKUP($A248,Bat!$A$4:$BD$2323,J$1,FALSE),VLOOKUP($A248,Pit!$A$4:$AZ$2261,J$2,FALSE))</f>
        <v>Normal</v>
      </c>
      <c r="K248" s="17" t="str">
        <f>IF($C248="B",VLOOKUP($A248,Bat!$A$4:$BD$2323,K$1,FALSE),VLOOKUP($A248,Pit!$A$4:$AZ$2261,K$2,FALSE))</f>
        <v>Very Low</v>
      </c>
      <c r="L248" s="16">
        <f>IF($C248="B",VLOOKUP($A248,Bat!$A$4:$BD$2323,L$1,FALSE),VLOOKUP($A248,Pit!$A$4:$AZ$2261,L$2,FALSE))</f>
        <v>4</v>
      </c>
      <c r="M248" s="16">
        <f>IF($C248="B",VLOOKUP($A248,Bat!$A$4:$BD$2323,M$1,FALSE),VLOOKUP($A248,Pit!$A$4:$AZ$2261,M$2,FALSE))</f>
        <v>5</v>
      </c>
      <c r="N248" s="16">
        <f>IF($C248="B",VLOOKUP($A248,Bat!$A$4:$BD$2323,N$1,FALSE),VLOOKUP($A248,Pit!$A$4:$AZ$2261,N$2,FALSE))</f>
        <v>3</v>
      </c>
      <c r="O248" s="16">
        <f>IF($C248="B",VLOOKUP($A248,Bat!$A$4:$BD$2323,O$1,FALSE),VLOOKUP($A248,Pit!$A$4:$AZ$2261,O$2,FALSE))</f>
        <v>2</v>
      </c>
      <c r="P248" s="17">
        <f>IF($C248="B",VLOOKUP($A248,Bat!$A$4:$BD$2323,P$1,FALSE),VLOOKUP($A248,Pit!$A$4:$AZ$2261,P$2,FALSE))</f>
        <v>4</v>
      </c>
      <c r="Q248" s="18">
        <f>IF($C248="B",VLOOKUP($A248,Bat!$A$4:$BD$2323,Q$1,FALSE),VLOOKUP($A248,Pit!$A$4:$AZ$2261,Q$2,FALSE))</f>
        <v>3.8529084821840494</v>
      </c>
      <c r="R248" s="19">
        <f>IF($C248="B",VLOOKUP($A248,Bat!$A$4:$BD$2323,R$1,FALSE),VLOOKUP($A248,Pit!$A$4:$AZ$2261,R$2,FALSE))</f>
        <v>-0.94657032157139931</v>
      </c>
      <c r="S248" s="20" t="str">
        <f>IF($C248="B",VLOOKUP($A248,Bat!$A$4:$BD$2323,S$1,FALSE),VLOOKUP($A248,Pit!$A$4:$AZ$2261,S$2,FALSE))</f>
        <v>Slot</v>
      </c>
      <c r="T248" s="17" t="str">
        <f>IF(S248="Slot","",VLOOKUP(IF($C248="B",VLOOKUP($A248,Bat!$A$4:$AT$2323,T$1,FALSE),VLOOKUP($A248,Pit!$A$4:$BD$2261,T$2,FALSE)),COND!$A$34:$B$40,2,FALSE))</f>
        <v/>
      </c>
      <c r="U248" s="21" t="str">
        <f>IF($C248="B",VLOOKUP($A248,Bat!$A$4:$AR$1287,44,FALSE),VLOOKUP($A248,Pit!$A$4:$BB$1239,54,FALSE))</f>
        <v/>
      </c>
      <c r="W248" s="21" t="str">
        <f t="shared" si="14"/>
        <v/>
      </c>
      <c r="X248" s="22" t="e">
        <f t="shared" si="15"/>
        <v>#N/A</v>
      </c>
      <c r="Y248" s="16" t="str">
        <f>IF(ISERROR(VLOOKUP($E248&amp;$F248,Results!$A$2:$G$413,Y$1,FALSE)),"",VLOOKUP($E248&amp;$F248,Results!$A$2:$G$413,Y$1,FALSE))</f>
        <v/>
      </c>
      <c r="Z248" s="16" t="str">
        <f>IF(ISERROR(VLOOKUP($E248&amp;$F248,Results!$A$2:$G$413,Z$1,FALSE)),"",VLOOKUP($E248&amp;$F248,Results!$A$2:$G$413,Z$1,FALSE))</f>
        <v/>
      </c>
      <c r="AA248" s="16" t="str">
        <f>IF(ISERROR(VLOOKUP($E248&amp;$F248,Results!$A$2:$G$413,AA$1,FALSE)),"",VLOOKUP($E248&amp;$F248,Results!$A$2:$G$413,AA$1,FALSE))</f>
        <v/>
      </c>
      <c r="AB248" s="16" t="str">
        <f>IF(ISERROR(VLOOKUP($E248&amp;$F248,Results!$A$2:$G$413,AB$1,FALSE)),"",VLOOKUP($E248&amp;$F248,Results!$A$2:$G$413,AB$1,FALSE))</f>
        <v/>
      </c>
      <c r="AC248" s="16"/>
      <c r="AD248" s="20" t="str">
        <f>IF(ISERROR(VLOOKUP($AB248&amp;"-"&amp;$F248,Bonuses!$B$1:$G$1000,4,FALSE)),"",INT(VLOOKUP($AB248&amp;"-"&amp;$F248,Bonuses!$B$1:$G$1000,4,FALSE)))</f>
        <v/>
      </c>
      <c r="AE248" s="16" t="str">
        <f>IF(ISERROR(VLOOKUP($AB248&amp;"-"&amp;$F248,Bonuses!$B$1:$G$1000,5,FALSE)),"",IF(VLOOKUP($AB248&amp;"-"&amp;$F248,Bonuses!$B$1:$G$1000,5,FALSE)="","",VLOOKUP($AB248&amp;"-"&amp;$F248,Bonuses!$B$1:$G$1000,6,FALSE)&amp;" yrs, "&amp;VLOOKUP($AB248&amp;"-"&amp;$F248,Bonuses!$B$1:$G$1000,5,FALSE)))</f>
        <v/>
      </c>
    </row>
    <row r="249" spans="1:31" s="21" customFormat="1">
      <c r="A249" s="21" t="s">
        <v>745</v>
      </c>
      <c r="B249" s="21">
        <f t="shared" si="12"/>
        <v>1</v>
      </c>
      <c r="C249" s="21" t="str">
        <f t="shared" si="13"/>
        <v>B</v>
      </c>
      <c r="D249" s="17">
        <f>IF($C249="B",VLOOKUP($A249,Bat!$A$4:$BD$2323,D$1,FALSE),VLOOKUP($A249,Pit!$A$4:$AZ$2261,D$2,FALSE))</f>
        <v>3589</v>
      </c>
      <c r="E249" s="16" t="str">
        <f>IF($C249="B",VLOOKUP($A249,Bat!$A$4:$BD$2323,E$1,FALSE),VLOOKUP($A249,Pit!$A$4:$AZ$2261,E$2,FALSE))</f>
        <v>LF</v>
      </c>
      <c r="F249" s="16" t="str">
        <f>IF($C249="B",VLOOKUP($A249,Bat!$A$4:$BD$2323,F$1,FALSE),VLOOKUP($A249,Pit!$A$4:$AZ$2261,F$2,FALSE))</f>
        <v>Rodney Armstrong</v>
      </c>
      <c r="G249" s="16">
        <f>IF($C249="B",VLOOKUP($A249,Bat!$A$4:$BD$2323,G$1,FALSE),VLOOKUP($A249,Pit!$A$4:$AZ$2261,G$2,FALSE))</f>
        <v>17</v>
      </c>
      <c r="H249" s="16" t="str">
        <f>IF($C249="B",VLOOKUP($A249,Bat!$A$4:$BD$2323,H$1,FALSE),VLOOKUP($A249,Pit!$A$4:$AZ$2261,H$2,FALSE))</f>
        <v>R</v>
      </c>
      <c r="I249" s="16" t="str">
        <f>IF($C249="B",VLOOKUP($A249,Bat!$A$4:$BD$2323,I$1,FALSE),VLOOKUP($A249,Pit!$A$4:$AZ$2261,I$2,FALSE))</f>
        <v>R</v>
      </c>
      <c r="J249" s="16" t="str">
        <f>IF($C249="B",VLOOKUP($A249,Bat!$A$4:$BD$2323,J$1,FALSE),VLOOKUP($A249,Pit!$A$4:$AZ$2261,J$2,FALSE))</f>
        <v>Very Low</v>
      </c>
      <c r="K249" s="17" t="str">
        <f>IF($C249="B",VLOOKUP($A249,Bat!$A$4:$BD$2323,K$1,FALSE),VLOOKUP($A249,Pit!$A$4:$AZ$2261,K$2,FALSE))</f>
        <v>High</v>
      </c>
      <c r="L249" s="16">
        <f>IF($C249="B",VLOOKUP($A249,Bat!$A$4:$BD$2323,L$1,FALSE),VLOOKUP($A249,Pit!$A$4:$AZ$2261,L$2,FALSE))</f>
        <v>4</v>
      </c>
      <c r="M249" s="16">
        <f>IF($C249="B",VLOOKUP($A249,Bat!$A$4:$BD$2323,M$1,FALSE),VLOOKUP($A249,Pit!$A$4:$AZ$2261,M$2,FALSE))</f>
        <v>4</v>
      </c>
      <c r="N249" s="16">
        <f>IF($C249="B",VLOOKUP($A249,Bat!$A$4:$BD$2323,N$1,FALSE),VLOOKUP($A249,Pit!$A$4:$AZ$2261,N$2,FALSE))</f>
        <v>2</v>
      </c>
      <c r="O249" s="16">
        <f>IF($C249="B",VLOOKUP($A249,Bat!$A$4:$BD$2323,O$1,FALSE),VLOOKUP($A249,Pit!$A$4:$AZ$2261,O$2,FALSE))</f>
        <v>4</v>
      </c>
      <c r="P249" s="17">
        <f>IF($C249="B",VLOOKUP($A249,Bat!$A$4:$BD$2323,P$1,FALSE),VLOOKUP($A249,Pit!$A$4:$AZ$2261,P$2,FALSE))</f>
        <v>4</v>
      </c>
      <c r="Q249" s="18">
        <f>IF($C249="B",VLOOKUP($A249,Bat!$A$4:$BD$2323,Q$1,FALSE),VLOOKUP($A249,Pit!$A$4:$AZ$2261,Q$2,FALSE))</f>
        <v>3.8438914749988946</v>
      </c>
      <c r="R249" s="19">
        <f>IF($C249="B",VLOOKUP($A249,Bat!$A$4:$BD$2323,R$1,FALSE),VLOOKUP($A249,Pit!$A$4:$AZ$2261,R$2,FALSE))</f>
        <v>-0.94782299714768026</v>
      </c>
      <c r="S249" s="20">
        <f>IF($C249="B",VLOOKUP($A249,Bat!$A$4:$BD$2323,S$1,FALSE),VLOOKUP($A249,Pit!$A$4:$AZ$2261,S$2,FALSE))</f>
        <v>210000</v>
      </c>
      <c r="T249" s="17" t="str">
        <f>IF(S249="Slot","",VLOOKUP(IF($C249="B",VLOOKUP($A249,Bat!$A$4:$AT$2323,T$1,FALSE),VLOOKUP($A249,Pit!$A$4:$BD$2261,T$2,FALSE)),COND!$A$34:$B$40,2,FALSE))</f>
        <v>EH</v>
      </c>
      <c r="U249" s="21" t="str">
        <f>IF($C249="B",VLOOKUP($A249,Bat!$A$4:$AR$1287,44,FALSE),VLOOKUP($A249,Pit!$A$4:$BB$1239,54,FALSE))</f>
        <v/>
      </c>
      <c r="W249" s="21" t="str">
        <f t="shared" si="14"/>
        <v/>
      </c>
      <c r="X249" s="22" t="e">
        <f t="shared" si="15"/>
        <v>#N/A</v>
      </c>
      <c r="Y249" s="16" t="str">
        <f>IF(ISERROR(VLOOKUP($E249&amp;$F249,Results!$A$2:$G$413,Y$1,FALSE)),"",VLOOKUP($E249&amp;$F249,Results!$A$2:$G$413,Y$1,FALSE))</f>
        <v/>
      </c>
      <c r="Z249" s="16" t="str">
        <f>IF(ISERROR(VLOOKUP($E249&amp;$F249,Results!$A$2:$G$413,Z$1,FALSE)),"",VLOOKUP($E249&amp;$F249,Results!$A$2:$G$413,Z$1,FALSE))</f>
        <v/>
      </c>
      <c r="AA249" s="16" t="str">
        <f>IF(ISERROR(VLOOKUP($E249&amp;$F249,Results!$A$2:$G$413,AA$1,FALSE)),"",VLOOKUP($E249&amp;$F249,Results!$A$2:$G$413,AA$1,FALSE))</f>
        <v/>
      </c>
      <c r="AB249" s="16" t="str">
        <f>IF(ISERROR(VLOOKUP($E249&amp;$F249,Results!$A$2:$G$413,AB$1,FALSE)),"",VLOOKUP($E249&amp;$F249,Results!$A$2:$G$413,AB$1,FALSE))</f>
        <v/>
      </c>
      <c r="AC249" s="16"/>
      <c r="AD249" s="20" t="str">
        <f>IF(ISERROR(VLOOKUP($AB249&amp;"-"&amp;$F249,Bonuses!$B$1:$G$1000,4,FALSE)),"",INT(VLOOKUP($AB249&amp;"-"&amp;$F249,Bonuses!$B$1:$G$1000,4,FALSE)))</f>
        <v/>
      </c>
      <c r="AE249" s="16" t="str">
        <f>IF(ISERROR(VLOOKUP($AB249&amp;"-"&amp;$F249,Bonuses!$B$1:$G$1000,5,FALSE)),"",IF(VLOOKUP($AB249&amp;"-"&amp;$F249,Bonuses!$B$1:$G$1000,5,FALSE)="","",VLOOKUP($AB249&amp;"-"&amp;$F249,Bonuses!$B$1:$G$1000,6,FALSE)&amp;" yrs, "&amp;VLOOKUP($AB249&amp;"-"&amp;$F249,Bonuses!$B$1:$G$1000,5,FALSE)))</f>
        <v/>
      </c>
    </row>
    <row r="250" spans="1:31" s="21" customFormat="1">
      <c r="A250" s="21" t="s">
        <v>262</v>
      </c>
      <c r="B250" s="21">
        <f t="shared" si="12"/>
        <v>1</v>
      </c>
      <c r="C250" s="21" t="str">
        <f t="shared" si="13"/>
        <v>B</v>
      </c>
      <c r="D250" s="17" t="e">
        <f>IF($C250="B",VLOOKUP($A250,Bat!$A$4:$BD$2323,D$1,FALSE),VLOOKUP($A250,Pit!$A$4:$AZ$2261,D$2,FALSE))</f>
        <v>#N/A</v>
      </c>
      <c r="E250" s="16" t="e">
        <f>IF($C250="B",VLOOKUP($A250,Bat!$A$4:$BD$2323,E$1,FALSE),VLOOKUP($A250,Pit!$A$4:$AZ$2261,E$2,FALSE))</f>
        <v>#N/A</v>
      </c>
      <c r="F250" s="16" t="e">
        <f>IF($C250="B",VLOOKUP($A250,Bat!$A$4:$BD$2323,F$1,FALSE),VLOOKUP($A250,Pit!$A$4:$AZ$2261,F$2,FALSE))</f>
        <v>#N/A</v>
      </c>
      <c r="G250" s="16" t="e">
        <f>IF($C250="B",VLOOKUP($A250,Bat!$A$4:$BD$2323,G$1,FALSE),VLOOKUP($A250,Pit!$A$4:$AZ$2261,G$2,FALSE))</f>
        <v>#N/A</v>
      </c>
      <c r="H250" s="16" t="e">
        <f>IF($C250="B",VLOOKUP($A250,Bat!$A$4:$BD$2323,H$1,FALSE),VLOOKUP($A250,Pit!$A$4:$AZ$2261,H$2,FALSE))</f>
        <v>#N/A</v>
      </c>
      <c r="I250" s="16" t="e">
        <f>IF($C250="B",VLOOKUP($A250,Bat!$A$4:$BD$2323,I$1,FALSE),VLOOKUP($A250,Pit!$A$4:$AZ$2261,I$2,FALSE))</f>
        <v>#N/A</v>
      </c>
      <c r="J250" s="16" t="e">
        <f>IF($C250="B",VLOOKUP($A250,Bat!$A$4:$BD$2323,J$1,FALSE),VLOOKUP($A250,Pit!$A$4:$AZ$2261,J$2,FALSE))</f>
        <v>#N/A</v>
      </c>
      <c r="K250" s="17" t="e">
        <f>IF($C250="B",VLOOKUP($A250,Bat!$A$4:$BD$2323,K$1,FALSE),VLOOKUP($A250,Pit!$A$4:$AZ$2261,K$2,FALSE))</f>
        <v>#N/A</v>
      </c>
      <c r="L250" s="16" t="e">
        <f>IF($C250="B",VLOOKUP($A250,Bat!$A$4:$BD$2323,L$1,FALSE),VLOOKUP($A250,Pit!$A$4:$AZ$2261,L$2,FALSE))</f>
        <v>#N/A</v>
      </c>
      <c r="M250" s="16" t="e">
        <f>IF($C250="B",VLOOKUP($A250,Bat!$A$4:$BD$2323,M$1,FALSE),VLOOKUP($A250,Pit!$A$4:$AZ$2261,M$2,FALSE))</f>
        <v>#N/A</v>
      </c>
      <c r="N250" s="16" t="e">
        <f>IF($C250="B",VLOOKUP($A250,Bat!$A$4:$BD$2323,N$1,FALSE),VLOOKUP($A250,Pit!$A$4:$AZ$2261,N$2,FALSE))</f>
        <v>#N/A</v>
      </c>
      <c r="O250" s="16" t="e">
        <f>IF($C250="B",VLOOKUP($A250,Bat!$A$4:$BD$2323,O$1,FALSE),VLOOKUP($A250,Pit!$A$4:$AZ$2261,O$2,FALSE))</f>
        <v>#N/A</v>
      </c>
      <c r="P250" s="17" t="e">
        <f>IF($C250="B",VLOOKUP($A250,Bat!$A$4:$BD$2323,P$1,FALSE),VLOOKUP($A250,Pit!$A$4:$AZ$2261,P$2,FALSE))</f>
        <v>#N/A</v>
      </c>
      <c r="Q250" s="18" t="e">
        <f>IF($C250="B",VLOOKUP($A250,Bat!$A$4:$BD$2323,Q$1,FALSE),VLOOKUP($A250,Pit!$A$4:$AZ$2261,Q$2,FALSE))</f>
        <v>#N/A</v>
      </c>
      <c r="R250" s="19" t="e">
        <f>IF($C250="B",VLOOKUP($A250,Bat!$A$4:$BD$2323,R$1,FALSE),VLOOKUP($A250,Pit!$A$4:$AZ$2261,R$2,FALSE))</f>
        <v>#N/A</v>
      </c>
      <c r="S250" s="20" t="e">
        <f>IF($C250="B",VLOOKUP($A250,Bat!$A$4:$BD$2323,S$1,FALSE),VLOOKUP($A250,Pit!$A$4:$AZ$2261,S$2,FALSE))</f>
        <v>#N/A</v>
      </c>
      <c r="T250" s="17" t="e">
        <f>IF(S250="Slot","",VLOOKUP(IF($C250="B",VLOOKUP($A250,Bat!$A$4:$AT$2323,T$1,FALSE),VLOOKUP($A250,Pit!$A$4:$BD$2261,T$2,FALSE)),COND!$A$34:$B$40,2,FALSE))</f>
        <v>#N/A</v>
      </c>
      <c r="U250" s="21" t="e">
        <f>IF($C250="B",VLOOKUP($A250,Bat!$A$4:$AR$1287,44,FALSE),VLOOKUP($A250,Pit!$A$4:$BB$1239,54,FALSE))</f>
        <v>#N/A</v>
      </c>
      <c r="W250" s="21" t="e">
        <f t="shared" si="14"/>
        <v>#N/A</v>
      </c>
      <c r="X250" s="22" t="e">
        <f t="shared" si="15"/>
        <v>#N/A</v>
      </c>
      <c r="Y250" s="16" t="str">
        <f>IF(ISERROR(VLOOKUP($E250&amp;$F250,Results!$A$2:$G$413,Y$1,FALSE)),"",VLOOKUP($E250&amp;$F250,Results!$A$2:$G$413,Y$1,FALSE))</f>
        <v/>
      </c>
      <c r="Z250" s="16" t="str">
        <f>IF(ISERROR(VLOOKUP($E250&amp;$F250,Results!$A$2:$G$413,Z$1,FALSE)),"",VLOOKUP($E250&amp;$F250,Results!$A$2:$G$413,Z$1,FALSE))</f>
        <v/>
      </c>
      <c r="AA250" s="16" t="str">
        <f>IF(ISERROR(VLOOKUP($E250&amp;$F250,Results!$A$2:$G$413,AA$1,FALSE)),"",VLOOKUP($E250&amp;$F250,Results!$A$2:$G$413,AA$1,FALSE))</f>
        <v/>
      </c>
      <c r="AB250" s="16" t="str">
        <f>IF(ISERROR(VLOOKUP($E250&amp;$F250,Results!$A$2:$G$413,AB$1,FALSE)),"",VLOOKUP($E250&amp;$F250,Results!$A$2:$G$413,AB$1,FALSE))</f>
        <v/>
      </c>
      <c r="AC250" s="16"/>
      <c r="AD250" s="20" t="str">
        <f>IF(ISERROR(VLOOKUP($AB250&amp;"-"&amp;$F250,Bonuses!$B$1:$G$1000,4,FALSE)),"",INT(VLOOKUP($AB250&amp;"-"&amp;$F250,Bonuses!$B$1:$G$1000,4,FALSE)))</f>
        <v/>
      </c>
      <c r="AE250" s="16" t="str">
        <f>IF(ISERROR(VLOOKUP($AB250&amp;"-"&amp;$F250,Bonuses!$B$1:$G$1000,5,FALSE)),"",IF(VLOOKUP($AB250&amp;"-"&amp;$F250,Bonuses!$B$1:$G$1000,5,FALSE)="","",VLOOKUP($AB250&amp;"-"&amp;$F250,Bonuses!$B$1:$G$1000,6,FALSE)&amp;" yrs, "&amp;VLOOKUP($AB250&amp;"-"&amp;$F250,Bonuses!$B$1:$G$1000,5,FALSE)))</f>
        <v/>
      </c>
    </row>
    <row r="251" spans="1:31" s="21" customFormat="1">
      <c r="A251" s="21" t="s">
        <v>748</v>
      </c>
      <c r="B251" s="21">
        <f t="shared" si="12"/>
        <v>1</v>
      </c>
      <c r="C251" s="21" t="str">
        <f t="shared" si="13"/>
        <v>B</v>
      </c>
      <c r="D251" s="17" t="e">
        <f>IF($C251="B",VLOOKUP($A251,Bat!$A$4:$BD$2323,D$1,FALSE),VLOOKUP($A251,Pit!$A$4:$AZ$2261,D$2,FALSE))</f>
        <v>#N/A</v>
      </c>
      <c r="E251" s="16" t="e">
        <f>IF($C251="B",VLOOKUP($A251,Bat!$A$4:$BD$2323,E$1,FALSE),VLOOKUP($A251,Pit!$A$4:$AZ$2261,E$2,FALSE))</f>
        <v>#N/A</v>
      </c>
      <c r="F251" s="16" t="e">
        <f>IF($C251="B",VLOOKUP($A251,Bat!$A$4:$BD$2323,F$1,FALSE),VLOOKUP($A251,Pit!$A$4:$AZ$2261,F$2,FALSE))</f>
        <v>#N/A</v>
      </c>
      <c r="G251" s="16" t="e">
        <f>IF($C251="B",VLOOKUP($A251,Bat!$A$4:$BD$2323,G$1,FALSE),VLOOKUP($A251,Pit!$A$4:$AZ$2261,G$2,FALSE))</f>
        <v>#N/A</v>
      </c>
      <c r="H251" s="16" t="e">
        <f>IF($C251="B",VLOOKUP($A251,Bat!$A$4:$BD$2323,H$1,FALSE),VLOOKUP($A251,Pit!$A$4:$AZ$2261,H$2,FALSE))</f>
        <v>#N/A</v>
      </c>
      <c r="I251" s="16" t="e">
        <f>IF($C251="B",VLOOKUP($A251,Bat!$A$4:$BD$2323,I$1,FALSE),VLOOKUP($A251,Pit!$A$4:$AZ$2261,I$2,FALSE))</f>
        <v>#N/A</v>
      </c>
      <c r="J251" s="16" t="e">
        <f>IF($C251="B",VLOOKUP($A251,Bat!$A$4:$BD$2323,J$1,FALSE),VLOOKUP($A251,Pit!$A$4:$AZ$2261,J$2,FALSE))</f>
        <v>#N/A</v>
      </c>
      <c r="K251" s="17" t="e">
        <f>IF($C251="B",VLOOKUP($A251,Bat!$A$4:$BD$2323,K$1,FALSE),VLOOKUP($A251,Pit!$A$4:$AZ$2261,K$2,FALSE))</f>
        <v>#N/A</v>
      </c>
      <c r="L251" s="16" t="e">
        <f>IF($C251="B",VLOOKUP($A251,Bat!$A$4:$BD$2323,L$1,FALSE),VLOOKUP($A251,Pit!$A$4:$AZ$2261,L$2,FALSE))</f>
        <v>#N/A</v>
      </c>
      <c r="M251" s="16" t="e">
        <f>IF($C251="B",VLOOKUP($A251,Bat!$A$4:$BD$2323,M$1,FALSE),VLOOKUP($A251,Pit!$A$4:$AZ$2261,M$2,FALSE))</f>
        <v>#N/A</v>
      </c>
      <c r="N251" s="16" t="e">
        <f>IF($C251="B",VLOOKUP($A251,Bat!$A$4:$BD$2323,N$1,FALSE),VLOOKUP($A251,Pit!$A$4:$AZ$2261,N$2,FALSE))</f>
        <v>#N/A</v>
      </c>
      <c r="O251" s="16" t="e">
        <f>IF($C251="B",VLOOKUP($A251,Bat!$A$4:$BD$2323,O$1,FALSE),VLOOKUP($A251,Pit!$A$4:$AZ$2261,O$2,FALSE))</f>
        <v>#N/A</v>
      </c>
      <c r="P251" s="17" t="e">
        <f>IF($C251="B",VLOOKUP($A251,Bat!$A$4:$BD$2323,P$1,FALSE),VLOOKUP($A251,Pit!$A$4:$AZ$2261,P$2,FALSE))</f>
        <v>#N/A</v>
      </c>
      <c r="Q251" s="18" t="e">
        <f>IF($C251="B",VLOOKUP($A251,Bat!$A$4:$BD$2323,Q$1,FALSE),VLOOKUP($A251,Pit!$A$4:$AZ$2261,Q$2,FALSE))</f>
        <v>#N/A</v>
      </c>
      <c r="R251" s="19" t="e">
        <f>IF($C251="B",VLOOKUP($A251,Bat!$A$4:$BD$2323,R$1,FALSE),VLOOKUP($A251,Pit!$A$4:$AZ$2261,R$2,FALSE))</f>
        <v>#N/A</v>
      </c>
      <c r="S251" s="20" t="e">
        <f>IF($C251="B",VLOOKUP($A251,Bat!$A$4:$BD$2323,S$1,FALSE),VLOOKUP($A251,Pit!$A$4:$AZ$2261,S$2,FALSE))</f>
        <v>#N/A</v>
      </c>
      <c r="T251" s="17" t="e">
        <f>IF(S251="Slot","",VLOOKUP(IF($C251="B",VLOOKUP($A251,Bat!$A$4:$AT$2323,T$1,FALSE),VLOOKUP($A251,Pit!$A$4:$BD$2261,T$2,FALSE)),COND!$A$34:$B$40,2,FALSE))</f>
        <v>#N/A</v>
      </c>
      <c r="U251" s="21" t="e">
        <f>IF($C251="B",VLOOKUP($A251,Bat!$A$4:$AR$1287,44,FALSE),VLOOKUP($A251,Pit!$A$4:$BB$1239,54,FALSE))</f>
        <v>#N/A</v>
      </c>
      <c r="W251" s="21" t="e">
        <f t="shared" si="14"/>
        <v>#N/A</v>
      </c>
      <c r="X251" s="22" t="e">
        <f t="shared" si="15"/>
        <v>#N/A</v>
      </c>
      <c r="Y251" s="16" t="str">
        <f>IF(ISERROR(VLOOKUP($E251&amp;$F251,Results!$A$2:$G$413,Y$1,FALSE)),"",VLOOKUP($E251&amp;$F251,Results!$A$2:$G$413,Y$1,FALSE))</f>
        <v/>
      </c>
      <c r="Z251" s="16" t="str">
        <f>IF(ISERROR(VLOOKUP($E251&amp;$F251,Results!$A$2:$G$413,Z$1,FALSE)),"",VLOOKUP($E251&amp;$F251,Results!$A$2:$G$413,Z$1,FALSE))</f>
        <v/>
      </c>
      <c r="AA251" s="16" t="str">
        <f>IF(ISERROR(VLOOKUP($E251&amp;$F251,Results!$A$2:$G$413,AA$1,FALSE)),"",VLOOKUP($E251&amp;$F251,Results!$A$2:$G$413,AA$1,FALSE))</f>
        <v/>
      </c>
      <c r="AB251" s="16" t="str">
        <f>IF(ISERROR(VLOOKUP($E251&amp;$F251,Results!$A$2:$G$413,AB$1,FALSE)),"",VLOOKUP($E251&amp;$F251,Results!$A$2:$G$413,AB$1,FALSE))</f>
        <v/>
      </c>
      <c r="AC251" s="16"/>
      <c r="AD251" s="20" t="str">
        <f>IF(ISERROR(VLOOKUP($AB251&amp;"-"&amp;$F251,Bonuses!$B$1:$G$1000,4,FALSE)),"",INT(VLOOKUP($AB251&amp;"-"&amp;$F251,Bonuses!$B$1:$G$1000,4,FALSE)))</f>
        <v/>
      </c>
      <c r="AE251" s="16" t="str">
        <f>IF(ISERROR(VLOOKUP($AB251&amp;"-"&amp;$F251,Bonuses!$B$1:$G$1000,5,FALSE)),"",IF(VLOOKUP($AB251&amp;"-"&amp;$F251,Bonuses!$B$1:$G$1000,5,FALSE)="","",VLOOKUP($AB251&amp;"-"&amp;$F251,Bonuses!$B$1:$G$1000,6,FALSE)&amp;" yrs, "&amp;VLOOKUP($AB251&amp;"-"&amp;$F251,Bonuses!$B$1:$G$1000,5,FALSE)))</f>
        <v/>
      </c>
    </row>
    <row r="252" spans="1:31" s="21" customFormat="1">
      <c r="A252" s="21" t="s">
        <v>747</v>
      </c>
      <c r="B252" s="21">
        <f t="shared" si="12"/>
        <v>1</v>
      </c>
      <c r="C252" s="21" t="str">
        <f t="shared" si="13"/>
        <v>B</v>
      </c>
      <c r="D252" s="17" t="e">
        <f>IF($C252="B",VLOOKUP($A252,Bat!$A$4:$BD$2323,D$1,FALSE),VLOOKUP($A252,Pit!$A$4:$AZ$2261,D$2,FALSE))</f>
        <v>#N/A</v>
      </c>
      <c r="E252" s="16" t="str">
        <f>IF($C252="B",VLOOKUP($A252,Bat!$A$4:$BD$2323,E$1,FALSE),VLOOKUP($A252,Pit!$A$4:$AZ$2261,E$2,FALSE))</f>
        <v>CF</v>
      </c>
      <c r="F252" s="16" t="str">
        <f>IF($C252="B",VLOOKUP($A252,Bat!$A$4:$BD$2323,F$1,FALSE),VLOOKUP($A252,Pit!$A$4:$AZ$2261,F$2,FALSE))</f>
        <v>Jorge Rodríguez</v>
      </c>
      <c r="G252" s="16">
        <f>IF($C252="B",VLOOKUP($A252,Bat!$A$4:$BD$2323,G$1,FALSE),VLOOKUP($A252,Pit!$A$4:$AZ$2261,G$2,FALSE))</f>
        <v>21</v>
      </c>
      <c r="H252" s="16" t="str">
        <f>IF($C252="B",VLOOKUP($A252,Bat!$A$4:$BD$2323,H$1,FALSE),VLOOKUP($A252,Pit!$A$4:$AZ$2261,H$2,FALSE))</f>
        <v>R</v>
      </c>
      <c r="I252" s="16" t="str">
        <f>IF($C252="B",VLOOKUP($A252,Bat!$A$4:$BD$2323,I$1,FALSE),VLOOKUP($A252,Pit!$A$4:$AZ$2261,I$2,FALSE))</f>
        <v>R</v>
      </c>
      <c r="J252" s="16" t="str">
        <f>IF($C252="B",VLOOKUP($A252,Bat!$A$4:$BD$2323,J$1,FALSE),VLOOKUP($A252,Pit!$A$4:$AZ$2261,J$2,FALSE))</f>
        <v>Very Low</v>
      </c>
      <c r="K252" s="17" t="str">
        <f>IF($C252="B",VLOOKUP($A252,Bat!$A$4:$BD$2323,K$1,FALSE),VLOOKUP($A252,Pit!$A$4:$AZ$2261,K$2,FALSE))</f>
        <v>High</v>
      </c>
      <c r="L252" s="16">
        <f>IF($C252="B",VLOOKUP($A252,Bat!$A$4:$BD$2323,L$1,FALSE),VLOOKUP($A252,Pit!$A$4:$AZ$2261,L$2,FALSE))</f>
        <v>4</v>
      </c>
      <c r="M252" s="16">
        <f>IF($C252="B",VLOOKUP($A252,Bat!$A$4:$BD$2323,M$1,FALSE),VLOOKUP($A252,Pit!$A$4:$AZ$2261,M$2,FALSE))</f>
        <v>6</v>
      </c>
      <c r="N252" s="16">
        <f>IF($C252="B",VLOOKUP($A252,Bat!$A$4:$BD$2323,N$1,FALSE),VLOOKUP($A252,Pit!$A$4:$AZ$2261,N$2,FALSE))</f>
        <v>2</v>
      </c>
      <c r="O252" s="16">
        <f>IF($C252="B",VLOOKUP($A252,Bat!$A$4:$BD$2323,O$1,FALSE),VLOOKUP($A252,Pit!$A$4:$AZ$2261,O$2,FALSE))</f>
        <v>3</v>
      </c>
      <c r="P252" s="17">
        <f>IF($C252="B",VLOOKUP($A252,Bat!$A$4:$BD$2323,P$1,FALSE),VLOOKUP($A252,Pit!$A$4:$AZ$2261,P$2,FALSE))</f>
        <v>4</v>
      </c>
      <c r="Q252" s="18">
        <f>IF($C252="B",VLOOKUP($A252,Bat!$A$4:$BD$2323,Q$1,FALSE),VLOOKUP($A252,Pit!$A$4:$AZ$2261,Q$2,FALSE))</f>
        <v>3.707054199905353</v>
      </c>
      <c r="R252" s="19">
        <f>IF($C252="B",VLOOKUP($A252,Bat!$A$4:$BD$2323,R$1,FALSE),VLOOKUP($A252,Pit!$A$4:$AZ$2261,R$2,FALSE))</f>
        <v>-0.96683293125494341</v>
      </c>
      <c r="S252" s="20" t="str">
        <f>IF($C252="B",VLOOKUP($A252,Bat!$A$4:$BD$2323,S$1,FALSE),VLOOKUP($A252,Pit!$A$4:$AZ$2261,S$2,FALSE))</f>
        <v>Slot</v>
      </c>
      <c r="T252" s="17" t="str">
        <f>IF(S252="Slot","",VLOOKUP(IF($C252="B",VLOOKUP($A252,Bat!$A$4:$AT$2323,T$1,FALSE),VLOOKUP($A252,Pit!$A$4:$BD$2261,T$2,FALSE)),COND!$A$34:$B$40,2,FALSE))</f>
        <v/>
      </c>
      <c r="U252" s="21" t="str">
        <f>IF($C252="B",VLOOKUP($A252,Bat!$A$4:$AR$1287,44,FALSE),VLOOKUP($A252,Pit!$A$4:$BB$1239,54,FALSE))</f>
        <v/>
      </c>
      <c r="W252" s="21" t="str">
        <f t="shared" si="14"/>
        <v/>
      </c>
      <c r="X252" s="22" t="e">
        <f t="shared" si="15"/>
        <v>#N/A</v>
      </c>
      <c r="Y252" s="16" t="str">
        <f>IF(ISERROR(VLOOKUP($E252&amp;$F252,Results!$A$2:$G$413,Y$1,FALSE)),"",VLOOKUP($E252&amp;$F252,Results!$A$2:$G$413,Y$1,FALSE))</f>
        <v/>
      </c>
      <c r="Z252" s="16" t="str">
        <f>IF(ISERROR(VLOOKUP($E252&amp;$F252,Results!$A$2:$G$413,Z$1,FALSE)),"",VLOOKUP($E252&amp;$F252,Results!$A$2:$G$413,Z$1,FALSE))</f>
        <v/>
      </c>
      <c r="AA252" s="16" t="str">
        <f>IF(ISERROR(VLOOKUP($E252&amp;$F252,Results!$A$2:$G$413,AA$1,FALSE)),"",VLOOKUP($E252&amp;$F252,Results!$A$2:$G$413,AA$1,FALSE))</f>
        <v/>
      </c>
      <c r="AB252" s="16" t="str">
        <f>IF(ISERROR(VLOOKUP($E252&amp;$F252,Results!$A$2:$G$413,AB$1,FALSE)),"",VLOOKUP($E252&amp;$F252,Results!$A$2:$G$413,AB$1,FALSE))</f>
        <v/>
      </c>
      <c r="AC252" s="16"/>
      <c r="AD252" s="20" t="str">
        <f>IF(ISERROR(VLOOKUP($AB252&amp;"-"&amp;$F252,Bonuses!$B$1:$G$1000,4,FALSE)),"",INT(VLOOKUP($AB252&amp;"-"&amp;$F252,Bonuses!$B$1:$G$1000,4,FALSE)))</f>
        <v/>
      </c>
      <c r="AE252" s="16" t="str">
        <f>IF(ISERROR(VLOOKUP($AB252&amp;"-"&amp;$F252,Bonuses!$B$1:$G$1000,5,FALSE)),"",IF(VLOOKUP($AB252&amp;"-"&amp;$F252,Bonuses!$B$1:$G$1000,5,FALSE)="","",VLOOKUP($AB252&amp;"-"&amp;$F252,Bonuses!$B$1:$G$1000,6,FALSE)&amp;" yrs, "&amp;VLOOKUP($AB252&amp;"-"&amp;$F252,Bonuses!$B$1:$G$1000,5,FALSE)))</f>
        <v/>
      </c>
    </row>
    <row r="253" spans="1:31" s="21" customFormat="1">
      <c r="A253" s="21" t="s">
        <v>444</v>
      </c>
      <c r="B253" s="21">
        <f t="shared" si="12"/>
        <v>1</v>
      </c>
      <c r="C253" s="21" t="str">
        <f t="shared" si="13"/>
        <v>B</v>
      </c>
      <c r="D253" s="17">
        <f>IF($C253="B",VLOOKUP($A253,Bat!$A$4:$BD$2323,D$1,FALSE),VLOOKUP($A253,Pit!$A$4:$AZ$2261,D$2,FALSE))</f>
        <v>148</v>
      </c>
      <c r="E253" s="16" t="str">
        <f>IF($C253="B",VLOOKUP($A253,Bat!$A$4:$BD$2323,E$1,FALSE),VLOOKUP($A253,Pit!$A$4:$AZ$2261,E$2,FALSE))</f>
        <v>C</v>
      </c>
      <c r="F253" s="16" t="str">
        <f>IF($C253="B",VLOOKUP($A253,Bat!$A$4:$BD$2323,F$1,FALSE),VLOOKUP($A253,Pit!$A$4:$AZ$2261,F$2,FALSE))</f>
        <v>Troy Wilson</v>
      </c>
      <c r="G253" s="16">
        <f>IF($C253="B",VLOOKUP($A253,Bat!$A$4:$BD$2323,G$1,FALSE),VLOOKUP($A253,Pit!$A$4:$AZ$2261,G$2,FALSE))</f>
        <v>18</v>
      </c>
      <c r="H253" s="16" t="str">
        <f>IF($C253="B",VLOOKUP($A253,Bat!$A$4:$BD$2323,H$1,FALSE),VLOOKUP($A253,Pit!$A$4:$AZ$2261,H$2,FALSE))</f>
        <v>R</v>
      </c>
      <c r="I253" s="16" t="str">
        <f>IF($C253="B",VLOOKUP($A253,Bat!$A$4:$BD$2323,I$1,FALSE),VLOOKUP($A253,Pit!$A$4:$AZ$2261,I$2,FALSE))</f>
        <v>R</v>
      </c>
      <c r="J253" s="16" t="str">
        <f>IF($C253="B",VLOOKUP($A253,Bat!$A$4:$BD$2323,J$1,FALSE),VLOOKUP($A253,Pit!$A$4:$AZ$2261,J$2,FALSE))</f>
        <v>Normal</v>
      </c>
      <c r="K253" s="17" t="str">
        <f>IF($C253="B",VLOOKUP($A253,Bat!$A$4:$BD$2323,K$1,FALSE),VLOOKUP($A253,Pit!$A$4:$AZ$2261,K$2,FALSE))</f>
        <v>Normal</v>
      </c>
      <c r="L253" s="16">
        <f>IF($C253="B",VLOOKUP($A253,Bat!$A$4:$BD$2323,L$1,FALSE),VLOOKUP($A253,Pit!$A$4:$AZ$2261,L$2,FALSE))</f>
        <v>4</v>
      </c>
      <c r="M253" s="16">
        <f>IF($C253="B",VLOOKUP($A253,Bat!$A$4:$BD$2323,M$1,FALSE),VLOOKUP($A253,Pit!$A$4:$AZ$2261,M$2,FALSE))</f>
        <v>2</v>
      </c>
      <c r="N253" s="16">
        <f>IF($C253="B",VLOOKUP($A253,Bat!$A$4:$BD$2323,N$1,FALSE),VLOOKUP($A253,Pit!$A$4:$AZ$2261,N$2,FALSE))</f>
        <v>3</v>
      </c>
      <c r="O253" s="16">
        <f>IF($C253="B",VLOOKUP($A253,Bat!$A$4:$BD$2323,O$1,FALSE),VLOOKUP($A253,Pit!$A$4:$AZ$2261,O$2,FALSE))</f>
        <v>4</v>
      </c>
      <c r="P253" s="17">
        <f>IF($C253="B",VLOOKUP($A253,Bat!$A$4:$BD$2323,P$1,FALSE),VLOOKUP($A253,Pit!$A$4:$AZ$2261,P$2,FALSE))</f>
        <v>4</v>
      </c>
      <c r="Q253" s="18">
        <f>IF($C253="B",VLOOKUP($A253,Bat!$A$4:$BD$2323,Q$1,FALSE),VLOOKUP($A253,Pit!$A$4:$AZ$2261,Q$2,FALSE))</f>
        <v>3.6677820161406691</v>
      </c>
      <c r="R253" s="19">
        <f>IF($C253="B",VLOOKUP($A253,Bat!$A$4:$BD$2323,R$1,FALSE),VLOOKUP($A253,Pit!$A$4:$AZ$2261,R$2,FALSE))</f>
        <v>-0.97228876648043028</v>
      </c>
      <c r="S253" s="20" t="str">
        <f>IF($C253="B",VLOOKUP($A253,Bat!$A$4:$BD$2323,S$1,FALSE),VLOOKUP($A253,Pit!$A$4:$AZ$2261,S$2,FALSE))</f>
        <v>Slot</v>
      </c>
      <c r="T253" s="17" t="str">
        <f>IF(S253="Slot","",VLOOKUP(IF($C253="B",VLOOKUP($A253,Bat!$A$4:$AT$2323,T$1,FALSE),VLOOKUP($A253,Pit!$A$4:$BD$2261,T$2,FALSE)),COND!$A$34:$B$40,2,FALSE))</f>
        <v/>
      </c>
      <c r="U253" s="21" t="str">
        <f>IF($C253="B",VLOOKUP($A253,Bat!$A$4:$AR$1287,44,FALSE),VLOOKUP($A253,Pit!$A$4:$BB$1239,54,FALSE))</f>
        <v/>
      </c>
      <c r="W253" s="21" t="str">
        <f t="shared" si="14"/>
        <v/>
      </c>
      <c r="X253" s="22" t="e">
        <f t="shared" si="15"/>
        <v>#N/A</v>
      </c>
      <c r="Y253" s="16" t="str">
        <f>IF(ISERROR(VLOOKUP($E253&amp;$F253,Results!$A$2:$G$413,Y$1,FALSE)),"",VLOOKUP($E253&amp;$F253,Results!$A$2:$G$413,Y$1,FALSE))</f>
        <v/>
      </c>
      <c r="Z253" s="16" t="str">
        <f>IF(ISERROR(VLOOKUP($E253&amp;$F253,Results!$A$2:$G$413,Z$1,FALSE)),"",VLOOKUP($E253&amp;$F253,Results!$A$2:$G$413,Z$1,FALSE))</f>
        <v/>
      </c>
      <c r="AA253" s="16" t="str">
        <f>IF(ISERROR(VLOOKUP($E253&amp;$F253,Results!$A$2:$G$413,AA$1,FALSE)),"",VLOOKUP($E253&amp;$F253,Results!$A$2:$G$413,AA$1,FALSE))</f>
        <v/>
      </c>
      <c r="AB253" s="16" t="str">
        <f>IF(ISERROR(VLOOKUP($E253&amp;$F253,Results!$A$2:$G$413,AB$1,FALSE)),"",VLOOKUP($E253&amp;$F253,Results!$A$2:$G$413,AB$1,FALSE))</f>
        <v/>
      </c>
      <c r="AC253" s="16"/>
      <c r="AD253" s="20" t="str">
        <f>IF(ISERROR(VLOOKUP($AB253&amp;"-"&amp;$F253,Bonuses!$B$1:$G$1000,4,FALSE)),"",INT(VLOOKUP($AB253&amp;"-"&amp;$F253,Bonuses!$B$1:$G$1000,4,FALSE)))</f>
        <v/>
      </c>
      <c r="AE253" s="16" t="str">
        <f>IF(ISERROR(VLOOKUP($AB253&amp;"-"&amp;$F253,Bonuses!$B$1:$G$1000,5,FALSE)),"",IF(VLOOKUP($AB253&amp;"-"&amp;$F253,Bonuses!$B$1:$G$1000,5,FALSE)="","",VLOOKUP($AB253&amp;"-"&amp;$F253,Bonuses!$B$1:$G$1000,6,FALSE)&amp;" yrs, "&amp;VLOOKUP($AB253&amp;"-"&amp;$F253,Bonuses!$B$1:$G$1000,5,FALSE)))</f>
        <v/>
      </c>
    </row>
    <row r="254" spans="1:31" s="21" customFormat="1">
      <c r="A254" s="21" t="s">
        <v>735</v>
      </c>
      <c r="B254" s="21">
        <f t="shared" si="12"/>
        <v>1</v>
      </c>
      <c r="C254" s="21" t="str">
        <f t="shared" si="13"/>
        <v>B</v>
      </c>
      <c r="D254" s="17">
        <f>IF($C254="B",VLOOKUP($A254,Bat!$A$4:$BD$2323,D$1,FALSE),VLOOKUP($A254,Pit!$A$4:$AZ$2261,D$2,FALSE))</f>
        <v>2508</v>
      </c>
      <c r="E254" s="16" t="str">
        <f>IF($C254="B",VLOOKUP($A254,Bat!$A$4:$BD$2323,E$1,FALSE),VLOOKUP($A254,Pit!$A$4:$AZ$2261,E$2,FALSE))</f>
        <v>LF</v>
      </c>
      <c r="F254" s="16" t="str">
        <f>IF($C254="B",VLOOKUP($A254,Bat!$A$4:$BD$2323,F$1,FALSE),VLOOKUP($A254,Pit!$A$4:$AZ$2261,F$2,FALSE))</f>
        <v>Stan Gates</v>
      </c>
      <c r="G254" s="16">
        <f>IF($C254="B",VLOOKUP($A254,Bat!$A$4:$BD$2323,G$1,FALSE),VLOOKUP($A254,Pit!$A$4:$AZ$2261,G$2,FALSE))</f>
        <v>21</v>
      </c>
      <c r="H254" s="16" t="str">
        <f>IF($C254="B",VLOOKUP($A254,Bat!$A$4:$BD$2323,H$1,FALSE),VLOOKUP($A254,Pit!$A$4:$AZ$2261,H$2,FALSE))</f>
        <v>R</v>
      </c>
      <c r="I254" s="16" t="str">
        <f>IF($C254="B",VLOOKUP($A254,Bat!$A$4:$BD$2323,I$1,FALSE),VLOOKUP($A254,Pit!$A$4:$AZ$2261,I$2,FALSE))</f>
        <v>R</v>
      </c>
      <c r="J254" s="16" t="str">
        <f>IF($C254="B",VLOOKUP($A254,Bat!$A$4:$BD$2323,J$1,FALSE),VLOOKUP($A254,Pit!$A$4:$AZ$2261,J$2,FALSE))</f>
        <v>Normal</v>
      </c>
      <c r="K254" s="17" t="str">
        <f>IF($C254="B",VLOOKUP($A254,Bat!$A$4:$BD$2323,K$1,FALSE),VLOOKUP($A254,Pit!$A$4:$AZ$2261,K$2,FALSE))</f>
        <v>Low</v>
      </c>
      <c r="L254" s="16">
        <f>IF($C254="B",VLOOKUP($A254,Bat!$A$4:$BD$2323,L$1,FALSE),VLOOKUP($A254,Pit!$A$4:$AZ$2261,L$2,FALSE))</f>
        <v>4</v>
      </c>
      <c r="M254" s="16">
        <f>IF($C254="B",VLOOKUP($A254,Bat!$A$4:$BD$2323,M$1,FALSE),VLOOKUP($A254,Pit!$A$4:$AZ$2261,M$2,FALSE))</f>
        <v>4</v>
      </c>
      <c r="N254" s="16">
        <f>IF($C254="B",VLOOKUP($A254,Bat!$A$4:$BD$2323,N$1,FALSE),VLOOKUP($A254,Pit!$A$4:$AZ$2261,N$2,FALSE))</f>
        <v>2</v>
      </c>
      <c r="O254" s="16">
        <f>IF($C254="B",VLOOKUP($A254,Bat!$A$4:$BD$2323,O$1,FALSE),VLOOKUP($A254,Pit!$A$4:$AZ$2261,O$2,FALSE))</f>
        <v>3</v>
      </c>
      <c r="P254" s="17">
        <f>IF($C254="B",VLOOKUP($A254,Bat!$A$4:$BD$2323,P$1,FALSE),VLOOKUP($A254,Pit!$A$4:$AZ$2261,P$2,FALSE))</f>
        <v>4</v>
      </c>
      <c r="Q254" s="18">
        <f>IF($C254="B",VLOOKUP($A254,Bat!$A$4:$BD$2323,Q$1,FALSE),VLOOKUP($A254,Pit!$A$4:$AZ$2261,Q$2,FALSE))</f>
        <v>3.6138460684096394</v>
      </c>
      <c r="R254" s="19">
        <f>IF($C254="B",VLOOKUP($A254,Bat!$A$4:$BD$2323,R$1,FALSE),VLOOKUP($A254,Pit!$A$4:$AZ$2261,R$2,FALSE))</f>
        <v>-0.97978174536121232</v>
      </c>
      <c r="S254" s="20" t="str">
        <f>IF($C254="B",VLOOKUP($A254,Bat!$A$4:$BD$2323,S$1,FALSE),VLOOKUP($A254,Pit!$A$4:$AZ$2261,S$2,FALSE))</f>
        <v>Slot</v>
      </c>
      <c r="T254" s="17" t="str">
        <f>IF(S254="Slot","",VLOOKUP(IF($C254="B",VLOOKUP($A254,Bat!$A$4:$AT$2323,T$1,FALSE),VLOOKUP($A254,Pit!$A$4:$BD$2261,T$2,FALSE)),COND!$A$34:$B$40,2,FALSE))</f>
        <v/>
      </c>
      <c r="U254" s="21" t="str">
        <f>IF($C254="B",VLOOKUP($A254,Bat!$A$4:$AR$1287,44,FALSE),VLOOKUP($A254,Pit!$A$4:$BB$1239,54,FALSE))</f>
        <v/>
      </c>
      <c r="W254" s="21" t="str">
        <f t="shared" si="14"/>
        <v/>
      </c>
      <c r="X254" s="22" t="e">
        <f t="shared" si="15"/>
        <v>#N/A</v>
      </c>
      <c r="Y254" s="16" t="str">
        <f>IF(ISERROR(VLOOKUP($E254&amp;$F254,Results!$A$2:$G$413,Y$1,FALSE)),"",VLOOKUP($E254&amp;$F254,Results!$A$2:$G$413,Y$1,FALSE))</f>
        <v/>
      </c>
      <c r="Z254" s="16" t="str">
        <f>IF(ISERROR(VLOOKUP($E254&amp;$F254,Results!$A$2:$G$413,Z$1,FALSE)),"",VLOOKUP($E254&amp;$F254,Results!$A$2:$G$413,Z$1,FALSE))</f>
        <v/>
      </c>
      <c r="AA254" s="16" t="str">
        <f>IF(ISERROR(VLOOKUP($E254&amp;$F254,Results!$A$2:$G$413,AA$1,FALSE)),"",VLOOKUP($E254&amp;$F254,Results!$A$2:$G$413,AA$1,FALSE))</f>
        <v/>
      </c>
      <c r="AB254" s="16" t="str">
        <f>IF(ISERROR(VLOOKUP($E254&amp;$F254,Results!$A$2:$G$413,AB$1,FALSE)),"",VLOOKUP($E254&amp;$F254,Results!$A$2:$G$413,AB$1,FALSE))</f>
        <v/>
      </c>
      <c r="AC254" s="16"/>
      <c r="AD254" s="20" t="str">
        <f>IF(ISERROR(VLOOKUP($AB254&amp;"-"&amp;$F254,Bonuses!$B$1:$G$1000,4,FALSE)),"",INT(VLOOKUP($AB254&amp;"-"&amp;$F254,Bonuses!$B$1:$G$1000,4,FALSE)))</f>
        <v/>
      </c>
      <c r="AE254" s="16" t="str">
        <f>IF(ISERROR(VLOOKUP($AB254&amp;"-"&amp;$F254,Bonuses!$B$1:$G$1000,5,FALSE)),"",IF(VLOOKUP($AB254&amp;"-"&amp;$F254,Bonuses!$B$1:$G$1000,5,FALSE)="","",VLOOKUP($AB254&amp;"-"&amp;$F254,Bonuses!$B$1:$G$1000,6,FALSE)&amp;" yrs, "&amp;VLOOKUP($AB254&amp;"-"&amp;$F254,Bonuses!$B$1:$G$1000,5,FALSE)))</f>
        <v/>
      </c>
    </row>
    <row r="255" spans="1:31" s="21" customFormat="1">
      <c r="A255" s="21" t="s">
        <v>897</v>
      </c>
      <c r="B255" s="21">
        <f t="shared" si="12"/>
        <v>1</v>
      </c>
      <c r="C255" s="21" t="str">
        <f t="shared" si="13"/>
        <v>B</v>
      </c>
      <c r="D255" s="17" t="e">
        <f>IF($C255="B",VLOOKUP($A255,Bat!$A$4:$BD$2323,D$1,FALSE),VLOOKUP($A255,Pit!$A$4:$AZ$2261,D$2,FALSE))</f>
        <v>#N/A</v>
      </c>
      <c r="E255" s="16" t="e">
        <f>IF($C255="B",VLOOKUP($A255,Bat!$A$4:$BD$2323,E$1,FALSE),VLOOKUP($A255,Pit!$A$4:$AZ$2261,E$2,FALSE))</f>
        <v>#N/A</v>
      </c>
      <c r="F255" s="16" t="e">
        <f>IF($C255="B",VLOOKUP($A255,Bat!$A$4:$BD$2323,F$1,FALSE),VLOOKUP($A255,Pit!$A$4:$AZ$2261,F$2,FALSE))</f>
        <v>#N/A</v>
      </c>
      <c r="G255" s="16" t="e">
        <f>IF($C255="B",VLOOKUP($A255,Bat!$A$4:$BD$2323,G$1,FALSE),VLOOKUP($A255,Pit!$A$4:$AZ$2261,G$2,FALSE))</f>
        <v>#N/A</v>
      </c>
      <c r="H255" s="16" t="e">
        <f>IF($C255="B",VLOOKUP($A255,Bat!$A$4:$BD$2323,H$1,FALSE),VLOOKUP($A255,Pit!$A$4:$AZ$2261,H$2,FALSE))</f>
        <v>#N/A</v>
      </c>
      <c r="I255" s="16" t="e">
        <f>IF($C255="B",VLOOKUP($A255,Bat!$A$4:$BD$2323,I$1,FALSE),VLOOKUP($A255,Pit!$A$4:$AZ$2261,I$2,FALSE))</f>
        <v>#N/A</v>
      </c>
      <c r="J255" s="16" t="e">
        <f>IF($C255="B",VLOOKUP($A255,Bat!$A$4:$BD$2323,J$1,FALSE),VLOOKUP($A255,Pit!$A$4:$AZ$2261,J$2,FALSE))</f>
        <v>#N/A</v>
      </c>
      <c r="K255" s="17" t="e">
        <f>IF($C255="B",VLOOKUP($A255,Bat!$A$4:$BD$2323,K$1,FALSE),VLOOKUP($A255,Pit!$A$4:$AZ$2261,K$2,FALSE))</f>
        <v>#N/A</v>
      </c>
      <c r="L255" s="16" t="e">
        <f>IF($C255="B",VLOOKUP($A255,Bat!$A$4:$BD$2323,L$1,FALSE),VLOOKUP($A255,Pit!$A$4:$AZ$2261,L$2,FALSE))</f>
        <v>#N/A</v>
      </c>
      <c r="M255" s="16" t="e">
        <f>IF($C255="B",VLOOKUP($A255,Bat!$A$4:$BD$2323,M$1,FALSE),VLOOKUP($A255,Pit!$A$4:$AZ$2261,M$2,FALSE))</f>
        <v>#N/A</v>
      </c>
      <c r="N255" s="16" t="e">
        <f>IF($C255="B",VLOOKUP($A255,Bat!$A$4:$BD$2323,N$1,FALSE),VLOOKUP($A255,Pit!$A$4:$AZ$2261,N$2,FALSE))</f>
        <v>#N/A</v>
      </c>
      <c r="O255" s="16" t="e">
        <f>IF($C255="B",VLOOKUP($A255,Bat!$A$4:$BD$2323,O$1,FALSE),VLOOKUP($A255,Pit!$A$4:$AZ$2261,O$2,FALSE))</f>
        <v>#N/A</v>
      </c>
      <c r="P255" s="17" t="e">
        <f>IF($C255="B",VLOOKUP($A255,Bat!$A$4:$BD$2323,P$1,FALSE),VLOOKUP($A255,Pit!$A$4:$AZ$2261,P$2,FALSE))</f>
        <v>#N/A</v>
      </c>
      <c r="Q255" s="18" t="e">
        <f>IF($C255="B",VLOOKUP($A255,Bat!$A$4:$BD$2323,Q$1,FALSE),VLOOKUP($A255,Pit!$A$4:$AZ$2261,Q$2,FALSE))</f>
        <v>#N/A</v>
      </c>
      <c r="R255" s="19" t="e">
        <f>IF($C255="B",VLOOKUP($A255,Bat!$A$4:$BD$2323,R$1,FALSE),VLOOKUP($A255,Pit!$A$4:$AZ$2261,R$2,FALSE))</f>
        <v>#N/A</v>
      </c>
      <c r="S255" s="20" t="e">
        <f>IF($C255="B",VLOOKUP($A255,Bat!$A$4:$BD$2323,S$1,FALSE),VLOOKUP($A255,Pit!$A$4:$AZ$2261,S$2,FALSE))</f>
        <v>#N/A</v>
      </c>
      <c r="T255" s="17" t="e">
        <f>IF(S255="Slot","",VLOOKUP(IF($C255="B",VLOOKUP($A255,Bat!$A$4:$AT$2323,T$1,FALSE),VLOOKUP($A255,Pit!$A$4:$BD$2261,T$2,FALSE)),COND!$A$34:$B$40,2,FALSE))</f>
        <v>#N/A</v>
      </c>
      <c r="U255" s="21" t="e">
        <f>IF($C255="B",VLOOKUP($A255,Bat!$A$4:$AR$1287,44,FALSE),VLOOKUP($A255,Pit!$A$4:$BB$1239,54,FALSE))</f>
        <v>#N/A</v>
      </c>
      <c r="W255" s="21" t="e">
        <f t="shared" si="14"/>
        <v>#N/A</v>
      </c>
      <c r="X255" s="22" t="e">
        <f t="shared" si="15"/>
        <v>#N/A</v>
      </c>
      <c r="Y255" s="16" t="str">
        <f>IF(ISERROR(VLOOKUP($E255&amp;$F255,Results!$A$2:$G$413,Y$1,FALSE)),"",VLOOKUP($E255&amp;$F255,Results!$A$2:$G$413,Y$1,FALSE))</f>
        <v/>
      </c>
      <c r="Z255" s="16" t="str">
        <f>IF(ISERROR(VLOOKUP($E255&amp;$F255,Results!$A$2:$G$413,Z$1,FALSE)),"",VLOOKUP($E255&amp;$F255,Results!$A$2:$G$413,Z$1,FALSE))</f>
        <v/>
      </c>
      <c r="AA255" s="16" t="str">
        <f>IF(ISERROR(VLOOKUP($E255&amp;$F255,Results!$A$2:$G$413,AA$1,FALSE)),"",VLOOKUP($E255&amp;$F255,Results!$A$2:$G$413,AA$1,FALSE))</f>
        <v/>
      </c>
      <c r="AB255" s="16" t="str">
        <f>IF(ISERROR(VLOOKUP($E255&amp;$F255,Results!$A$2:$G$413,AB$1,FALSE)),"",VLOOKUP($E255&amp;$F255,Results!$A$2:$G$413,AB$1,FALSE))</f>
        <v/>
      </c>
      <c r="AC255" s="16"/>
      <c r="AD255" s="20" t="str">
        <f>IF(ISERROR(VLOOKUP($AB255&amp;"-"&amp;$F255,Bonuses!$B$1:$G$1000,4,FALSE)),"",INT(VLOOKUP($AB255&amp;"-"&amp;$F255,Bonuses!$B$1:$G$1000,4,FALSE)))</f>
        <v/>
      </c>
      <c r="AE255" s="16" t="str">
        <f>IF(ISERROR(VLOOKUP($AB255&amp;"-"&amp;$F255,Bonuses!$B$1:$G$1000,5,FALSE)),"",IF(VLOOKUP($AB255&amp;"-"&amp;$F255,Bonuses!$B$1:$G$1000,5,FALSE)="","",VLOOKUP($AB255&amp;"-"&amp;$F255,Bonuses!$B$1:$G$1000,6,FALSE)&amp;" yrs, "&amp;VLOOKUP($AB255&amp;"-"&amp;$F255,Bonuses!$B$1:$G$1000,5,FALSE)))</f>
        <v/>
      </c>
    </row>
    <row r="256" spans="1:31" s="21" customFormat="1">
      <c r="A256" s="21" t="s">
        <v>78</v>
      </c>
      <c r="B256" s="21">
        <f t="shared" si="12"/>
        <v>1</v>
      </c>
      <c r="C256" s="21" t="str">
        <f t="shared" si="13"/>
        <v>B</v>
      </c>
      <c r="D256" s="17">
        <f>IF($C256="B",VLOOKUP($A256,Bat!$A$4:$BD$2323,D$1,FALSE),VLOOKUP($A256,Pit!$A$4:$AZ$2261,D$2,FALSE))</f>
        <v>13825</v>
      </c>
      <c r="E256" s="16" t="str">
        <f>IF($C256="B",VLOOKUP($A256,Bat!$A$4:$BD$2323,E$1,FALSE),VLOOKUP($A256,Pit!$A$4:$AZ$2261,E$2,FALSE))</f>
        <v>3B</v>
      </c>
      <c r="F256" s="16" t="str">
        <f>IF($C256="B",VLOOKUP($A256,Bat!$A$4:$BD$2323,F$1,FALSE),VLOOKUP($A256,Pit!$A$4:$AZ$2261,F$2,FALSE))</f>
        <v>Roberto Villegas</v>
      </c>
      <c r="G256" s="16">
        <f>IF($C256="B",VLOOKUP($A256,Bat!$A$4:$BD$2323,G$1,FALSE),VLOOKUP($A256,Pit!$A$4:$AZ$2261,G$2,FALSE))</f>
        <v>18</v>
      </c>
      <c r="H256" s="16" t="str">
        <f>IF($C256="B",VLOOKUP($A256,Bat!$A$4:$BD$2323,H$1,FALSE),VLOOKUP($A256,Pit!$A$4:$AZ$2261,H$2,FALSE))</f>
        <v>R</v>
      </c>
      <c r="I256" s="16" t="str">
        <f>IF($C256="B",VLOOKUP($A256,Bat!$A$4:$BD$2323,I$1,FALSE),VLOOKUP($A256,Pit!$A$4:$AZ$2261,I$2,FALSE))</f>
        <v>R</v>
      </c>
      <c r="J256" s="16" t="str">
        <f>IF($C256="B",VLOOKUP($A256,Bat!$A$4:$BD$2323,J$1,FALSE),VLOOKUP($A256,Pit!$A$4:$AZ$2261,J$2,FALSE))</f>
        <v>Normal</v>
      </c>
      <c r="K256" s="17" t="str">
        <f>IF($C256="B",VLOOKUP($A256,Bat!$A$4:$BD$2323,K$1,FALSE),VLOOKUP($A256,Pit!$A$4:$AZ$2261,K$2,FALSE))</f>
        <v>Very Low</v>
      </c>
      <c r="L256" s="16">
        <f>IF($C256="B",VLOOKUP($A256,Bat!$A$4:$BD$2323,L$1,FALSE),VLOOKUP($A256,Pit!$A$4:$AZ$2261,L$2,FALSE))</f>
        <v>4</v>
      </c>
      <c r="M256" s="16">
        <f>IF($C256="B",VLOOKUP($A256,Bat!$A$4:$BD$2323,M$1,FALSE),VLOOKUP($A256,Pit!$A$4:$AZ$2261,M$2,FALSE))</f>
        <v>6</v>
      </c>
      <c r="N256" s="16">
        <f>IF($C256="B",VLOOKUP($A256,Bat!$A$4:$BD$2323,N$1,FALSE),VLOOKUP($A256,Pit!$A$4:$AZ$2261,N$2,FALSE))</f>
        <v>2</v>
      </c>
      <c r="O256" s="16">
        <f>IF($C256="B",VLOOKUP($A256,Bat!$A$4:$BD$2323,O$1,FALSE),VLOOKUP($A256,Pit!$A$4:$AZ$2261,O$2,FALSE))</f>
        <v>3</v>
      </c>
      <c r="P256" s="17">
        <f>IF($C256="B",VLOOKUP($A256,Bat!$A$4:$BD$2323,P$1,FALSE),VLOOKUP($A256,Pit!$A$4:$AZ$2261,P$2,FALSE))</f>
        <v>4</v>
      </c>
      <c r="Q256" s="18">
        <f>IF($C256="B",VLOOKUP($A256,Bat!$A$4:$BD$2323,Q$1,FALSE),VLOOKUP($A256,Pit!$A$4:$AZ$2261,Q$2,FALSE))</f>
        <v>3.5454037094366457</v>
      </c>
      <c r="R256" s="19">
        <f>IF($C256="B",VLOOKUP($A256,Bat!$A$4:$BD$2323,R$1,FALSE),VLOOKUP($A256,Pit!$A$4:$AZ$2261,R$2,FALSE))</f>
        <v>-0.98929000788202648</v>
      </c>
      <c r="S256" s="20" t="str">
        <f>IF($C256="B",VLOOKUP($A256,Bat!$A$4:$BD$2323,S$1,FALSE),VLOOKUP($A256,Pit!$A$4:$AZ$2261,S$2,FALSE))</f>
        <v>Slot</v>
      </c>
      <c r="T256" s="17" t="str">
        <f>IF(S256="Slot","",VLOOKUP(IF($C256="B",VLOOKUP($A256,Bat!$A$4:$AT$2323,T$1,FALSE),VLOOKUP($A256,Pit!$A$4:$BD$2261,T$2,FALSE)),COND!$A$34:$B$40,2,FALSE))</f>
        <v/>
      </c>
      <c r="U256" s="21" t="str">
        <f>IF($C256="B",VLOOKUP($A256,Bat!$A$4:$AR$1287,44,FALSE),VLOOKUP($A256,Pit!$A$4:$BB$1239,54,FALSE))</f>
        <v/>
      </c>
      <c r="W256" s="21" t="str">
        <f t="shared" si="14"/>
        <v/>
      </c>
      <c r="X256" s="22" t="e">
        <f t="shared" si="15"/>
        <v>#N/A</v>
      </c>
      <c r="Y256" s="16" t="str">
        <f>IF(ISERROR(VLOOKUP($E256&amp;$F256,Results!$A$2:$G$413,Y$1,FALSE)),"",VLOOKUP($E256&amp;$F256,Results!$A$2:$G$413,Y$1,FALSE))</f>
        <v/>
      </c>
      <c r="Z256" s="16" t="str">
        <f>IF(ISERROR(VLOOKUP($E256&amp;$F256,Results!$A$2:$G$413,Z$1,FALSE)),"",VLOOKUP($E256&amp;$F256,Results!$A$2:$G$413,Z$1,FALSE))</f>
        <v/>
      </c>
      <c r="AA256" s="16" t="str">
        <f>IF(ISERROR(VLOOKUP($E256&amp;$F256,Results!$A$2:$G$413,AA$1,FALSE)),"",VLOOKUP($E256&amp;$F256,Results!$A$2:$G$413,AA$1,FALSE))</f>
        <v/>
      </c>
      <c r="AB256" s="16" t="str">
        <f>IF(ISERROR(VLOOKUP($E256&amp;$F256,Results!$A$2:$G$413,AB$1,FALSE)),"",VLOOKUP($E256&amp;$F256,Results!$A$2:$G$413,AB$1,FALSE))</f>
        <v/>
      </c>
      <c r="AC256" s="16"/>
      <c r="AD256" s="20" t="str">
        <f>IF(ISERROR(VLOOKUP($AB256&amp;"-"&amp;$F256,Bonuses!$B$1:$G$1000,4,FALSE)),"",INT(VLOOKUP($AB256&amp;"-"&amp;$F256,Bonuses!$B$1:$G$1000,4,FALSE)))</f>
        <v/>
      </c>
      <c r="AE256" s="16" t="str">
        <f>IF(ISERROR(VLOOKUP($AB256&amp;"-"&amp;$F256,Bonuses!$B$1:$G$1000,5,FALSE)),"",IF(VLOOKUP($AB256&amp;"-"&amp;$F256,Bonuses!$B$1:$G$1000,5,FALSE)="","",VLOOKUP($AB256&amp;"-"&amp;$F256,Bonuses!$B$1:$G$1000,6,FALSE)&amp;" yrs, "&amp;VLOOKUP($AB256&amp;"-"&amp;$F256,Bonuses!$B$1:$G$1000,5,FALSE)))</f>
        <v/>
      </c>
    </row>
    <row r="257" spans="1:31" s="21" customFormat="1">
      <c r="A257" s="21" t="s">
        <v>751</v>
      </c>
      <c r="B257" s="21">
        <f t="shared" si="12"/>
        <v>1</v>
      </c>
      <c r="C257" s="21" t="str">
        <f t="shared" si="13"/>
        <v>B</v>
      </c>
      <c r="D257" s="17" t="e">
        <f>IF($C257="B",VLOOKUP($A257,Bat!$A$4:$BD$2323,D$1,FALSE),VLOOKUP($A257,Pit!$A$4:$AZ$2261,D$2,FALSE))</f>
        <v>#N/A</v>
      </c>
      <c r="E257" s="16" t="e">
        <f>IF($C257="B",VLOOKUP($A257,Bat!$A$4:$BD$2323,E$1,FALSE),VLOOKUP($A257,Pit!$A$4:$AZ$2261,E$2,FALSE))</f>
        <v>#N/A</v>
      </c>
      <c r="F257" s="16" t="e">
        <f>IF($C257="B",VLOOKUP($A257,Bat!$A$4:$BD$2323,F$1,FALSE),VLOOKUP($A257,Pit!$A$4:$AZ$2261,F$2,FALSE))</f>
        <v>#N/A</v>
      </c>
      <c r="G257" s="16" t="e">
        <f>IF($C257="B",VLOOKUP($A257,Bat!$A$4:$BD$2323,G$1,FALSE),VLOOKUP($A257,Pit!$A$4:$AZ$2261,G$2,FALSE))</f>
        <v>#N/A</v>
      </c>
      <c r="H257" s="16" t="e">
        <f>IF($C257="B",VLOOKUP($A257,Bat!$A$4:$BD$2323,H$1,FALSE),VLOOKUP($A257,Pit!$A$4:$AZ$2261,H$2,FALSE))</f>
        <v>#N/A</v>
      </c>
      <c r="I257" s="16" t="e">
        <f>IF($C257="B",VLOOKUP($A257,Bat!$A$4:$BD$2323,I$1,FALSE),VLOOKUP($A257,Pit!$A$4:$AZ$2261,I$2,FALSE))</f>
        <v>#N/A</v>
      </c>
      <c r="J257" s="16" t="e">
        <f>IF($C257="B",VLOOKUP($A257,Bat!$A$4:$BD$2323,J$1,FALSE),VLOOKUP($A257,Pit!$A$4:$AZ$2261,J$2,FALSE))</f>
        <v>#N/A</v>
      </c>
      <c r="K257" s="17" t="e">
        <f>IF($C257="B",VLOOKUP($A257,Bat!$A$4:$BD$2323,K$1,FALSE),VLOOKUP($A257,Pit!$A$4:$AZ$2261,K$2,FALSE))</f>
        <v>#N/A</v>
      </c>
      <c r="L257" s="16" t="e">
        <f>IF($C257="B",VLOOKUP($A257,Bat!$A$4:$BD$2323,L$1,FALSE),VLOOKUP($A257,Pit!$A$4:$AZ$2261,L$2,FALSE))</f>
        <v>#N/A</v>
      </c>
      <c r="M257" s="16" t="e">
        <f>IF($C257="B",VLOOKUP($A257,Bat!$A$4:$BD$2323,M$1,FALSE),VLOOKUP($A257,Pit!$A$4:$AZ$2261,M$2,FALSE))</f>
        <v>#N/A</v>
      </c>
      <c r="N257" s="16" t="e">
        <f>IF($C257="B",VLOOKUP($A257,Bat!$A$4:$BD$2323,N$1,FALSE),VLOOKUP($A257,Pit!$A$4:$AZ$2261,N$2,FALSE))</f>
        <v>#N/A</v>
      </c>
      <c r="O257" s="16" t="e">
        <f>IF($C257="B",VLOOKUP($A257,Bat!$A$4:$BD$2323,O$1,FALSE),VLOOKUP($A257,Pit!$A$4:$AZ$2261,O$2,FALSE))</f>
        <v>#N/A</v>
      </c>
      <c r="P257" s="17" t="e">
        <f>IF($C257="B",VLOOKUP($A257,Bat!$A$4:$BD$2323,P$1,FALSE),VLOOKUP($A257,Pit!$A$4:$AZ$2261,P$2,FALSE))</f>
        <v>#N/A</v>
      </c>
      <c r="Q257" s="18" t="e">
        <f>IF($C257="B",VLOOKUP($A257,Bat!$A$4:$BD$2323,Q$1,FALSE),VLOOKUP($A257,Pit!$A$4:$AZ$2261,Q$2,FALSE))</f>
        <v>#N/A</v>
      </c>
      <c r="R257" s="19" t="e">
        <f>IF($C257="B",VLOOKUP($A257,Bat!$A$4:$BD$2323,R$1,FALSE),VLOOKUP($A257,Pit!$A$4:$AZ$2261,R$2,FALSE))</f>
        <v>#N/A</v>
      </c>
      <c r="S257" s="20" t="e">
        <f>IF($C257="B",VLOOKUP($A257,Bat!$A$4:$BD$2323,S$1,FALSE),VLOOKUP($A257,Pit!$A$4:$AZ$2261,S$2,FALSE))</f>
        <v>#N/A</v>
      </c>
      <c r="T257" s="17" t="e">
        <f>IF(S257="Slot","",VLOOKUP(IF($C257="B",VLOOKUP($A257,Bat!$A$4:$AT$2323,T$1,FALSE),VLOOKUP($A257,Pit!$A$4:$BD$2261,T$2,FALSE)),COND!$A$34:$B$40,2,FALSE))</f>
        <v>#N/A</v>
      </c>
      <c r="U257" s="21" t="e">
        <f>IF($C257="B",VLOOKUP($A257,Bat!$A$4:$AR$1287,44,FALSE),VLOOKUP($A257,Pit!$A$4:$BB$1239,54,FALSE))</f>
        <v>#N/A</v>
      </c>
      <c r="W257" s="21" t="e">
        <f t="shared" si="14"/>
        <v>#N/A</v>
      </c>
      <c r="X257" s="22" t="e">
        <f t="shared" si="15"/>
        <v>#N/A</v>
      </c>
      <c r="Y257" s="16" t="str">
        <f>IF(ISERROR(VLOOKUP($E257&amp;$F257,Results!$A$2:$G$413,Y$1,FALSE)),"",VLOOKUP($E257&amp;$F257,Results!$A$2:$G$413,Y$1,FALSE))</f>
        <v/>
      </c>
      <c r="Z257" s="16" t="str">
        <f>IF(ISERROR(VLOOKUP($E257&amp;$F257,Results!$A$2:$G$413,Z$1,FALSE)),"",VLOOKUP($E257&amp;$F257,Results!$A$2:$G$413,Z$1,FALSE))</f>
        <v/>
      </c>
      <c r="AA257" s="16" t="str">
        <f>IF(ISERROR(VLOOKUP($E257&amp;$F257,Results!$A$2:$G$413,AA$1,FALSE)),"",VLOOKUP($E257&amp;$F257,Results!$A$2:$G$413,AA$1,FALSE))</f>
        <v/>
      </c>
      <c r="AB257" s="16" t="str">
        <f>IF(ISERROR(VLOOKUP($E257&amp;$F257,Results!$A$2:$G$413,AB$1,FALSE)),"",VLOOKUP($E257&amp;$F257,Results!$A$2:$G$413,AB$1,FALSE))</f>
        <v/>
      </c>
      <c r="AC257" s="16"/>
      <c r="AD257" s="20" t="str">
        <f>IF(ISERROR(VLOOKUP($AB257&amp;"-"&amp;$F257,Bonuses!$B$1:$G$1000,4,FALSE)),"",INT(VLOOKUP($AB257&amp;"-"&amp;$F257,Bonuses!$B$1:$G$1000,4,FALSE)))</f>
        <v/>
      </c>
      <c r="AE257" s="16" t="str">
        <f>IF(ISERROR(VLOOKUP($AB257&amp;"-"&amp;$F257,Bonuses!$B$1:$G$1000,5,FALSE)),"",IF(VLOOKUP($AB257&amp;"-"&amp;$F257,Bonuses!$B$1:$G$1000,5,FALSE)="","",VLOOKUP($AB257&amp;"-"&amp;$F257,Bonuses!$B$1:$G$1000,6,FALSE)&amp;" yrs, "&amp;VLOOKUP($AB257&amp;"-"&amp;$F257,Bonuses!$B$1:$G$1000,5,FALSE)))</f>
        <v/>
      </c>
    </row>
    <row r="258" spans="1:31" s="21" customFormat="1">
      <c r="A258" s="21" t="s">
        <v>442</v>
      </c>
      <c r="B258" s="21">
        <f t="shared" si="12"/>
        <v>1</v>
      </c>
      <c r="C258" s="21" t="str">
        <f t="shared" si="13"/>
        <v>B</v>
      </c>
      <c r="D258" s="17">
        <f>IF($C258="B",VLOOKUP($A258,Bat!$A$4:$BD$2323,D$1,FALSE),VLOOKUP($A258,Pit!$A$4:$AZ$2261,D$2,FALSE))</f>
        <v>13830</v>
      </c>
      <c r="E258" s="16" t="str">
        <f>IF($C258="B",VLOOKUP($A258,Bat!$A$4:$BD$2323,E$1,FALSE),VLOOKUP($A258,Pit!$A$4:$AZ$2261,E$2,FALSE))</f>
        <v>C</v>
      </c>
      <c r="F258" s="16" t="str">
        <f>IF($C258="B",VLOOKUP($A258,Bat!$A$4:$BD$2323,F$1,FALSE),VLOOKUP($A258,Pit!$A$4:$AZ$2261,F$2,FALSE))</f>
        <v>George Gaulton</v>
      </c>
      <c r="G258" s="16">
        <f>IF($C258="B",VLOOKUP($A258,Bat!$A$4:$BD$2323,G$1,FALSE),VLOOKUP($A258,Pit!$A$4:$AZ$2261,G$2,FALSE))</f>
        <v>18</v>
      </c>
      <c r="H258" s="16" t="str">
        <f>IF($C258="B",VLOOKUP($A258,Bat!$A$4:$BD$2323,H$1,FALSE),VLOOKUP($A258,Pit!$A$4:$AZ$2261,H$2,FALSE))</f>
        <v>R</v>
      </c>
      <c r="I258" s="16" t="str">
        <f>IF($C258="B",VLOOKUP($A258,Bat!$A$4:$BD$2323,I$1,FALSE),VLOOKUP($A258,Pit!$A$4:$AZ$2261,I$2,FALSE))</f>
        <v>R</v>
      </c>
      <c r="J258" s="16" t="str">
        <f>IF($C258="B",VLOOKUP($A258,Bat!$A$4:$BD$2323,J$1,FALSE),VLOOKUP($A258,Pit!$A$4:$AZ$2261,J$2,FALSE))</f>
        <v>Normal</v>
      </c>
      <c r="K258" s="17" t="str">
        <f>IF($C258="B",VLOOKUP($A258,Bat!$A$4:$BD$2323,K$1,FALSE),VLOOKUP($A258,Pit!$A$4:$AZ$2261,K$2,FALSE))</f>
        <v>High</v>
      </c>
      <c r="L258" s="16">
        <f>IF($C258="B",VLOOKUP($A258,Bat!$A$4:$BD$2323,L$1,FALSE),VLOOKUP($A258,Pit!$A$4:$AZ$2261,L$2,FALSE))</f>
        <v>4</v>
      </c>
      <c r="M258" s="16">
        <f>IF($C258="B",VLOOKUP($A258,Bat!$A$4:$BD$2323,M$1,FALSE),VLOOKUP($A258,Pit!$A$4:$AZ$2261,M$2,FALSE))</f>
        <v>5</v>
      </c>
      <c r="N258" s="16">
        <f>IF($C258="B",VLOOKUP($A258,Bat!$A$4:$BD$2323,N$1,FALSE),VLOOKUP($A258,Pit!$A$4:$AZ$2261,N$2,FALSE))</f>
        <v>3</v>
      </c>
      <c r="O258" s="16">
        <f>IF($C258="B",VLOOKUP($A258,Bat!$A$4:$BD$2323,O$1,FALSE),VLOOKUP($A258,Pit!$A$4:$AZ$2261,O$2,FALSE))</f>
        <v>2</v>
      </c>
      <c r="P258" s="17">
        <f>IF($C258="B",VLOOKUP($A258,Bat!$A$4:$BD$2323,P$1,FALSE),VLOOKUP($A258,Pit!$A$4:$AZ$2261,P$2,FALSE))</f>
        <v>4</v>
      </c>
      <c r="Q258" s="18">
        <f>IF($C258="B",VLOOKUP($A258,Bat!$A$4:$BD$2323,Q$1,FALSE),VLOOKUP($A258,Pit!$A$4:$AZ$2261,Q$2,FALSE))</f>
        <v>3.452908482184049</v>
      </c>
      <c r="R258" s="19">
        <f>IF($C258="B",VLOOKUP($A258,Bat!$A$4:$BD$2323,R$1,FALSE),VLOOKUP($A258,Pit!$A$4:$AZ$2261,R$2,FALSE))</f>
        <v>-1.002139782726682</v>
      </c>
      <c r="S258" s="20" t="str">
        <f>IF($C258="B",VLOOKUP($A258,Bat!$A$4:$BD$2323,S$1,FALSE),VLOOKUP($A258,Pit!$A$4:$AZ$2261,S$2,FALSE))</f>
        <v>Slot</v>
      </c>
      <c r="T258" s="17" t="str">
        <f>IF(S258="Slot","",VLOOKUP(IF($C258="B",VLOOKUP($A258,Bat!$A$4:$AT$2323,T$1,FALSE),VLOOKUP($A258,Pit!$A$4:$BD$2261,T$2,FALSE)),COND!$A$34:$B$40,2,FALSE))</f>
        <v/>
      </c>
      <c r="U258" s="21" t="str">
        <f>IF($C258="B",VLOOKUP($A258,Bat!$A$4:$AR$1287,44,FALSE),VLOOKUP($A258,Pit!$A$4:$BB$1239,54,FALSE))</f>
        <v/>
      </c>
      <c r="W258" s="21" t="str">
        <f t="shared" si="14"/>
        <v/>
      </c>
      <c r="X258" s="22" t="e">
        <f t="shared" si="15"/>
        <v>#N/A</v>
      </c>
      <c r="Y258" s="16" t="str">
        <f>IF(ISERROR(VLOOKUP($E258&amp;$F258,Results!$A$2:$G$413,Y$1,FALSE)),"",VLOOKUP($E258&amp;$F258,Results!$A$2:$G$413,Y$1,FALSE))</f>
        <v/>
      </c>
      <c r="Z258" s="16" t="str">
        <f>IF(ISERROR(VLOOKUP($E258&amp;$F258,Results!$A$2:$G$413,Z$1,FALSE)),"",VLOOKUP($E258&amp;$F258,Results!$A$2:$G$413,Z$1,FALSE))</f>
        <v/>
      </c>
      <c r="AA258" s="16" t="str">
        <f>IF(ISERROR(VLOOKUP($E258&amp;$F258,Results!$A$2:$G$413,AA$1,FALSE)),"",VLOOKUP($E258&amp;$F258,Results!$A$2:$G$413,AA$1,FALSE))</f>
        <v/>
      </c>
      <c r="AB258" s="16" t="str">
        <f>IF(ISERROR(VLOOKUP($E258&amp;$F258,Results!$A$2:$G$413,AB$1,FALSE)),"",VLOOKUP($E258&amp;$F258,Results!$A$2:$G$413,AB$1,FALSE))</f>
        <v/>
      </c>
      <c r="AC258" s="16"/>
      <c r="AD258" s="20" t="str">
        <f>IF(ISERROR(VLOOKUP($AB258&amp;"-"&amp;$F258,Bonuses!$B$1:$G$1000,4,FALSE)),"",INT(VLOOKUP($AB258&amp;"-"&amp;$F258,Bonuses!$B$1:$G$1000,4,FALSE)))</f>
        <v/>
      </c>
      <c r="AE258" s="16" t="str">
        <f>IF(ISERROR(VLOOKUP($AB258&amp;"-"&amp;$F258,Bonuses!$B$1:$G$1000,5,FALSE)),"",IF(VLOOKUP($AB258&amp;"-"&amp;$F258,Bonuses!$B$1:$G$1000,5,FALSE)="","",VLOOKUP($AB258&amp;"-"&amp;$F258,Bonuses!$B$1:$G$1000,6,FALSE)&amp;" yrs, "&amp;VLOOKUP($AB258&amp;"-"&amp;$F258,Bonuses!$B$1:$G$1000,5,FALSE)))</f>
        <v/>
      </c>
    </row>
    <row r="259" spans="1:31" s="21" customFormat="1">
      <c r="A259" s="21" t="s">
        <v>746</v>
      </c>
      <c r="B259" s="21">
        <f t="shared" si="12"/>
        <v>1</v>
      </c>
      <c r="C259" s="21" t="str">
        <f t="shared" si="13"/>
        <v>B</v>
      </c>
      <c r="D259" s="17" t="e">
        <f>IF($C259="B",VLOOKUP($A259,Bat!$A$4:$BD$2323,D$1,FALSE),VLOOKUP($A259,Pit!$A$4:$AZ$2261,D$2,FALSE))</f>
        <v>#N/A</v>
      </c>
      <c r="E259" s="16" t="e">
        <f>IF($C259="B",VLOOKUP($A259,Bat!$A$4:$BD$2323,E$1,FALSE),VLOOKUP($A259,Pit!$A$4:$AZ$2261,E$2,FALSE))</f>
        <v>#N/A</v>
      </c>
      <c r="F259" s="16" t="e">
        <f>IF($C259="B",VLOOKUP($A259,Bat!$A$4:$BD$2323,F$1,FALSE),VLOOKUP($A259,Pit!$A$4:$AZ$2261,F$2,FALSE))</f>
        <v>#N/A</v>
      </c>
      <c r="G259" s="16" t="e">
        <f>IF($C259="B",VLOOKUP($A259,Bat!$A$4:$BD$2323,G$1,FALSE),VLOOKUP($A259,Pit!$A$4:$AZ$2261,G$2,FALSE))</f>
        <v>#N/A</v>
      </c>
      <c r="H259" s="16" t="e">
        <f>IF($C259="B",VLOOKUP($A259,Bat!$A$4:$BD$2323,H$1,FALSE),VLOOKUP($A259,Pit!$A$4:$AZ$2261,H$2,FALSE))</f>
        <v>#N/A</v>
      </c>
      <c r="I259" s="16" t="e">
        <f>IF($C259="B",VLOOKUP($A259,Bat!$A$4:$BD$2323,I$1,FALSE),VLOOKUP($A259,Pit!$A$4:$AZ$2261,I$2,FALSE))</f>
        <v>#N/A</v>
      </c>
      <c r="J259" s="16" t="e">
        <f>IF($C259="B",VLOOKUP($A259,Bat!$A$4:$BD$2323,J$1,FALSE),VLOOKUP($A259,Pit!$A$4:$AZ$2261,J$2,FALSE))</f>
        <v>#N/A</v>
      </c>
      <c r="K259" s="17" t="e">
        <f>IF($C259="B",VLOOKUP($A259,Bat!$A$4:$BD$2323,K$1,FALSE),VLOOKUP($A259,Pit!$A$4:$AZ$2261,K$2,FALSE))</f>
        <v>#N/A</v>
      </c>
      <c r="L259" s="16" t="e">
        <f>IF($C259="B",VLOOKUP($A259,Bat!$A$4:$BD$2323,L$1,FALSE),VLOOKUP($A259,Pit!$A$4:$AZ$2261,L$2,FALSE))</f>
        <v>#N/A</v>
      </c>
      <c r="M259" s="16" t="e">
        <f>IF($C259="B",VLOOKUP($A259,Bat!$A$4:$BD$2323,M$1,FALSE),VLOOKUP($A259,Pit!$A$4:$AZ$2261,M$2,FALSE))</f>
        <v>#N/A</v>
      </c>
      <c r="N259" s="16" t="e">
        <f>IF($C259="B",VLOOKUP($A259,Bat!$A$4:$BD$2323,N$1,FALSE),VLOOKUP($A259,Pit!$A$4:$AZ$2261,N$2,FALSE))</f>
        <v>#N/A</v>
      </c>
      <c r="O259" s="16" t="e">
        <f>IF($C259="B",VLOOKUP($A259,Bat!$A$4:$BD$2323,O$1,FALSE),VLOOKUP($A259,Pit!$A$4:$AZ$2261,O$2,FALSE))</f>
        <v>#N/A</v>
      </c>
      <c r="P259" s="17" t="e">
        <f>IF($C259="B",VLOOKUP($A259,Bat!$A$4:$BD$2323,P$1,FALSE),VLOOKUP($A259,Pit!$A$4:$AZ$2261,P$2,FALSE))</f>
        <v>#N/A</v>
      </c>
      <c r="Q259" s="18" t="e">
        <f>IF($C259="B",VLOOKUP($A259,Bat!$A$4:$BD$2323,Q$1,FALSE),VLOOKUP($A259,Pit!$A$4:$AZ$2261,Q$2,FALSE))</f>
        <v>#N/A</v>
      </c>
      <c r="R259" s="19" t="e">
        <f>IF($C259="B",VLOOKUP($A259,Bat!$A$4:$BD$2323,R$1,FALSE),VLOOKUP($A259,Pit!$A$4:$AZ$2261,R$2,FALSE))</f>
        <v>#N/A</v>
      </c>
      <c r="S259" s="20" t="e">
        <f>IF($C259="B",VLOOKUP($A259,Bat!$A$4:$BD$2323,S$1,FALSE),VLOOKUP($A259,Pit!$A$4:$AZ$2261,S$2,FALSE))</f>
        <v>#N/A</v>
      </c>
      <c r="T259" s="17" t="e">
        <f>IF(S259="Slot","",VLOOKUP(IF($C259="B",VLOOKUP($A259,Bat!$A$4:$AT$2323,T$1,FALSE),VLOOKUP($A259,Pit!$A$4:$BD$2261,T$2,FALSE)),COND!$A$34:$B$40,2,FALSE))</f>
        <v>#N/A</v>
      </c>
      <c r="U259" s="21" t="e">
        <f>IF($C259="B",VLOOKUP($A259,Bat!$A$4:$AR$1287,44,FALSE),VLOOKUP($A259,Pit!$A$4:$BB$1239,54,FALSE))</f>
        <v>#N/A</v>
      </c>
      <c r="W259" s="21" t="e">
        <f t="shared" si="14"/>
        <v>#N/A</v>
      </c>
      <c r="X259" s="22" t="e">
        <f t="shared" si="15"/>
        <v>#N/A</v>
      </c>
      <c r="Y259" s="16" t="str">
        <f>IF(ISERROR(VLOOKUP($E259&amp;$F259,Results!$A$2:$G$413,Y$1,FALSE)),"",VLOOKUP($E259&amp;$F259,Results!$A$2:$G$413,Y$1,FALSE))</f>
        <v/>
      </c>
      <c r="Z259" s="16" t="str">
        <f>IF(ISERROR(VLOOKUP($E259&amp;$F259,Results!$A$2:$G$413,Z$1,FALSE)),"",VLOOKUP($E259&amp;$F259,Results!$A$2:$G$413,Z$1,FALSE))</f>
        <v/>
      </c>
      <c r="AA259" s="16" t="str">
        <f>IF(ISERROR(VLOOKUP($E259&amp;$F259,Results!$A$2:$G$413,AA$1,FALSE)),"",VLOOKUP($E259&amp;$F259,Results!$A$2:$G$413,AA$1,FALSE))</f>
        <v/>
      </c>
      <c r="AB259" s="16" t="str">
        <f>IF(ISERROR(VLOOKUP($E259&amp;$F259,Results!$A$2:$G$413,AB$1,FALSE)),"",VLOOKUP($E259&amp;$F259,Results!$A$2:$G$413,AB$1,FALSE))</f>
        <v/>
      </c>
      <c r="AC259" s="16"/>
      <c r="AD259" s="20" t="str">
        <f>IF(ISERROR(VLOOKUP($AB259&amp;"-"&amp;$F259,Bonuses!$B$1:$G$1000,4,FALSE)),"",INT(VLOOKUP($AB259&amp;"-"&amp;$F259,Bonuses!$B$1:$G$1000,4,FALSE)))</f>
        <v/>
      </c>
      <c r="AE259" s="16" t="str">
        <f>IF(ISERROR(VLOOKUP($AB259&amp;"-"&amp;$F259,Bonuses!$B$1:$G$1000,5,FALSE)),"",IF(VLOOKUP($AB259&amp;"-"&amp;$F259,Bonuses!$B$1:$G$1000,5,FALSE)="","",VLOOKUP($AB259&amp;"-"&amp;$F259,Bonuses!$B$1:$G$1000,6,FALSE)&amp;" yrs, "&amp;VLOOKUP($AB259&amp;"-"&amp;$F259,Bonuses!$B$1:$G$1000,5,FALSE)))</f>
        <v/>
      </c>
    </row>
    <row r="260" spans="1:31" s="21" customFormat="1">
      <c r="A260" s="21" t="s">
        <v>283</v>
      </c>
      <c r="B260" s="21">
        <f t="shared" si="12"/>
        <v>1</v>
      </c>
      <c r="C260" s="21" t="str">
        <f t="shared" si="13"/>
        <v>B</v>
      </c>
      <c r="D260" s="17" t="e">
        <f>IF($C260="B",VLOOKUP($A260,Bat!$A$4:$BD$2323,D$1,FALSE),VLOOKUP($A260,Pit!$A$4:$AZ$2261,D$2,FALSE))</f>
        <v>#N/A</v>
      </c>
      <c r="E260" s="16" t="e">
        <f>IF($C260="B",VLOOKUP($A260,Bat!$A$4:$BD$2323,E$1,FALSE),VLOOKUP($A260,Pit!$A$4:$AZ$2261,E$2,FALSE))</f>
        <v>#N/A</v>
      </c>
      <c r="F260" s="16" t="e">
        <f>IF($C260="B",VLOOKUP($A260,Bat!$A$4:$BD$2323,F$1,FALSE),VLOOKUP($A260,Pit!$A$4:$AZ$2261,F$2,FALSE))</f>
        <v>#N/A</v>
      </c>
      <c r="G260" s="16" t="e">
        <f>IF($C260="B",VLOOKUP($A260,Bat!$A$4:$BD$2323,G$1,FALSE),VLOOKUP($A260,Pit!$A$4:$AZ$2261,G$2,FALSE))</f>
        <v>#N/A</v>
      </c>
      <c r="H260" s="16" t="e">
        <f>IF($C260="B",VLOOKUP($A260,Bat!$A$4:$BD$2323,H$1,FALSE),VLOOKUP($A260,Pit!$A$4:$AZ$2261,H$2,FALSE))</f>
        <v>#N/A</v>
      </c>
      <c r="I260" s="16" t="e">
        <f>IF($C260="B",VLOOKUP($A260,Bat!$A$4:$BD$2323,I$1,FALSE),VLOOKUP($A260,Pit!$A$4:$AZ$2261,I$2,FALSE))</f>
        <v>#N/A</v>
      </c>
      <c r="J260" s="16" t="e">
        <f>IF($C260="B",VLOOKUP($A260,Bat!$A$4:$BD$2323,J$1,FALSE),VLOOKUP($A260,Pit!$A$4:$AZ$2261,J$2,FALSE))</f>
        <v>#N/A</v>
      </c>
      <c r="K260" s="17" t="e">
        <f>IF($C260="B",VLOOKUP($A260,Bat!$A$4:$BD$2323,K$1,FALSE),VLOOKUP($A260,Pit!$A$4:$AZ$2261,K$2,FALSE))</f>
        <v>#N/A</v>
      </c>
      <c r="L260" s="16" t="e">
        <f>IF($C260="B",VLOOKUP($A260,Bat!$A$4:$BD$2323,L$1,FALSE),VLOOKUP($A260,Pit!$A$4:$AZ$2261,L$2,FALSE))</f>
        <v>#N/A</v>
      </c>
      <c r="M260" s="16" t="e">
        <f>IF($C260="B",VLOOKUP($A260,Bat!$A$4:$BD$2323,M$1,FALSE),VLOOKUP($A260,Pit!$A$4:$AZ$2261,M$2,FALSE))</f>
        <v>#N/A</v>
      </c>
      <c r="N260" s="16" t="e">
        <f>IF($C260="B",VLOOKUP($A260,Bat!$A$4:$BD$2323,N$1,FALSE),VLOOKUP($A260,Pit!$A$4:$AZ$2261,N$2,FALSE))</f>
        <v>#N/A</v>
      </c>
      <c r="O260" s="16" t="e">
        <f>IF($C260="B",VLOOKUP($A260,Bat!$A$4:$BD$2323,O$1,FALSE),VLOOKUP($A260,Pit!$A$4:$AZ$2261,O$2,FALSE))</f>
        <v>#N/A</v>
      </c>
      <c r="P260" s="17" t="e">
        <f>IF($C260="B",VLOOKUP($A260,Bat!$A$4:$BD$2323,P$1,FALSE),VLOOKUP($A260,Pit!$A$4:$AZ$2261,P$2,FALSE))</f>
        <v>#N/A</v>
      </c>
      <c r="Q260" s="18" t="e">
        <f>IF($C260="B",VLOOKUP($A260,Bat!$A$4:$BD$2323,Q$1,FALSE),VLOOKUP($A260,Pit!$A$4:$AZ$2261,Q$2,FALSE))</f>
        <v>#N/A</v>
      </c>
      <c r="R260" s="19" t="e">
        <f>IF($C260="B",VLOOKUP($A260,Bat!$A$4:$BD$2323,R$1,FALSE),VLOOKUP($A260,Pit!$A$4:$AZ$2261,R$2,FALSE))</f>
        <v>#N/A</v>
      </c>
      <c r="S260" s="20" t="e">
        <f>IF($C260="B",VLOOKUP($A260,Bat!$A$4:$BD$2323,S$1,FALSE),VLOOKUP($A260,Pit!$A$4:$AZ$2261,S$2,FALSE))</f>
        <v>#N/A</v>
      </c>
      <c r="T260" s="17" t="e">
        <f>IF(S260="Slot","",VLOOKUP(IF($C260="B",VLOOKUP($A260,Bat!$A$4:$AT$2323,T$1,FALSE),VLOOKUP($A260,Pit!$A$4:$BD$2261,T$2,FALSE)),COND!$A$34:$B$40,2,FALSE))</f>
        <v>#N/A</v>
      </c>
      <c r="U260" s="21" t="e">
        <f>IF($C260="B",VLOOKUP($A260,Bat!$A$4:$AR$1287,44,FALSE),VLOOKUP($A260,Pit!$A$4:$BB$1239,54,FALSE))</f>
        <v>#N/A</v>
      </c>
      <c r="W260" s="21" t="e">
        <f t="shared" si="14"/>
        <v>#N/A</v>
      </c>
      <c r="X260" s="22" t="e">
        <f t="shared" si="15"/>
        <v>#N/A</v>
      </c>
      <c r="Y260" s="16" t="str">
        <f>IF(ISERROR(VLOOKUP($E260&amp;$F260,Results!$A$2:$G$413,Y$1,FALSE)),"",VLOOKUP($E260&amp;$F260,Results!$A$2:$G$413,Y$1,FALSE))</f>
        <v/>
      </c>
      <c r="Z260" s="16" t="str">
        <f>IF(ISERROR(VLOOKUP($E260&amp;$F260,Results!$A$2:$G$413,Z$1,FALSE)),"",VLOOKUP($E260&amp;$F260,Results!$A$2:$G$413,Z$1,FALSE))</f>
        <v/>
      </c>
      <c r="AA260" s="16" t="str">
        <f>IF(ISERROR(VLOOKUP($E260&amp;$F260,Results!$A$2:$G$413,AA$1,FALSE)),"",VLOOKUP($E260&amp;$F260,Results!$A$2:$G$413,AA$1,FALSE))</f>
        <v/>
      </c>
      <c r="AB260" s="16" t="str">
        <f>IF(ISERROR(VLOOKUP($E260&amp;$F260,Results!$A$2:$G$413,AB$1,FALSE)),"",VLOOKUP($E260&amp;$F260,Results!$A$2:$G$413,AB$1,FALSE))</f>
        <v/>
      </c>
      <c r="AC260" s="16"/>
      <c r="AD260" s="20" t="str">
        <f>IF(ISERROR(VLOOKUP($AB260&amp;"-"&amp;$F260,Bonuses!$B$1:$G$1000,4,FALSE)),"",INT(VLOOKUP($AB260&amp;"-"&amp;$F260,Bonuses!$B$1:$G$1000,4,FALSE)))</f>
        <v/>
      </c>
      <c r="AE260" s="16" t="str">
        <f>IF(ISERROR(VLOOKUP($AB260&amp;"-"&amp;$F260,Bonuses!$B$1:$G$1000,5,FALSE)),"",IF(VLOOKUP($AB260&amp;"-"&amp;$F260,Bonuses!$B$1:$G$1000,5,FALSE)="","",VLOOKUP($AB260&amp;"-"&amp;$F260,Bonuses!$B$1:$G$1000,6,FALSE)&amp;" yrs, "&amp;VLOOKUP($AB260&amp;"-"&amp;$F260,Bonuses!$B$1:$G$1000,5,FALSE)))</f>
        <v/>
      </c>
    </row>
    <row r="261" spans="1:31" s="21" customFormat="1">
      <c r="A261" s="21" t="s">
        <v>742</v>
      </c>
      <c r="B261" s="21">
        <f t="shared" ref="B261:B324" si="16">COUNTIF($A$5:$A$598,A261)</f>
        <v>1</v>
      </c>
      <c r="C261" s="21" t="str">
        <f t="shared" ref="C261:C324" si="17">IF(OR(MID(A261,1,2)="SP",MID(A261,1,2)="MR",MID(A261,1,2)="CL",MID(A261,1,2)="RP"),"P","B")</f>
        <v>B</v>
      </c>
      <c r="D261" s="17">
        <f>IF($C261="B",VLOOKUP($A261,Bat!$A$4:$BD$2323,D$1,FALSE),VLOOKUP($A261,Pit!$A$4:$AZ$2261,D$2,FALSE))</f>
        <v>13846</v>
      </c>
      <c r="E261" s="16" t="str">
        <f>IF($C261="B",VLOOKUP($A261,Bat!$A$4:$BD$2323,E$1,FALSE),VLOOKUP($A261,Pit!$A$4:$AZ$2261,E$2,FALSE))</f>
        <v>2B</v>
      </c>
      <c r="F261" s="16" t="str">
        <f>IF($C261="B",VLOOKUP($A261,Bat!$A$4:$BD$2323,F$1,FALSE),VLOOKUP($A261,Pit!$A$4:$AZ$2261,F$2,FALSE))</f>
        <v>Eduardo Murillo</v>
      </c>
      <c r="G261" s="16">
        <f>IF($C261="B",VLOOKUP($A261,Bat!$A$4:$BD$2323,G$1,FALSE),VLOOKUP($A261,Pit!$A$4:$AZ$2261,G$2,FALSE))</f>
        <v>18</v>
      </c>
      <c r="H261" s="16" t="str">
        <f>IF($C261="B",VLOOKUP($A261,Bat!$A$4:$BD$2323,H$1,FALSE),VLOOKUP($A261,Pit!$A$4:$AZ$2261,H$2,FALSE))</f>
        <v>R</v>
      </c>
      <c r="I261" s="16" t="str">
        <f>IF($C261="B",VLOOKUP($A261,Bat!$A$4:$BD$2323,I$1,FALSE),VLOOKUP($A261,Pit!$A$4:$AZ$2261,I$2,FALSE))</f>
        <v>R</v>
      </c>
      <c r="J261" s="16" t="str">
        <f>IF($C261="B",VLOOKUP($A261,Bat!$A$4:$BD$2323,J$1,FALSE),VLOOKUP($A261,Pit!$A$4:$AZ$2261,J$2,FALSE))</f>
        <v>Normal</v>
      </c>
      <c r="K261" s="17" t="str">
        <f>IF($C261="B",VLOOKUP($A261,Bat!$A$4:$BD$2323,K$1,FALSE),VLOOKUP($A261,Pit!$A$4:$AZ$2261,K$2,FALSE))</f>
        <v>High</v>
      </c>
      <c r="L261" s="16">
        <f>IF($C261="B",VLOOKUP($A261,Bat!$A$4:$BD$2323,L$1,FALSE),VLOOKUP($A261,Pit!$A$4:$AZ$2261,L$2,FALSE))</f>
        <v>4</v>
      </c>
      <c r="M261" s="16">
        <f>IF($C261="B",VLOOKUP($A261,Bat!$A$4:$BD$2323,M$1,FALSE),VLOOKUP($A261,Pit!$A$4:$AZ$2261,M$2,FALSE))</f>
        <v>5</v>
      </c>
      <c r="N261" s="16">
        <f>IF($C261="B",VLOOKUP($A261,Bat!$A$4:$BD$2323,N$1,FALSE),VLOOKUP($A261,Pit!$A$4:$AZ$2261,N$2,FALSE))</f>
        <v>2</v>
      </c>
      <c r="O261" s="16">
        <f>IF($C261="B",VLOOKUP($A261,Bat!$A$4:$BD$2323,O$1,FALSE),VLOOKUP($A261,Pit!$A$4:$AZ$2261,O$2,FALSE))</f>
        <v>2</v>
      </c>
      <c r="P261" s="17">
        <f>IF($C261="B",VLOOKUP($A261,Bat!$A$4:$BD$2323,P$1,FALSE),VLOOKUP($A261,Pit!$A$4:$AZ$2261,P$2,FALSE))</f>
        <v>4</v>
      </c>
      <c r="Q261" s="18">
        <f>IF($C261="B",VLOOKUP($A261,Bat!$A$4:$BD$2323,Q$1,FALSE),VLOOKUP($A261,Pit!$A$4:$AZ$2261,Q$2,FALSE))</f>
        <v>3.1279432085257683</v>
      </c>
      <c r="R261" s="19">
        <f>IF($C261="B",VLOOKUP($A261,Bat!$A$4:$BD$2323,R$1,FALSE),VLOOKUP($A261,Pit!$A$4:$AZ$2261,R$2,FALSE))</f>
        <v>-1.047285145605106</v>
      </c>
      <c r="S261" s="20" t="str">
        <f>IF($C261="B",VLOOKUP($A261,Bat!$A$4:$BD$2323,S$1,FALSE),VLOOKUP($A261,Pit!$A$4:$AZ$2261,S$2,FALSE))</f>
        <v>Slot</v>
      </c>
      <c r="T261" s="17" t="str">
        <f>IF(S261="Slot","",VLOOKUP(IF($C261="B",VLOOKUP($A261,Bat!$A$4:$AT$2323,T$1,FALSE),VLOOKUP($A261,Pit!$A$4:$BD$2261,T$2,FALSE)),COND!$A$34:$B$40,2,FALSE))</f>
        <v/>
      </c>
      <c r="U261" s="21" t="str">
        <f>IF($C261="B",VLOOKUP($A261,Bat!$A$4:$AR$1287,44,FALSE),VLOOKUP($A261,Pit!$A$4:$BB$1239,54,FALSE))</f>
        <v/>
      </c>
      <c r="W261" s="21" t="str">
        <f t="shared" ref="W261:W324" si="18">IF(OR(U261=999,AND(S261&gt;$S$3,S261&lt;&gt;"Slot")),"",U261)</f>
        <v/>
      </c>
      <c r="X261" s="22" t="e">
        <f t="shared" ref="X261:X324" si="19">RANK(R261,$R$5:$R$1469)</f>
        <v>#N/A</v>
      </c>
      <c r="Y261" s="16" t="str">
        <f>IF(ISERROR(VLOOKUP($E261&amp;$F261,Results!$A$2:$G$413,Y$1,FALSE)),"",VLOOKUP($E261&amp;$F261,Results!$A$2:$G$413,Y$1,FALSE))</f>
        <v/>
      </c>
      <c r="Z261" s="16" t="str">
        <f>IF(ISERROR(VLOOKUP($E261&amp;$F261,Results!$A$2:$G$413,Z$1,FALSE)),"",VLOOKUP($E261&amp;$F261,Results!$A$2:$G$413,Z$1,FALSE))</f>
        <v/>
      </c>
      <c r="AA261" s="16" t="str">
        <f>IF(ISERROR(VLOOKUP($E261&amp;$F261,Results!$A$2:$G$413,AA$1,FALSE)),"",VLOOKUP($E261&amp;$F261,Results!$A$2:$G$413,AA$1,FALSE))</f>
        <v/>
      </c>
      <c r="AB261" s="16" t="str">
        <f>IF(ISERROR(VLOOKUP($E261&amp;$F261,Results!$A$2:$G$413,AB$1,FALSE)),"",VLOOKUP($E261&amp;$F261,Results!$A$2:$G$413,AB$1,FALSE))</f>
        <v/>
      </c>
      <c r="AC261" s="16"/>
      <c r="AD261" s="20" t="str">
        <f>IF(ISERROR(VLOOKUP($AB261&amp;"-"&amp;$F261,Bonuses!$B$1:$G$1000,4,FALSE)),"",INT(VLOOKUP($AB261&amp;"-"&amp;$F261,Bonuses!$B$1:$G$1000,4,FALSE)))</f>
        <v/>
      </c>
      <c r="AE261" s="16" t="str">
        <f>IF(ISERROR(VLOOKUP($AB261&amp;"-"&amp;$F261,Bonuses!$B$1:$G$1000,5,FALSE)),"",IF(VLOOKUP($AB261&amp;"-"&amp;$F261,Bonuses!$B$1:$G$1000,5,FALSE)="","",VLOOKUP($AB261&amp;"-"&amp;$F261,Bonuses!$B$1:$G$1000,6,FALSE)&amp;" yrs, "&amp;VLOOKUP($AB261&amp;"-"&amp;$F261,Bonuses!$B$1:$G$1000,5,FALSE)))</f>
        <v/>
      </c>
    </row>
    <row r="262" spans="1:31" s="21" customFormat="1">
      <c r="A262" s="21" t="s">
        <v>744</v>
      </c>
      <c r="B262" s="21">
        <f t="shared" si="16"/>
        <v>1</v>
      </c>
      <c r="C262" s="21" t="str">
        <f t="shared" si="17"/>
        <v>B</v>
      </c>
      <c r="D262" s="17" t="e">
        <f>IF($C262="B",VLOOKUP($A262,Bat!$A$4:$BD$2323,D$1,FALSE),VLOOKUP($A262,Pit!$A$4:$AZ$2261,D$2,FALSE))</f>
        <v>#N/A</v>
      </c>
      <c r="E262" s="16" t="e">
        <f>IF($C262="B",VLOOKUP($A262,Bat!$A$4:$BD$2323,E$1,FALSE),VLOOKUP($A262,Pit!$A$4:$AZ$2261,E$2,FALSE))</f>
        <v>#N/A</v>
      </c>
      <c r="F262" s="16" t="e">
        <f>IF($C262="B",VLOOKUP($A262,Bat!$A$4:$BD$2323,F$1,FALSE),VLOOKUP($A262,Pit!$A$4:$AZ$2261,F$2,FALSE))</f>
        <v>#N/A</v>
      </c>
      <c r="G262" s="16" t="e">
        <f>IF($C262="B",VLOOKUP($A262,Bat!$A$4:$BD$2323,G$1,FALSE),VLOOKUP($A262,Pit!$A$4:$AZ$2261,G$2,FALSE))</f>
        <v>#N/A</v>
      </c>
      <c r="H262" s="16" t="e">
        <f>IF($C262="B",VLOOKUP($A262,Bat!$A$4:$BD$2323,H$1,FALSE),VLOOKUP($A262,Pit!$A$4:$AZ$2261,H$2,FALSE))</f>
        <v>#N/A</v>
      </c>
      <c r="I262" s="16" t="e">
        <f>IF($C262="B",VLOOKUP($A262,Bat!$A$4:$BD$2323,I$1,FALSE),VLOOKUP($A262,Pit!$A$4:$AZ$2261,I$2,FALSE))</f>
        <v>#N/A</v>
      </c>
      <c r="J262" s="16" t="e">
        <f>IF($C262="B",VLOOKUP($A262,Bat!$A$4:$BD$2323,J$1,FALSE),VLOOKUP($A262,Pit!$A$4:$AZ$2261,J$2,FALSE))</f>
        <v>#N/A</v>
      </c>
      <c r="K262" s="17" t="e">
        <f>IF($C262="B",VLOOKUP($A262,Bat!$A$4:$BD$2323,K$1,FALSE),VLOOKUP($A262,Pit!$A$4:$AZ$2261,K$2,FALSE))</f>
        <v>#N/A</v>
      </c>
      <c r="L262" s="16" t="e">
        <f>IF($C262="B",VLOOKUP($A262,Bat!$A$4:$BD$2323,L$1,FALSE),VLOOKUP($A262,Pit!$A$4:$AZ$2261,L$2,FALSE))</f>
        <v>#N/A</v>
      </c>
      <c r="M262" s="16" t="e">
        <f>IF($C262="B",VLOOKUP($A262,Bat!$A$4:$BD$2323,M$1,FALSE),VLOOKUP($A262,Pit!$A$4:$AZ$2261,M$2,FALSE))</f>
        <v>#N/A</v>
      </c>
      <c r="N262" s="16" t="e">
        <f>IF($C262="B",VLOOKUP($A262,Bat!$A$4:$BD$2323,N$1,FALSE),VLOOKUP($A262,Pit!$A$4:$AZ$2261,N$2,FALSE))</f>
        <v>#N/A</v>
      </c>
      <c r="O262" s="16" t="e">
        <f>IF($C262="B",VLOOKUP($A262,Bat!$A$4:$BD$2323,O$1,FALSE),VLOOKUP($A262,Pit!$A$4:$AZ$2261,O$2,FALSE))</f>
        <v>#N/A</v>
      </c>
      <c r="P262" s="17" t="e">
        <f>IF($C262="B",VLOOKUP($A262,Bat!$A$4:$BD$2323,P$1,FALSE),VLOOKUP($A262,Pit!$A$4:$AZ$2261,P$2,FALSE))</f>
        <v>#N/A</v>
      </c>
      <c r="Q262" s="18" t="e">
        <f>IF($C262="B",VLOOKUP($A262,Bat!$A$4:$BD$2323,Q$1,FALSE),VLOOKUP($A262,Pit!$A$4:$AZ$2261,Q$2,FALSE))</f>
        <v>#N/A</v>
      </c>
      <c r="R262" s="19" t="e">
        <f>IF($C262="B",VLOOKUP($A262,Bat!$A$4:$BD$2323,R$1,FALSE),VLOOKUP($A262,Pit!$A$4:$AZ$2261,R$2,FALSE))</f>
        <v>#N/A</v>
      </c>
      <c r="S262" s="20" t="e">
        <f>IF($C262="B",VLOOKUP($A262,Bat!$A$4:$BD$2323,S$1,FALSE),VLOOKUP($A262,Pit!$A$4:$AZ$2261,S$2,FALSE))</f>
        <v>#N/A</v>
      </c>
      <c r="T262" s="17" t="e">
        <f>IF(S262="Slot","",VLOOKUP(IF($C262="B",VLOOKUP($A262,Bat!$A$4:$AT$2323,T$1,FALSE),VLOOKUP($A262,Pit!$A$4:$BD$2261,T$2,FALSE)),COND!$A$34:$B$40,2,FALSE))</f>
        <v>#N/A</v>
      </c>
      <c r="U262" s="21" t="e">
        <f>IF($C262="B",VLOOKUP($A262,Bat!$A$4:$AR$1287,44,FALSE),VLOOKUP($A262,Pit!$A$4:$BB$1239,54,FALSE))</f>
        <v>#N/A</v>
      </c>
      <c r="W262" s="21" t="e">
        <f t="shared" si="18"/>
        <v>#N/A</v>
      </c>
      <c r="X262" s="22" t="e">
        <f t="shared" si="19"/>
        <v>#N/A</v>
      </c>
      <c r="Y262" s="16" t="str">
        <f>IF(ISERROR(VLOOKUP($E262&amp;$F262,Results!$A$2:$G$413,Y$1,FALSE)),"",VLOOKUP($E262&amp;$F262,Results!$A$2:$G$413,Y$1,FALSE))</f>
        <v/>
      </c>
      <c r="Z262" s="16" t="str">
        <f>IF(ISERROR(VLOOKUP($E262&amp;$F262,Results!$A$2:$G$413,Z$1,FALSE)),"",VLOOKUP($E262&amp;$F262,Results!$A$2:$G$413,Z$1,FALSE))</f>
        <v/>
      </c>
      <c r="AA262" s="16" t="str">
        <f>IF(ISERROR(VLOOKUP($E262&amp;$F262,Results!$A$2:$G$413,AA$1,FALSE)),"",VLOOKUP($E262&amp;$F262,Results!$A$2:$G$413,AA$1,FALSE))</f>
        <v/>
      </c>
      <c r="AB262" s="16" t="str">
        <f>IF(ISERROR(VLOOKUP($E262&amp;$F262,Results!$A$2:$G$413,AB$1,FALSE)),"",VLOOKUP($E262&amp;$F262,Results!$A$2:$G$413,AB$1,FALSE))</f>
        <v/>
      </c>
      <c r="AC262" s="16"/>
      <c r="AD262" s="20" t="str">
        <f>IF(ISERROR(VLOOKUP($AB262&amp;"-"&amp;$F262,Bonuses!$B$1:$G$1000,4,FALSE)),"",INT(VLOOKUP($AB262&amp;"-"&amp;$F262,Bonuses!$B$1:$G$1000,4,FALSE)))</f>
        <v/>
      </c>
      <c r="AE262" s="16" t="str">
        <f>IF(ISERROR(VLOOKUP($AB262&amp;"-"&amp;$F262,Bonuses!$B$1:$G$1000,5,FALSE)),"",IF(VLOOKUP($AB262&amp;"-"&amp;$F262,Bonuses!$B$1:$G$1000,5,FALSE)="","",VLOOKUP($AB262&amp;"-"&amp;$F262,Bonuses!$B$1:$G$1000,6,FALSE)&amp;" yrs, "&amp;VLOOKUP($AB262&amp;"-"&amp;$F262,Bonuses!$B$1:$G$1000,5,FALSE)))</f>
        <v/>
      </c>
    </row>
    <row r="263" spans="1:31" s="21" customFormat="1">
      <c r="A263" s="21" t="s">
        <v>263</v>
      </c>
      <c r="B263" s="21">
        <f t="shared" si="16"/>
        <v>1</v>
      </c>
      <c r="C263" s="21" t="str">
        <f t="shared" si="17"/>
        <v>B</v>
      </c>
      <c r="D263" s="17" t="e">
        <f>IF($C263="B",VLOOKUP($A263,Bat!$A$4:$BD$2323,D$1,FALSE),VLOOKUP($A263,Pit!$A$4:$AZ$2261,D$2,FALSE))</f>
        <v>#N/A</v>
      </c>
      <c r="E263" s="16" t="e">
        <f>IF($C263="B",VLOOKUP($A263,Bat!$A$4:$BD$2323,E$1,FALSE),VLOOKUP($A263,Pit!$A$4:$AZ$2261,E$2,FALSE))</f>
        <v>#N/A</v>
      </c>
      <c r="F263" s="16" t="e">
        <f>IF($C263="B",VLOOKUP($A263,Bat!$A$4:$BD$2323,F$1,FALSE),VLOOKUP($A263,Pit!$A$4:$AZ$2261,F$2,FALSE))</f>
        <v>#N/A</v>
      </c>
      <c r="G263" s="16" t="e">
        <f>IF($C263="B",VLOOKUP($A263,Bat!$A$4:$BD$2323,G$1,FALSE),VLOOKUP($A263,Pit!$A$4:$AZ$2261,G$2,FALSE))</f>
        <v>#N/A</v>
      </c>
      <c r="H263" s="16" t="e">
        <f>IF($C263="B",VLOOKUP($A263,Bat!$A$4:$BD$2323,H$1,FALSE),VLOOKUP($A263,Pit!$A$4:$AZ$2261,H$2,FALSE))</f>
        <v>#N/A</v>
      </c>
      <c r="I263" s="16" t="e">
        <f>IF($C263="B",VLOOKUP($A263,Bat!$A$4:$BD$2323,I$1,FALSE),VLOOKUP($A263,Pit!$A$4:$AZ$2261,I$2,FALSE))</f>
        <v>#N/A</v>
      </c>
      <c r="J263" s="16" t="e">
        <f>IF($C263="B",VLOOKUP($A263,Bat!$A$4:$BD$2323,J$1,FALSE),VLOOKUP($A263,Pit!$A$4:$AZ$2261,J$2,FALSE))</f>
        <v>#N/A</v>
      </c>
      <c r="K263" s="17" t="e">
        <f>IF($C263="B",VLOOKUP($A263,Bat!$A$4:$BD$2323,K$1,FALSE),VLOOKUP($A263,Pit!$A$4:$AZ$2261,K$2,FALSE))</f>
        <v>#N/A</v>
      </c>
      <c r="L263" s="16" t="e">
        <f>IF($C263="B",VLOOKUP($A263,Bat!$A$4:$BD$2323,L$1,FALSE),VLOOKUP($A263,Pit!$A$4:$AZ$2261,L$2,FALSE))</f>
        <v>#N/A</v>
      </c>
      <c r="M263" s="16" t="e">
        <f>IF($C263="B",VLOOKUP($A263,Bat!$A$4:$BD$2323,M$1,FALSE),VLOOKUP($A263,Pit!$A$4:$AZ$2261,M$2,FALSE))</f>
        <v>#N/A</v>
      </c>
      <c r="N263" s="16" t="e">
        <f>IF($C263="B",VLOOKUP($A263,Bat!$A$4:$BD$2323,N$1,FALSE),VLOOKUP($A263,Pit!$A$4:$AZ$2261,N$2,FALSE))</f>
        <v>#N/A</v>
      </c>
      <c r="O263" s="16" t="e">
        <f>IF($C263="B",VLOOKUP($A263,Bat!$A$4:$BD$2323,O$1,FALSE),VLOOKUP($A263,Pit!$A$4:$AZ$2261,O$2,FALSE))</f>
        <v>#N/A</v>
      </c>
      <c r="P263" s="17" t="e">
        <f>IF($C263="B",VLOOKUP($A263,Bat!$A$4:$BD$2323,P$1,FALSE),VLOOKUP($A263,Pit!$A$4:$AZ$2261,P$2,FALSE))</f>
        <v>#N/A</v>
      </c>
      <c r="Q263" s="18" t="e">
        <f>IF($C263="B",VLOOKUP($A263,Bat!$A$4:$BD$2323,Q$1,FALSE),VLOOKUP($A263,Pit!$A$4:$AZ$2261,Q$2,FALSE))</f>
        <v>#N/A</v>
      </c>
      <c r="R263" s="19" t="e">
        <f>IF($C263="B",VLOOKUP($A263,Bat!$A$4:$BD$2323,R$1,FALSE),VLOOKUP($A263,Pit!$A$4:$AZ$2261,R$2,FALSE))</f>
        <v>#N/A</v>
      </c>
      <c r="S263" s="20" t="e">
        <f>IF($C263="B",VLOOKUP($A263,Bat!$A$4:$BD$2323,S$1,FALSE),VLOOKUP($A263,Pit!$A$4:$AZ$2261,S$2,FALSE))</f>
        <v>#N/A</v>
      </c>
      <c r="T263" s="17" t="e">
        <f>IF(S263="Slot","",VLOOKUP(IF($C263="B",VLOOKUP($A263,Bat!$A$4:$AT$2323,T$1,FALSE),VLOOKUP($A263,Pit!$A$4:$BD$2261,T$2,FALSE)),COND!$A$34:$B$40,2,FALSE))</f>
        <v>#N/A</v>
      </c>
      <c r="U263" s="21" t="e">
        <f>IF($C263="B",VLOOKUP($A263,Bat!$A$4:$AR$1287,44,FALSE),VLOOKUP($A263,Pit!$A$4:$BB$1239,54,FALSE))</f>
        <v>#N/A</v>
      </c>
      <c r="W263" s="21" t="e">
        <f t="shared" si="18"/>
        <v>#N/A</v>
      </c>
      <c r="X263" s="22" t="e">
        <f t="shared" si="19"/>
        <v>#N/A</v>
      </c>
      <c r="Y263" s="16" t="str">
        <f>IF(ISERROR(VLOOKUP($E263&amp;$F263,Results!$A$2:$G$413,Y$1,FALSE)),"",VLOOKUP($E263&amp;$F263,Results!$A$2:$G$413,Y$1,FALSE))</f>
        <v/>
      </c>
      <c r="Z263" s="16" t="str">
        <f>IF(ISERROR(VLOOKUP($E263&amp;$F263,Results!$A$2:$G$413,Z$1,FALSE)),"",VLOOKUP($E263&amp;$F263,Results!$A$2:$G$413,Z$1,FALSE))</f>
        <v/>
      </c>
      <c r="AA263" s="16" t="str">
        <f>IF(ISERROR(VLOOKUP($E263&amp;$F263,Results!$A$2:$G$413,AA$1,FALSE)),"",VLOOKUP($E263&amp;$F263,Results!$A$2:$G$413,AA$1,FALSE))</f>
        <v/>
      </c>
      <c r="AB263" s="16" t="str">
        <f>IF(ISERROR(VLOOKUP($E263&amp;$F263,Results!$A$2:$G$413,AB$1,FALSE)),"",VLOOKUP($E263&amp;$F263,Results!$A$2:$G$413,AB$1,FALSE))</f>
        <v/>
      </c>
      <c r="AC263" s="16"/>
      <c r="AD263" s="20" t="str">
        <f>IF(ISERROR(VLOOKUP($AB263&amp;"-"&amp;$F263,Bonuses!$B$1:$G$1000,4,FALSE)),"",INT(VLOOKUP($AB263&amp;"-"&amp;$F263,Bonuses!$B$1:$G$1000,4,FALSE)))</f>
        <v/>
      </c>
      <c r="AE263" s="16" t="str">
        <f>IF(ISERROR(VLOOKUP($AB263&amp;"-"&amp;$F263,Bonuses!$B$1:$G$1000,5,FALSE)),"",IF(VLOOKUP($AB263&amp;"-"&amp;$F263,Bonuses!$B$1:$G$1000,5,FALSE)="","",VLOOKUP($AB263&amp;"-"&amp;$F263,Bonuses!$B$1:$G$1000,6,FALSE)&amp;" yrs, "&amp;VLOOKUP($AB263&amp;"-"&amp;$F263,Bonuses!$B$1:$G$1000,5,FALSE)))</f>
        <v/>
      </c>
    </row>
    <row r="264" spans="1:31" s="21" customFormat="1">
      <c r="A264" s="21" t="s">
        <v>284</v>
      </c>
      <c r="B264" s="21">
        <f t="shared" si="16"/>
        <v>1</v>
      </c>
      <c r="C264" s="21" t="str">
        <f t="shared" si="17"/>
        <v>B</v>
      </c>
      <c r="D264" s="17" t="e">
        <f>IF($C264="B",VLOOKUP($A264,Bat!$A$4:$BD$2323,D$1,FALSE),VLOOKUP($A264,Pit!$A$4:$AZ$2261,D$2,FALSE))</f>
        <v>#N/A</v>
      </c>
      <c r="E264" s="16" t="str">
        <f>IF($C264="B",VLOOKUP($A264,Bat!$A$4:$BD$2323,E$1,FALSE),VLOOKUP($A264,Pit!$A$4:$AZ$2261,E$2,FALSE))</f>
        <v>3B</v>
      </c>
      <c r="F264" s="16" t="str">
        <f>IF($C264="B",VLOOKUP($A264,Bat!$A$4:$BD$2323,F$1,FALSE),VLOOKUP($A264,Pit!$A$4:$AZ$2261,F$2,FALSE))</f>
        <v>Ramón Díaz</v>
      </c>
      <c r="G264" s="16">
        <f>IF($C264="B",VLOOKUP($A264,Bat!$A$4:$BD$2323,G$1,FALSE),VLOOKUP($A264,Pit!$A$4:$AZ$2261,G$2,FALSE))</f>
        <v>18</v>
      </c>
      <c r="H264" s="16" t="str">
        <f>IF($C264="B",VLOOKUP($A264,Bat!$A$4:$BD$2323,H$1,FALSE),VLOOKUP($A264,Pit!$A$4:$AZ$2261,H$2,FALSE))</f>
        <v>R</v>
      </c>
      <c r="I264" s="16" t="str">
        <f>IF($C264="B",VLOOKUP($A264,Bat!$A$4:$BD$2323,I$1,FALSE),VLOOKUP($A264,Pit!$A$4:$AZ$2261,I$2,FALSE))</f>
        <v>R</v>
      </c>
      <c r="J264" s="16" t="str">
        <f>IF($C264="B",VLOOKUP($A264,Bat!$A$4:$BD$2323,J$1,FALSE),VLOOKUP($A264,Pit!$A$4:$AZ$2261,J$2,FALSE))</f>
        <v>Very High</v>
      </c>
      <c r="K264" s="17" t="str">
        <f>IF($C264="B",VLOOKUP($A264,Bat!$A$4:$BD$2323,K$1,FALSE),VLOOKUP($A264,Pit!$A$4:$AZ$2261,K$2,FALSE))</f>
        <v>Normal</v>
      </c>
      <c r="L264" s="16">
        <f>IF($C264="B",VLOOKUP($A264,Bat!$A$4:$BD$2323,L$1,FALSE),VLOOKUP($A264,Pit!$A$4:$AZ$2261,L$2,FALSE))</f>
        <v>4</v>
      </c>
      <c r="M264" s="16">
        <f>IF($C264="B",VLOOKUP($A264,Bat!$A$4:$BD$2323,M$1,FALSE),VLOOKUP($A264,Pit!$A$4:$AZ$2261,M$2,FALSE))</f>
        <v>4</v>
      </c>
      <c r="N264" s="16">
        <f>IF($C264="B",VLOOKUP($A264,Bat!$A$4:$BD$2323,N$1,FALSE),VLOOKUP($A264,Pit!$A$4:$AZ$2261,N$2,FALSE))</f>
        <v>3</v>
      </c>
      <c r="O264" s="16">
        <f>IF($C264="B",VLOOKUP($A264,Bat!$A$4:$BD$2323,O$1,FALSE),VLOOKUP($A264,Pit!$A$4:$AZ$2261,O$2,FALSE))</f>
        <v>2</v>
      </c>
      <c r="P264" s="17">
        <f>IF($C264="B",VLOOKUP($A264,Bat!$A$4:$BD$2323,P$1,FALSE),VLOOKUP($A264,Pit!$A$4:$AZ$2261,P$2,FALSE))</f>
        <v>4</v>
      </c>
      <c r="Q264" s="18">
        <f>IF($C264="B",VLOOKUP($A264,Bat!$A$4:$BD$2323,Q$1,FALSE),VLOOKUP($A264,Pit!$A$4:$AZ$2261,Q$2,FALSE))</f>
        <v>2.9952959147214777</v>
      </c>
      <c r="R264" s="19">
        <f>IF($C264="B",VLOOKUP($A264,Bat!$A$4:$BD$2323,R$1,FALSE),VLOOKUP($A264,Pit!$A$4:$AZ$2261,R$2,FALSE))</f>
        <v>-1.0657129922061332</v>
      </c>
      <c r="S264" s="20" t="str">
        <f>IF($C264="B",VLOOKUP($A264,Bat!$A$4:$BD$2323,S$1,FALSE),VLOOKUP($A264,Pit!$A$4:$AZ$2261,S$2,FALSE))</f>
        <v>Slot</v>
      </c>
      <c r="T264" s="17" t="str">
        <f>IF(S264="Slot","",VLOOKUP(IF($C264="B",VLOOKUP($A264,Bat!$A$4:$AT$2323,T$1,FALSE),VLOOKUP($A264,Pit!$A$4:$BD$2261,T$2,FALSE)),COND!$A$34:$B$40,2,FALSE))</f>
        <v/>
      </c>
      <c r="U264" s="21" t="str">
        <f>IF($C264="B",VLOOKUP($A264,Bat!$A$4:$AR$1287,44,FALSE),VLOOKUP($A264,Pit!$A$4:$BB$1239,54,FALSE))</f>
        <v/>
      </c>
      <c r="W264" s="21" t="str">
        <f t="shared" si="18"/>
        <v/>
      </c>
      <c r="X264" s="22" t="e">
        <f t="shared" si="19"/>
        <v>#N/A</v>
      </c>
      <c r="Y264" s="16" t="str">
        <f>IF(ISERROR(VLOOKUP($E264&amp;$F264,Results!$A$2:$G$413,Y$1,FALSE)),"",VLOOKUP($E264&amp;$F264,Results!$A$2:$G$413,Y$1,FALSE))</f>
        <v/>
      </c>
      <c r="Z264" s="16" t="str">
        <f>IF(ISERROR(VLOOKUP($E264&amp;$F264,Results!$A$2:$G$413,Z$1,FALSE)),"",VLOOKUP($E264&amp;$F264,Results!$A$2:$G$413,Z$1,FALSE))</f>
        <v/>
      </c>
      <c r="AA264" s="16" t="str">
        <f>IF(ISERROR(VLOOKUP($E264&amp;$F264,Results!$A$2:$G$413,AA$1,FALSE)),"",VLOOKUP($E264&amp;$F264,Results!$A$2:$G$413,AA$1,FALSE))</f>
        <v/>
      </c>
      <c r="AB264" s="16" t="str">
        <f>IF(ISERROR(VLOOKUP($E264&amp;$F264,Results!$A$2:$G$413,AB$1,FALSE)),"",VLOOKUP($E264&amp;$F264,Results!$A$2:$G$413,AB$1,FALSE))</f>
        <v/>
      </c>
      <c r="AC264" s="16"/>
      <c r="AD264" s="20" t="str">
        <f>IF(ISERROR(VLOOKUP($AB264&amp;"-"&amp;$F264,Bonuses!$B$1:$G$1000,4,FALSE)),"",INT(VLOOKUP($AB264&amp;"-"&amp;$F264,Bonuses!$B$1:$G$1000,4,FALSE)))</f>
        <v/>
      </c>
      <c r="AE264" s="16" t="str">
        <f>IF(ISERROR(VLOOKUP($AB264&amp;"-"&amp;$F264,Bonuses!$B$1:$G$1000,5,FALSE)),"",IF(VLOOKUP($AB264&amp;"-"&amp;$F264,Bonuses!$B$1:$G$1000,5,FALSE)="","",VLOOKUP($AB264&amp;"-"&amp;$F264,Bonuses!$B$1:$G$1000,6,FALSE)&amp;" yrs, "&amp;VLOOKUP($AB264&amp;"-"&amp;$F264,Bonuses!$B$1:$G$1000,5,FALSE)))</f>
        <v/>
      </c>
    </row>
    <row r="265" spans="1:31" s="21" customFormat="1">
      <c r="A265" s="21" t="s">
        <v>741</v>
      </c>
      <c r="B265" s="21">
        <f t="shared" si="16"/>
        <v>1</v>
      </c>
      <c r="C265" s="21" t="str">
        <f t="shared" si="17"/>
        <v>B</v>
      </c>
      <c r="D265" s="17">
        <f>IF($C265="B",VLOOKUP($A265,Bat!$A$4:$BD$2323,D$1,FALSE),VLOOKUP($A265,Pit!$A$4:$AZ$2261,D$2,FALSE))</f>
        <v>270</v>
      </c>
      <c r="E265" s="16" t="str">
        <f>IF($C265="B",VLOOKUP($A265,Bat!$A$4:$BD$2323,E$1,FALSE),VLOOKUP($A265,Pit!$A$4:$AZ$2261,E$2,FALSE))</f>
        <v>RF</v>
      </c>
      <c r="F265" s="16" t="str">
        <f>IF($C265="B",VLOOKUP($A265,Bat!$A$4:$BD$2323,F$1,FALSE),VLOOKUP($A265,Pit!$A$4:$AZ$2261,F$2,FALSE))</f>
        <v>Will Smith</v>
      </c>
      <c r="G265" s="16">
        <f>IF($C265="B",VLOOKUP($A265,Bat!$A$4:$BD$2323,G$1,FALSE),VLOOKUP($A265,Pit!$A$4:$AZ$2261,G$2,FALSE))</f>
        <v>18</v>
      </c>
      <c r="H265" s="16" t="str">
        <f>IF($C265="B",VLOOKUP($A265,Bat!$A$4:$BD$2323,H$1,FALSE),VLOOKUP($A265,Pit!$A$4:$AZ$2261,H$2,FALSE))</f>
        <v>L</v>
      </c>
      <c r="I265" s="16" t="str">
        <f>IF($C265="B",VLOOKUP($A265,Bat!$A$4:$BD$2323,I$1,FALSE),VLOOKUP($A265,Pit!$A$4:$AZ$2261,I$2,FALSE))</f>
        <v>L</v>
      </c>
      <c r="J265" s="16" t="str">
        <f>IF($C265="B",VLOOKUP($A265,Bat!$A$4:$BD$2323,J$1,FALSE),VLOOKUP($A265,Pit!$A$4:$AZ$2261,J$2,FALSE))</f>
        <v>Very High</v>
      </c>
      <c r="K265" s="17" t="str">
        <f>IF($C265="B",VLOOKUP($A265,Bat!$A$4:$BD$2323,K$1,FALSE),VLOOKUP($A265,Pit!$A$4:$AZ$2261,K$2,FALSE))</f>
        <v>Low</v>
      </c>
      <c r="L265" s="16">
        <f>IF($C265="B",VLOOKUP($A265,Bat!$A$4:$BD$2323,L$1,FALSE),VLOOKUP($A265,Pit!$A$4:$AZ$2261,L$2,FALSE))</f>
        <v>4</v>
      </c>
      <c r="M265" s="16">
        <f>IF($C265="B",VLOOKUP($A265,Bat!$A$4:$BD$2323,M$1,FALSE),VLOOKUP($A265,Pit!$A$4:$AZ$2261,M$2,FALSE))</f>
        <v>4</v>
      </c>
      <c r="N265" s="16">
        <f>IF($C265="B",VLOOKUP($A265,Bat!$A$4:$BD$2323,N$1,FALSE),VLOOKUP($A265,Pit!$A$4:$AZ$2261,N$2,FALSE))</f>
        <v>1</v>
      </c>
      <c r="O265" s="16">
        <f>IF($C265="B",VLOOKUP($A265,Bat!$A$4:$BD$2323,O$1,FALSE),VLOOKUP($A265,Pit!$A$4:$AZ$2261,O$2,FALSE))</f>
        <v>3</v>
      </c>
      <c r="P265" s="17">
        <f>IF($C265="B",VLOOKUP($A265,Bat!$A$4:$BD$2323,P$1,FALSE),VLOOKUP($A265,Pit!$A$4:$AZ$2261,P$2,FALSE))</f>
        <v>4</v>
      </c>
      <c r="Q265" s="18">
        <f>IF($C265="B",VLOOKUP($A265,Bat!$A$4:$BD$2323,Q$1,FALSE),VLOOKUP($A265,Pit!$A$4:$AZ$2261,Q$2,FALSE))</f>
        <v>2.9783346582628152</v>
      </c>
      <c r="R265" s="19">
        <f>IF($C265="B",VLOOKUP($A265,Bat!$A$4:$BD$2323,R$1,FALSE),VLOOKUP($A265,Pit!$A$4:$AZ$2261,R$2,FALSE))</f>
        <v>-1.0680693119109443</v>
      </c>
      <c r="S265" s="20" t="str">
        <f>IF($C265="B",VLOOKUP($A265,Bat!$A$4:$BD$2323,S$1,FALSE),VLOOKUP($A265,Pit!$A$4:$AZ$2261,S$2,FALSE))</f>
        <v>Slot</v>
      </c>
      <c r="T265" s="17" t="str">
        <f>IF(S265="Slot","",VLOOKUP(IF($C265="B",VLOOKUP($A265,Bat!$A$4:$AT$2323,T$1,FALSE),VLOOKUP($A265,Pit!$A$4:$BD$2261,T$2,FALSE)),COND!$A$34:$B$40,2,FALSE))</f>
        <v/>
      </c>
      <c r="U265" s="21" t="str">
        <f>IF($C265="B",VLOOKUP($A265,Bat!$A$4:$AR$1287,44,FALSE),VLOOKUP($A265,Pit!$A$4:$BB$1239,54,FALSE))</f>
        <v/>
      </c>
      <c r="W265" s="21" t="str">
        <f t="shared" si="18"/>
        <v/>
      </c>
      <c r="X265" s="22" t="e">
        <f t="shared" si="19"/>
        <v>#N/A</v>
      </c>
      <c r="Y265" s="16" t="str">
        <f>IF(ISERROR(VLOOKUP($E265&amp;$F265,Results!$A$2:$G$413,Y$1,FALSE)),"",VLOOKUP($E265&amp;$F265,Results!$A$2:$G$413,Y$1,FALSE))</f>
        <v/>
      </c>
      <c r="Z265" s="16" t="str">
        <f>IF(ISERROR(VLOOKUP($E265&amp;$F265,Results!$A$2:$G$413,Z$1,FALSE)),"",VLOOKUP($E265&amp;$F265,Results!$A$2:$G$413,Z$1,FALSE))</f>
        <v/>
      </c>
      <c r="AA265" s="16" t="str">
        <f>IF(ISERROR(VLOOKUP($E265&amp;$F265,Results!$A$2:$G$413,AA$1,FALSE)),"",VLOOKUP($E265&amp;$F265,Results!$A$2:$G$413,AA$1,FALSE))</f>
        <v/>
      </c>
      <c r="AB265" s="16" t="str">
        <f>IF(ISERROR(VLOOKUP($E265&amp;$F265,Results!$A$2:$G$413,AB$1,FALSE)),"",VLOOKUP($E265&amp;$F265,Results!$A$2:$G$413,AB$1,FALSE))</f>
        <v/>
      </c>
      <c r="AC265" s="16"/>
      <c r="AD265" s="20" t="str">
        <f>IF(ISERROR(VLOOKUP($AB265&amp;"-"&amp;$F265,Bonuses!$B$1:$G$1000,4,FALSE)),"",INT(VLOOKUP($AB265&amp;"-"&amp;$F265,Bonuses!$B$1:$G$1000,4,FALSE)))</f>
        <v/>
      </c>
      <c r="AE265" s="16" t="str">
        <f>IF(ISERROR(VLOOKUP($AB265&amp;"-"&amp;$F265,Bonuses!$B$1:$G$1000,5,FALSE)),"",IF(VLOOKUP($AB265&amp;"-"&amp;$F265,Bonuses!$B$1:$G$1000,5,FALSE)="","",VLOOKUP($AB265&amp;"-"&amp;$F265,Bonuses!$B$1:$G$1000,6,FALSE)&amp;" yrs, "&amp;VLOOKUP($AB265&amp;"-"&amp;$F265,Bonuses!$B$1:$G$1000,5,FALSE)))</f>
        <v/>
      </c>
    </row>
    <row r="266" spans="1:31" s="21" customFormat="1">
      <c r="A266" s="21" t="s">
        <v>750</v>
      </c>
      <c r="B266" s="21">
        <f t="shared" si="16"/>
        <v>1</v>
      </c>
      <c r="C266" s="21" t="str">
        <f t="shared" si="17"/>
        <v>B</v>
      </c>
      <c r="D266" s="17">
        <f>IF($C266="B",VLOOKUP($A266,Bat!$A$4:$BD$2323,D$1,FALSE),VLOOKUP($A266,Pit!$A$4:$AZ$2261,D$2,FALSE))</f>
        <v>7835</v>
      </c>
      <c r="E266" s="16" t="str">
        <f>IF($C266="B",VLOOKUP($A266,Bat!$A$4:$BD$2323,E$1,FALSE),VLOOKUP($A266,Pit!$A$4:$AZ$2261,E$2,FALSE))</f>
        <v>2B</v>
      </c>
      <c r="F266" s="16" t="str">
        <f>IF($C266="B",VLOOKUP($A266,Bat!$A$4:$BD$2323,F$1,FALSE),VLOOKUP($A266,Pit!$A$4:$AZ$2261,F$2,FALSE))</f>
        <v>Phil Myers</v>
      </c>
      <c r="G266" s="16">
        <f>IF($C266="B",VLOOKUP($A266,Bat!$A$4:$BD$2323,G$1,FALSE),VLOOKUP($A266,Pit!$A$4:$AZ$2261,G$2,FALSE))</f>
        <v>21</v>
      </c>
      <c r="H266" s="16" t="str">
        <f>IF($C266="B",VLOOKUP($A266,Bat!$A$4:$BD$2323,H$1,FALSE),VLOOKUP($A266,Pit!$A$4:$AZ$2261,H$2,FALSE))</f>
        <v>R</v>
      </c>
      <c r="I266" s="16" t="str">
        <f>IF($C266="B",VLOOKUP($A266,Bat!$A$4:$BD$2323,I$1,FALSE),VLOOKUP($A266,Pit!$A$4:$AZ$2261,I$2,FALSE))</f>
        <v>R</v>
      </c>
      <c r="J266" s="16" t="str">
        <f>IF($C266="B",VLOOKUP($A266,Bat!$A$4:$BD$2323,J$1,FALSE),VLOOKUP($A266,Pit!$A$4:$AZ$2261,J$2,FALSE))</f>
        <v>Normal</v>
      </c>
      <c r="K266" s="17" t="str">
        <f>IF($C266="B",VLOOKUP($A266,Bat!$A$4:$BD$2323,K$1,FALSE),VLOOKUP($A266,Pit!$A$4:$AZ$2261,K$2,FALSE))</f>
        <v>Low</v>
      </c>
      <c r="L266" s="16">
        <f>IF($C266="B",VLOOKUP($A266,Bat!$A$4:$BD$2323,L$1,FALSE),VLOOKUP($A266,Pit!$A$4:$AZ$2261,L$2,FALSE))</f>
        <v>4</v>
      </c>
      <c r="M266" s="16">
        <f>IF($C266="B",VLOOKUP($A266,Bat!$A$4:$BD$2323,M$1,FALSE),VLOOKUP($A266,Pit!$A$4:$AZ$2261,M$2,FALSE))</f>
        <v>6</v>
      </c>
      <c r="N266" s="16">
        <f>IF($C266="B",VLOOKUP($A266,Bat!$A$4:$BD$2323,N$1,FALSE),VLOOKUP($A266,Pit!$A$4:$AZ$2261,N$2,FALSE))</f>
        <v>2</v>
      </c>
      <c r="O266" s="16">
        <f>IF($C266="B",VLOOKUP($A266,Bat!$A$4:$BD$2323,O$1,FALSE),VLOOKUP($A266,Pit!$A$4:$AZ$2261,O$2,FALSE))</f>
        <v>2</v>
      </c>
      <c r="P266" s="17">
        <f>IF($C266="B",VLOOKUP($A266,Bat!$A$4:$BD$2323,P$1,FALSE),VLOOKUP($A266,Pit!$A$4:$AZ$2261,P$2,FALSE))</f>
        <v>4</v>
      </c>
      <c r="Q266" s="18">
        <f>IF($C266="B",VLOOKUP($A266,Bat!$A$4:$BD$2323,Q$1,FALSE),VLOOKUP($A266,Pit!$A$4:$AZ$2261,Q$2,FALSE))</f>
        <v>2.952719874429528</v>
      </c>
      <c r="R266" s="19">
        <f>IF($C266="B",VLOOKUP($A266,Bat!$A$4:$BD$2323,R$1,FALSE),VLOOKUP($A266,Pit!$A$4:$AZ$2261,R$2,FALSE))</f>
        <v>-1.0716278112490063</v>
      </c>
      <c r="S266" s="20" t="str">
        <f>IF($C266="B",VLOOKUP($A266,Bat!$A$4:$BD$2323,S$1,FALSE),VLOOKUP($A266,Pit!$A$4:$AZ$2261,S$2,FALSE))</f>
        <v>Slot</v>
      </c>
      <c r="T266" s="17" t="str">
        <f>IF(S266="Slot","",VLOOKUP(IF($C266="B",VLOOKUP($A266,Bat!$A$4:$AT$2323,T$1,FALSE),VLOOKUP($A266,Pit!$A$4:$BD$2261,T$2,FALSE)),COND!$A$34:$B$40,2,FALSE))</f>
        <v/>
      </c>
      <c r="U266" s="21" t="str">
        <f>IF($C266="B",VLOOKUP($A266,Bat!$A$4:$AR$1287,44,FALSE),VLOOKUP($A266,Pit!$A$4:$BB$1239,54,FALSE))</f>
        <v/>
      </c>
      <c r="W266" s="21" t="str">
        <f t="shared" si="18"/>
        <v/>
      </c>
      <c r="X266" s="22" t="e">
        <f t="shared" si="19"/>
        <v>#N/A</v>
      </c>
      <c r="Y266" s="16" t="str">
        <f>IF(ISERROR(VLOOKUP($E266&amp;$F266,Results!$A$2:$G$413,Y$1,FALSE)),"",VLOOKUP($E266&amp;$F266,Results!$A$2:$G$413,Y$1,FALSE))</f>
        <v/>
      </c>
      <c r="Z266" s="16" t="str">
        <f>IF(ISERROR(VLOOKUP($E266&amp;$F266,Results!$A$2:$G$413,Z$1,FALSE)),"",VLOOKUP($E266&amp;$F266,Results!$A$2:$G$413,Z$1,FALSE))</f>
        <v/>
      </c>
      <c r="AA266" s="16" t="str">
        <f>IF(ISERROR(VLOOKUP($E266&amp;$F266,Results!$A$2:$G$413,AA$1,FALSE)),"",VLOOKUP($E266&amp;$F266,Results!$A$2:$G$413,AA$1,FALSE))</f>
        <v/>
      </c>
      <c r="AB266" s="16" t="str">
        <f>IF(ISERROR(VLOOKUP($E266&amp;$F266,Results!$A$2:$G$413,AB$1,FALSE)),"",VLOOKUP($E266&amp;$F266,Results!$A$2:$G$413,AB$1,FALSE))</f>
        <v/>
      </c>
      <c r="AC266" s="16"/>
      <c r="AD266" s="20" t="str">
        <f>IF(ISERROR(VLOOKUP($AB266&amp;"-"&amp;$F266,Bonuses!$B$1:$G$1000,4,FALSE)),"",INT(VLOOKUP($AB266&amp;"-"&amp;$F266,Bonuses!$B$1:$G$1000,4,FALSE)))</f>
        <v/>
      </c>
      <c r="AE266" s="16" t="str">
        <f>IF(ISERROR(VLOOKUP($AB266&amp;"-"&amp;$F266,Bonuses!$B$1:$G$1000,5,FALSE)),"",IF(VLOOKUP($AB266&amp;"-"&amp;$F266,Bonuses!$B$1:$G$1000,5,FALSE)="","",VLOOKUP($AB266&amp;"-"&amp;$F266,Bonuses!$B$1:$G$1000,6,FALSE)&amp;" yrs, "&amp;VLOOKUP($AB266&amp;"-"&amp;$F266,Bonuses!$B$1:$G$1000,5,FALSE)))</f>
        <v/>
      </c>
    </row>
    <row r="267" spans="1:31" s="21" customFormat="1">
      <c r="A267" s="21" t="s">
        <v>755</v>
      </c>
      <c r="B267" s="21">
        <f t="shared" si="16"/>
        <v>1</v>
      </c>
      <c r="C267" s="21" t="str">
        <f t="shared" si="17"/>
        <v>B</v>
      </c>
      <c r="D267" s="17" t="e">
        <f>IF($C267="B",VLOOKUP($A267,Bat!$A$4:$BD$2323,D$1,FALSE),VLOOKUP($A267,Pit!$A$4:$AZ$2261,D$2,FALSE))</f>
        <v>#N/A</v>
      </c>
      <c r="E267" s="16" t="str">
        <f>IF($C267="B",VLOOKUP($A267,Bat!$A$4:$BD$2323,E$1,FALSE),VLOOKUP($A267,Pit!$A$4:$AZ$2261,E$2,FALSE))</f>
        <v>2B</v>
      </c>
      <c r="F267" s="16" t="str">
        <f>IF($C267="B",VLOOKUP($A267,Bat!$A$4:$BD$2323,F$1,FALSE),VLOOKUP($A267,Pit!$A$4:$AZ$2261,F$2,FALSE))</f>
        <v>Edgar Ortíz</v>
      </c>
      <c r="G267" s="16">
        <f>IF($C267="B",VLOOKUP($A267,Bat!$A$4:$BD$2323,G$1,FALSE),VLOOKUP($A267,Pit!$A$4:$AZ$2261,G$2,FALSE))</f>
        <v>21</v>
      </c>
      <c r="H267" s="16" t="str">
        <f>IF($C267="B",VLOOKUP($A267,Bat!$A$4:$BD$2323,H$1,FALSE),VLOOKUP($A267,Pit!$A$4:$AZ$2261,H$2,FALSE))</f>
        <v>R</v>
      </c>
      <c r="I267" s="16" t="str">
        <f>IF($C267="B",VLOOKUP($A267,Bat!$A$4:$BD$2323,I$1,FALSE),VLOOKUP($A267,Pit!$A$4:$AZ$2261,I$2,FALSE))</f>
        <v>R</v>
      </c>
      <c r="J267" s="16" t="str">
        <f>IF($C267="B",VLOOKUP($A267,Bat!$A$4:$BD$2323,J$1,FALSE),VLOOKUP($A267,Pit!$A$4:$AZ$2261,J$2,FALSE))</f>
        <v>Very Low</v>
      </c>
      <c r="K267" s="17" t="str">
        <f>IF($C267="B",VLOOKUP($A267,Bat!$A$4:$BD$2323,K$1,FALSE),VLOOKUP($A267,Pit!$A$4:$AZ$2261,K$2,FALSE))</f>
        <v>Very High</v>
      </c>
      <c r="L267" s="16">
        <f>IF($C267="B",VLOOKUP($A267,Bat!$A$4:$BD$2323,L$1,FALSE),VLOOKUP($A267,Pit!$A$4:$AZ$2261,L$2,FALSE))</f>
        <v>4</v>
      </c>
      <c r="M267" s="16">
        <f>IF($C267="B",VLOOKUP($A267,Bat!$A$4:$BD$2323,M$1,FALSE),VLOOKUP($A267,Pit!$A$4:$AZ$2261,M$2,FALSE))</f>
        <v>2</v>
      </c>
      <c r="N267" s="16">
        <f>IF($C267="B",VLOOKUP($A267,Bat!$A$4:$BD$2323,N$1,FALSE),VLOOKUP($A267,Pit!$A$4:$AZ$2261,N$2,FALSE))</f>
        <v>1</v>
      </c>
      <c r="O267" s="16">
        <f>IF($C267="B",VLOOKUP($A267,Bat!$A$4:$BD$2323,O$1,FALSE),VLOOKUP($A267,Pit!$A$4:$AZ$2261,O$2,FALSE))</f>
        <v>4</v>
      </c>
      <c r="P267" s="17">
        <f>IF($C267="B",VLOOKUP($A267,Bat!$A$4:$BD$2323,P$1,FALSE),VLOOKUP($A267,Pit!$A$4:$AZ$2261,P$2,FALSE))</f>
        <v>4</v>
      </c>
      <c r="Q267" s="18">
        <f>IF($C267="B",VLOOKUP($A267,Bat!$A$4:$BD$2323,Q$1,FALSE),VLOOKUP($A267,Pit!$A$4:$AZ$2261,Q$2,FALSE))</f>
        <v>2.62483781375402</v>
      </c>
      <c r="R267" s="19">
        <f>IF($C267="B",VLOOKUP($A267,Bat!$A$4:$BD$2323,R$1,FALSE),VLOOKUP($A267,Pit!$A$4:$AZ$2261,R$2,FALSE))</f>
        <v>-1.1171783848345604</v>
      </c>
      <c r="S267" s="20" t="str">
        <f>IF($C267="B",VLOOKUP($A267,Bat!$A$4:$BD$2323,S$1,FALSE),VLOOKUP($A267,Pit!$A$4:$AZ$2261,S$2,FALSE))</f>
        <v>Slot</v>
      </c>
      <c r="T267" s="17" t="str">
        <f>IF(S267="Slot","",VLOOKUP(IF($C267="B",VLOOKUP($A267,Bat!$A$4:$AT$2323,T$1,FALSE),VLOOKUP($A267,Pit!$A$4:$BD$2261,T$2,FALSE)),COND!$A$34:$B$40,2,FALSE))</f>
        <v/>
      </c>
      <c r="U267" s="21" t="str">
        <f>IF($C267="B",VLOOKUP($A267,Bat!$A$4:$AR$1287,44,FALSE),VLOOKUP($A267,Pit!$A$4:$BB$1239,54,FALSE))</f>
        <v/>
      </c>
      <c r="W267" s="21" t="str">
        <f t="shared" si="18"/>
        <v/>
      </c>
      <c r="X267" s="22" t="e">
        <f t="shared" si="19"/>
        <v>#N/A</v>
      </c>
      <c r="Y267" s="16" t="str">
        <f>IF(ISERROR(VLOOKUP($E267&amp;$F267,Results!$A$2:$G$413,Y$1,FALSE)),"",VLOOKUP($E267&amp;$F267,Results!$A$2:$G$413,Y$1,FALSE))</f>
        <v/>
      </c>
      <c r="Z267" s="16" t="str">
        <f>IF(ISERROR(VLOOKUP($E267&amp;$F267,Results!$A$2:$G$413,Z$1,FALSE)),"",VLOOKUP($E267&amp;$F267,Results!$A$2:$G$413,Z$1,FALSE))</f>
        <v/>
      </c>
      <c r="AA267" s="16" t="str">
        <f>IF(ISERROR(VLOOKUP($E267&amp;$F267,Results!$A$2:$G$413,AA$1,FALSE)),"",VLOOKUP($E267&amp;$F267,Results!$A$2:$G$413,AA$1,FALSE))</f>
        <v/>
      </c>
      <c r="AB267" s="16" t="str">
        <f>IF(ISERROR(VLOOKUP($E267&amp;$F267,Results!$A$2:$G$413,AB$1,FALSE)),"",VLOOKUP($E267&amp;$F267,Results!$A$2:$G$413,AB$1,FALSE))</f>
        <v/>
      </c>
      <c r="AC267" s="16"/>
      <c r="AD267" s="20" t="str">
        <f>IF(ISERROR(VLOOKUP($AB267&amp;"-"&amp;$F267,Bonuses!$B$1:$G$1000,4,FALSE)),"",INT(VLOOKUP($AB267&amp;"-"&amp;$F267,Bonuses!$B$1:$G$1000,4,FALSE)))</f>
        <v/>
      </c>
      <c r="AE267" s="16" t="str">
        <f>IF(ISERROR(VLOOKUP($AB267&amp;"-"&amp;$F267,Bonuses!$B$1:$G$1000,5,FALSE)),"",IF(VLOOKUP($AB267&amp;"-"&amp;$F267,Bonuses!$B$1:$G$1000,5,FALSE)="","",VLOOKUP($AB267&amp;"-"&amp;$F267,Bonuses!$B$1:$G$1000,6,FALSE)&amp;" yrs, "&amp;VLOOKUP($AB267&amp;"-"&amp;$F267,Bonuses!$B$1:$G$1000,5,FALSE)))</f>
        <v/>
      </c>
    </row>
    <row r="268" spans="1:31" s="21" customFormat="1">
      <c r="A268" s="21" t="s">
        <v>450</v>
      </c>
      <c r="B268" s="21">
        <f t="shared" si="16"/>
        <v>1</v>
      </c>
      <c r="C268" s="21" t="str">
        <f t="shared" si="17"/>
        <v>B</v>
      </c>
      <c r="D268" s="17" t="e">
        <f>IF($C268="B",VLOOKUP($A268,Bat!$A$4:$BD$2323,D$1,FALSE),VLOOKUP($A268,Pit!$A$4:$AZ$2261,D$2,FALSE))</f>
        <v>#N/A</v>
      </c>
      <c r="E268" s="16" t="str">
        <f>IF($C268="B",VLOOKUP($A268,Bat!$A$4:$BD$2323,E$1,FALSE),VLOOKUP($A268,Pit!$A$4:$AZ$2261,E$2,FALSE))</f>
        <v>C</v>
      </c>
      <c r="F268" s="16" t="str">
        <f>IF($C268="B",VLOOKUP($A268,Bat!$A$4:$BD$2323,F$1,FALSE),VLOOKUP($A268,Pit!$A$4:$AZ$2261,F$2,FALSE))</f>
        <v>Cristo Hernández</v>
      </c>
      <c r="G268" s="16">
        <f>IF($C268="B",VLOOKUP($A268,Bat!$A$4:$BD$2323,G$1,FALSE),VLOOKUP($A268,Pit!$A$4:$AZ$2261,G$2,FALSE))</f>
        <v>21</v>
      </c>
      <c r="H268" s="16" t="str">
        <f>IF($C268="B",VLOOKUP($A268,Bat!$A$4:$BD$2323,H$1,FALSE),VLOOKUP($A268,Pit!$A$4:$AZ$2261,H$2,FALSE))</f>
        <v>R</v>
      </c>
      <c r="I268" s="16" t="str">
        <f>IF($C268="B",VLOOKUP($A268,Bat!$A$4:$BD$2323,I$1,FALSE),VLOOKUP($A268,Pit!$A$4:$AZ$2261,I$2,FALSE))</f>
        <v>R</v>
      </c>
      <c r="J268" s="16" t="str">
        <f>IF($C268="B",VLOOKUP($A268,Bat!$A$4:$BD$2323,J$1,FALSE),VLOOKUP($A268,Pit!$A$4:$AZ$2261,J$2,FALSE))</f>
        <v>Low</v>
      </c>
      <c r="K268" s="17" t="str">
        <f>IF($C268="B",VLOOKUP($A268,Bat!$A$4:$BD$2323,K$1,FALSE),VLOOKUP($A268,Pit!$A$4:$AZ$2261,K$2,FALSE))</f>
        <v>Very Low</v>
      </c>
      <c r="L268" s="16">
        <f>IF($C268="B",VLOOKUP($A268,Bat!$A$4:$BD$2323,L$1,FALSE),VLOOKUP($A268,Pit!$A$4:$AZ$2261,L$2,FALSE))</f>
        <v>4</v>
      </c>
      <c r="M268" s="16">
        <f>IF($C268="B",VLOOKUP($A268,Bat!$A$4:$BD$2323,M$1,FALSE),VLOOKUP($A268,Pit!$A$4:$AZ$2261,M$2,FALSE))</f>
        <v>3</v>
      </c>
      <c r="N268" s="16">
        <f>IF($C268="B",VLOOKUP($A268,Bat!$A$4:$BD$2323,N$1,FALSE),VLOOKUP($A268,Pit!$A$4:$AZ$2261,N$2,FALSE))</f>
        <v>3</v>
      </c>
      <c r="O268" s="16">
        <f>IF($C268="B",VLOOKUP($A268,Bat!$A$4:$BD$2323,O$1,FALSE),VLOOKUP($A268,Pit!$A$4:$AZ$2261,O$2,FALSE))</f>
        <v>2</v>
      </c>
      <c r="P268" s="17">
        <f>IF($C268="B",VLOOKUP($A268,Bat!$A$4:$BD$2323,P$1,FALSE),VLOOKUP($A268,Pit!$A$4:$AZ$2261,P$2,FALSE))</f>
        <v>4</v>
      </c>
      <c r="Q268" s="18">
        <f>IF($C268="B",VLOOKUP($A268,Bat!$A$4:$BD$2323,Q$1,FALSE),VLOOKUP($A268,Pit!$A$4:$AZ$2261,Q$2,FALSE))</f>
        <v>2.6234732528844988</v>
      </c>
      <c r="R268" s="19">
        <f>IF($C268="B",VLOOKUP($A268,Bat!$A$4:$BD$2323,R$1,FALSE),VLOOKUP($A268,Pit!$A$4:$AZ$2261,R$2,FALSE))</f>
        <v>-1.1173679546151425</v>
      </c>
      <c r="S268" s="20" t="str">
        <f>IF($C268="B",VLOOKUP($A268,Bat!$A$4:$BD$2323,S$1,FALSE),VLOOKUP($A268,Pit!$A$4:$AZ$2261,S$2,FALSE))</f>
        <v>Slot</v>
      </c>
      <c r="T268" s="17" t="str">
        <f>IF(S268="Slot","",VLOOKUP(IF($C268="B",VLOOKUP($A268,Bat!$A$4:$AT$2323,T$1,FALSE),VLOOKUP($A268,Pit!$A$4:$BD$2261,T$2,FALSE)),COND!$A$34:$B$40,2,FALSE))</f>
        <v/>
      </c>
      <c r="U268" s="21" t="str">
        <f>IF($C268="B",VLOOKUP($A268,Bat!$A$4:$AR$1287,44,FALSE),VLOOKUP($A268,Pit!$A$4:$BB$1239,54,FALSE))</f>
        <v/>
      </c>
      <c r="W268" s="21" t="str">
        <f t="shared" si="18"/>
        <v/>
      </c>
      <c r="X268" s="22" t="e">
        <f t="shared" si="19"/>
        <v>#N/A</v>
      </c>
      <c r="Y268" s="16" t="str">
        <f>IF(ISERROR(VLOOKUP($E268&amp;$F268,Results!$A$2:$G$413,Y$1,FALSE)),"",VLOOKUP($E268&amp;$F268,Results!$A$2:$G$413,Y$1,FALSE))</f>
        <v/>
      </c>
      <c r="Z268" s="16" t="str">
        <f>IF(ISERROR(VLOOKUP($E268&amp;$F268,Results!$A$2:$G$413,Z$1,FALSE)),"",VLOOKUP($E268&amp;$F268,Results!$A$2:$G$413,Z$1,FALSE))</f>
        <v/>
      </c>
      <c r="AA268" s="16" t="str">
        <f>IF(ISERROR(VLOOKUP($E268&amp;$F268,Results!$A$2:$G$413,AA$1,FALSE)),"",VLOOKUP($E268&amp;$F268,Results!$A$2:$G$413,AA$1,FALSE))</f>
        <v/>
      </c>
      <c r="AB268" s="16" t="str">
        <f>IF(ISERROR(VLOOKUP($E268&amp;$F268,Results!$A$2:$G$413,AB$1,FALSE)),"",VLOOKUP($E268&amp;$F268,Results!$A$2:$G$413,AB$1,FALSE))</f>
        <v/>
      </c>
      <c r="AC268" s="16"/>
      <c r="AD268" s="20" t="str">
        <f>IF(ISERROR(VLOOKUP($AB268&amp;"-"&amp;$F268,Bonuses!$B$1:$G$1000,4,FALSE)),"",INT(VLOOKUP($AB268&amp;"-"&amp;$F268,Bonuses!$B$1:$G$1000,4,FALSE)))</f>
        <v/>
      </c>
      <c r="AE268" s="16" t="str">
        <f>IF(ISERROR(VLOOKUP($AB268&amp;"-"&amp;$F268,Bonuses!$B$1:$G$1000,5,FALSE)),"",IF(VLOOKUP($AB268&amp;"-"&amp;$F268,Bonuses!$B$1:$G$1000,5,FALSE)="","",VLOOKUP($AB268&amp;"-"&amp;$F268,Bonuses!$B$1:$G$1000,6,FALSE)&amp;" yrs, "&amp;VLOOKUP($AB268&amp;"-"&amp;$F268,Bonuses!$B$1:$G$1000,5,FALSE)))</f>
        <v/>
      </c>
    </row>
    <row r="269" spans="1:31" s="21" customFormat="1">
      <c r="A269" s="21" t="s">
        <v>752</v>
      </c>
      <c r="B269" s="21">
        <f t="shared" si="16"/>
        <v>1</v>
      </c>
      <c r="C269" s="21" t="str">
        <f t="shared" si="17"/>
        <v>B</v>
      </c>
      <c r="D269" s="17">
        <f>IF($C269="B",VLOOKUP($A269,Bat!$A$4:$BD$2323,D$1,FALSE),VLOOKUP($A269,Pit!$A$4:$AZ$2261,D$2,FALSE))</f>
        <v>13819</v>
      </c>
      <c r="E269" s="16" t="str">
        <f>IF($C269="B",VLOOKUP($A269,Bat!$A$4:$BD$2323,E$1,FALSE),VLOOKUP($A269,Pit!$A$4:$AZ$2261,E$2,FALSE))</f>
        <v>2B</v>
      </c>
      <c r="F269" s="16" t="str">
        <f>IF($C269="B",VLOOKUP($A269,Bat!$A$4:$BD$2323,F$1,FALSE),VLOOKUP($A269,Pit!$A$4:$AZ$2261,F$2,FALSE))</f>
        <v>Nick Preston</v>
      </c>
      <c r="G269" s="16">
        <f>IF($C269="B",VLOOKUP($A269,Bat!$A$4:$BD$2323,G$1,FALSE),VLOOKUP($A269,Pit!$A$4:$AZ$2261,G$2,FALSE))</f>
        <v>18</v>
      </c>
      <c r="H269" s="16" t="str">
        <f>IF($C269="B",VLOOKUP($A269,Bat!$A$4:$BD$2323,H$1,FALSE),VLOOKUP($A269,Pit!$A$4:$AZ$2261,H$2,FALSE))</f>
        <v>S</v>
      </c>
      <c r="I269" s="16" t="str">
        <f>IF($C269="B",VLOOKUP($A269,Bat!$A$4:$BD$2323,I$1,FALSE),VLOOKUP($A269,Pit!$A$4:$AZ$2261,I$2,FALSE))</f>
        <v>R</v>
      </c>
      <c r="J269" s="16" t="str">
        <f>IF($C269="B",VLOOKUP($A269,Bat!$A$4:$BD$2323,J$1,FALSE),VLOOKUP($A269,Pit!$A$4:$AZ$2261,J$2,FALSE))</f>
        <v>Very High</v>
      </c>
      <c r="K269" s="17" t="str">
        <f>IF($C269="B",VLOOKUP($A269,Bat!$A$4:$BD$2323,K$1,FALSE),VLOOKUP($A269,Pit!$A$4:$AZ$2261,K$2,FALSE))</f>
        <v>Normal</v>
      </c>
      <c r="L269" s="16">
        <f>IF($C269="B",VLOOKUP($A269,Bat!$A$4:$BD$2323,L$1,FALSE),VLOOKUP($A269,Pit!$A$4:$AZ$2261,L$2,FALSE))</f>
        <v>4</v>
      </c>
      <c r="M269" s="16">
        <f>IF($C269="B",VLOOKUP($A269,Bat!$A$4:$BD$2323,M$1,FALSE),VLOOKUP($A269,Pit!$A$4:$AZ$2261,M$2,FALSE))</f>
        <v>5</v>
      </c>
      <c r="N269" s="16">
        <f>IF($C269="B",VLOOKUP($A269,Bat!$A$4:$BD$2323,N$1,FALSE),VLOOKUP($A269,Pit!$A$4:$AZ$2261,N$2,FALSE))</f>
        <v>2</v>
      </c>
      <c r="O269" s="16">
        <f>IF($C269="B",VLOOKUP($A269,Bat!$A$4:$BD$2323,O$1,FALSE),VLOOKUP($A269,Pit!$A$4:$AZ$2261,O$2,FALSE))</f>
        <v>2</v>
      </c>
      <c r="P269" s="17">
        <f>IF($C269="B",VLOOKUP($A269,Bat!$A$4:$BD$2323,P$1,FALSE),VLOOKUP($A269,Pit!$A$4:$AZ$2261,P$2,FALSE))</f>
        <v>4</v>
      </c>
      <c r="Q269" s="18">
        <f>IF($C269="B",VLOOKUP($A269,Bat!$A$4:$BD$2323,Q$1,FALSE),VLOOKUP($A269,Pit!$A$4:$AZ$2261,Q$2,FALSE))</f>
        <v>2.6061705538972308</v>
      </c>
      <c r="R269" s="19">
        <f>IF($C269="B",VLOOKUP($A269,Bat!$A$4:$BD$2323,R$1,FALSE),VLOOKUP($A269,Pit!$A$4:$AZ$2261,R$2,FALSE))</f>
        <v>-1.1197717087632788</v>
      </c>
      <c r="S269" s="20" t="str">
        <f>IF($C269="B",VLOOKUP($A269,Bat!$A$4:$BD$2323,S$1,FALSE),VLOOKUP($A269,Pit!$A$4:$AZ$2261,S$2,FALSE))</f>
        <v>Slot</v>
      </c>
      <c r="T269" s="17" t="str">
        <f>IF(S269="Slot","",VLOOKUP(IF($C269="B",VLOOKUP($A269,Bat!$A$4:$AT$2323,T$1,FALSE),VLOOKUP($A269,Pit!$A$4:$BD$2261,T$2,FALSE)),COND!$A$34:$B$40,2,FALSE))</f>
        <v/>
      </c>
      <c r="U269" s="21" t="str">
        <f>IF($C269="B",VLOOKUP($A269,Bat!$A$4:$AR$1287,44,FALSE),VLOOKUP($A269,Pit!$A$4:$BB$1239,54,FALSE))</f>
        <v/>
      </c>
      <c r="W269" s="21" t="str">
        <f t="shared" si="18"/>
        <v/>
      </c>
      <c r="X269" s="22" t="e">
        <f t="shared" si="19"/>
        <v>#N/A</v>
      </c>
      <c r="Y269" s="16" t="str">
        <f>IF(ISERROR(VLOOKUP($E269&amp;$F269,Results!$A$2:$G$413,Y$1,FALSE)),"",VLOOKUP($E269&amp;$F269,Results!$A$2:$G$413,Y$1,FALSE))</f>
        <v/>
      </c>
      <c r="Z269" s="16" t="str">
        <f>IF(ISERROR(VLOOKUP($E269&amp;$F269,Results!$A$2:$G$413,Z$1,FALSE)),"",VLOOKUP($E269&amp;$F269,Results!$A$2:$G$413,Z$1,FALSE))</f>
        <v/>
      </c>
      <c r="AA269" s="16" t="str">
        <f>IF(ISERROR(VLOOKUP($E269&amp;$F269,Results!$A$2:$G$413,AA$1,FALSE)),"",VLOOKUP($E269&amp;$F269,Results!$A$2:$G$413,AA$1,FALSE))</f>
        <v/>
      </c>
      <c r="AB269" s="16" t="str">
        <f>IF(ISERROR(VLOOKUP($E269&amp;$F269,Results!$A$2:$G$413,AB$1,FALSE)),"",VLOOKUP($E269&amp;$F269,Results!$A$2:$G$413,AB$1,FALSE))</f>
        <v/>
      </c>
      <c r="AC269" s="16"/>
      <c r="AD269" s="20" t="str">
        <f>IF(ISERROR(VLOOKUP($AB269&amp;"-"&amp;$F269,Bonuses!$B$1:$G$1000,4,FALSE)),"",INT(VLOOKUP($AB269&amp;"-"&amp;$F269,Bonuses!$B$1:$G$1000,4,FALSE)))</f>
        <v/>
      </c>
      <c r="AE269" s="16" t="str">
        <f>IF(ISERROR(VLOOKUP($AB269&amp;"-"&amp;$F269,Bonuses!$B$1:$G$1000,5,FALSE)),"",IF(VLOOKUP($AB269&amp;"-"&amp;$F269,Bonuses!$B$1:$G$1000,5,FALSE)="","",VLOOKUP($AB269&amp;"-"&amp;$F269,Bonuses!$B$1:$G$1000,6,FALSE)&amp;" yrs, "&amp;VLOOKUP($AB269&amp;"-"&amp;$F269,Bonuses!$B$1:$G$1000,5,FALSE)))</f>
        <v/>
      </c>
    </row>
    <row r="270" spans="1:31" s="21" customFormat="1">
      <c r="A270" s="21" t="s">
        <v>739</v>
      </c>
      <c r="B270" s="21">
        <f t="shared" si="16"/>
        <v>1</v>
      </c>
      <c r="C270" s="21" t="str">
        <f t="shared" si="17"/>
        <v>B</v>
      </c>
      <c r="D270" s="17">
        <f>IF($C270="B",VLOOKUP($A270,Bat!$A$4:$BD$2323,D$1,FALSE),VLOOKUP($A270,Pit!$A$4:$AZ$2261,D$2,FALSE))</f>
        <v>4014</v>
      </c>
      <c r="E270" s="16" t="str">
        <f>IF($C270="B",VLOOKUP($A270,Bat!$A$4:$BD$2323,E$1,FALSE),VLOOKUP($A270,Pit!$A$4:$AZ$2261,E$2,FALSE))</f>
        <v>2B</v>
      </c>
      <c r="F270" s="16" t="str">
        <f>IF($C270="B",VLOOKUP($A270,Bat!$A$4:$BD$2323,F$1,FALSE),VLOOKUP($A270,Pit!$A$4:$AZ$2261,F$2,FALSE))</f>
        <v>Chris Evans</v>
      </c>
      <c r="G270" s="16">
        <f>IF($C270="B",VLOOKUP($A270,Bat!$A$4:$BD$2323,G$1,FALSE),VLOOKUP($A270,Pit!$A$4:$AZ$2261,G$2,FALSE))</f>
        <v>21</v>
      </c>
      <c r="H270" s="16" t="str">
        <f>IF($C270="B",VLOOKUP($A270,Bat!$A$4:$BD$2323,H$1,FALSE),VLOOKUP($A270,Pit!$A$4:$AZ$2261,H$2,FALSE))</f>
        <v>R</v>
      </c>
      <c r="I270" s="16" t="str">
        <f>IF($C270="B",VLOOKUP($A270,Bat!$A$4:$BD$2323,I$1,FALSE),VLOOKUP($A270,Pit!$A$4:$AZ$2261,I$2,FALSE))</f>
        <v>R</v>
      </c>
      <c r="J270" s="16" t="str">
        <f>IF($C270="B",VLOOKUP($A270,Bat!$A$4:$BD$2323,J$1,FALSE),VLOOKUP($A270,Pit!$A$4:$AZ$2261,J$2,FALSE))</f>
        <v>Low</v>
      </c>
      <c r="K270" s="17" t="str">
        <f>IF($C270="B",VLOOKUP($A270,Bat!$A$4:$BD$2323,K$1,FALSE),VLOOKUP($A270,Pit!$A$4:$AZ$2261,K$2,FALSE))</f>
        <v>Normal</v>
      </c>
      <c r="L270" s="16">
        <f>IF($C270="B",VLOOKUP($A270,Bat!$A$4:$BD$2323,L$1,FALSE),VLOOKUP($A270,Pit!$A$4:$AZ$2261,L$2,FALSE))</f>
        <v>4</v>
      </c>
      <c r="M270" s="16">
        <f>IF($C270="B",VLOOKUP($A270,Bat!$A$4:$BD$2323,M$1,FALSE),VLOOKUP($A270,Pit!$A$4:$AZ$2261,M$2,FALSE))</f>
        <v>3</v>
      </c>
      <c r="N270" s="16">
        <f>IF($C270="B",VLOOKUP($A270,Bat!$A$4:$BD$2323,N$1,FALSE),VLOOKUP($A270,Pit!$A$4:$AZ$2261,N$2,FALSE))</f>
        <v>2</v>
      </c>
      <c r="O270" s="16">
        <f>IF($C270="B",VLOOKUP($A270,Bat!$A$4:$BD$2323,O$1,FALSE),VLOOKUP($A270,Pit!$A$4:$AZ$2261,O$2,FALSE))</f>
        <v>2</v>
      </c>
      <c r="P270" s="17">
        <f>IF($C270="B",VLOOKUP($A270,Bat!$A$4:$BD$2323,P$1,FALSE),VLOOKUP($A270,Pit!$A$4:$AZ$2261,P$2,FALSE))</f>
        <v>4</v>
      </c>
      <c r="Q270" s="18">
        <f>IF($C270="B",VLOOKUP($A270,Bat!$A$4:$BD$2323,Q$1,FALSE),VLOOKUP($A270,Pit!$A$4:$AZ$2261,Q$2,FALSE))</f>
        <v>2.5416871995475061</v>
      </c>
      <c r="R270" s="19">
        <f>IF($C270="B",VLOOKUP($A270,Bat!$A$4:$BD$2323,R$1,FALSE),VLOOKUP($A270,Pit!$A$4:$AZ$2261,R$2,FALSE))</f>
        <v>-1.1287299719000274</v>
      </c>
      <c r="S270" s="20" t="str">
        <f>IF($C270="B",VLOOKUP($A270,Bat!$A$4:$BD$2323,S$1,FALSE),VLOOKUP($A270,Pit!$A$4:$AZ$2261,S$2,FALSE))</f>
        <v>Slot</v>
      </c>
      <c r="T270" s="17" t="str">
        <f>IF(S270="Slot","",VLOOKUP(IF($C270="B",VLOOKUP($A270,Bat!$A$4:$AT$2323,T$1,FALSE),VLOOKUP($A270,Pit!$A$4:$BD$2261,T$2,FALSE)),COND!$A$34:$B$40,2,FALSE))</f>
        <v/>
      </c>
      <c r="U270" s="21" t="str">
        <f>IF($C270="B",VLOOKUP($A270,Bat!$A$4:$AR$1287,44,FALSE),VLOOKUP($A270,Pit!$A$4:$BB$1239,54,FALSE))</f>
        <v/>
      </c>
      <c r="W270" s="21" t="str">
        <f t="shared" si="18"/>
        <v/>
      </c>
      <c r="X270" s="22" t="e">
        <f t="shared" si="19"/>
        <v>#N/A</v>
      </c>
      <c r="Y270" s="16" t="str">
        <f>IF(ISERROR(VLOOKUP($E270&amp;$F270,Results!$A$2:$G$413,Y$1,FALSE)),"",VLOOKUP($E270&amp;$F270,Results!$A$2:$G$413,Y$1,FALSE))</f>
        <v/>
      </c>
      <c r="Z270" s="16" t="str">
        <f>IF(ISERROR(VLOOKUP($E270&amp;$F270,Results!$A$2:$G$413,Z$1,FALSE)),"",VLOOKUP($E270&amp;$F270,Results!$A$2:$G$413,Z$1,FALSE))</f>
        <v/>
      </c>
      <c r="AA270" s="16" t="str">
        <f>IF(ISERROR(VLOOKUP($E270&amp;$F270,Results!$A$2:$G$413,AA$1,FALSE)),"",VLOOKUP($E270&amp;$F270,Results!$A$2:$G$413,AA$1,FALSE))</f>
        <v/>
      </c>
      <c r="AB270" s="16" t="str">
        <f>IF(ISERROR(VLOOKUP($E270&amp;$F270,Results!$A$2:$G$413,AB$1,FALSE)),"",VLOOKUP($E270&amp;$F270,Results!$A$2:$G$413,AB$1,FALSE))</f>
        <v/>
      </c>
      <c r="AC270" s="16"/>
      <c r="AD270" s="20" t="str">
        <f>IF(ISERROR(VLOOKUP($AB270&amp;"-"&amp;$F270,Bonuses!$B$1:$G$1000,4,FALSE)),"",INT(VLOOKUP($AB270&amp;"-"&amp;$F270,Bonuses!$B$1:$G$1000,4,FALSE)))</f>
        <v/>
      </c>
      <c r="AE270" s="16" t="str">
        <f>IF(ISERROR(VLOOKUP($AB270&amp;"-"&amp;$F270,Bonuses!$B$1:$G$1000,5,FALSE)),"",IF(VLOOKUP($AB270&amp;"-"&amp;$F270,Bonuses!$B$1:$G$1000,5,FALSE)="","",VLOOKUP($AB270&amp;"-"&amp;$F270,Bonuses!$B$1:$G$1000,6,FALSE)&amp;" yrs, "&amp;VLOOKUP($AB270&amp;"-"&amp;$F270,Bonuses!$B$1:$G$1000,5,FALSE)))</f>
        <v/>
      </c>
    </row>
    <row r="271" spans="1:31" s="21" customFormat="1">
      <c r="A271" s="21" t="s">
        <v>447</v>
      </c>
      <c r="B271" s="21">
        <f t="shared" si="16"/>
        <v>1</v>
      </c>
      <c r="C271" s="21" t="str">
        <f t="shared" si="17"/>
        <v>B</v>
      </c>
      <c r="D271" s="17">
        <f>IF($C271="B",VLOOKUP($A271,Bat!$A$4:$BD$2323,D$1,FALSE),VLOOKUP($A271,Pit!$A$4:$AZ$2261,D$2,FALSE))</f>
        <v>2637</v>
      </c>
      <c r="E271" s="16" t="str">
        <f>IF($C271="B",VLOOKUP($A271,Bat!$A$4:$BD$2323,E$1,FALSE),VLOOKUP($A271,Pit!$A$4:$AZ$2261,E$2,FALSE))</f>
        <v>C</v>
      </c>
      <c r="F271" s="16" t="str">
        <f>IF($C271="B",VLOOKUP($A271,Bat!$A$4:$BD$2323,F$1,FALSE),VLOOKUP($A271,Pit!$A$4:$AZ$2261,F$2,FALSE))</f>
        <v>Thomas Howard</v>
      </c>
      <c r="G271" s="16">
        <f>IF($C271="B",VLOOKUP($A271,Bat!$A$4:$BD$2323,G$1,FALSE),VLOOKUP($A271,Pit!$A$4:$AZ$2261,G$2,FALSE))</f>
        <v>21</v>
      </c>
      <c r="H271" s="16" t="str">
        <f>IF($C271="B",VLOOKUP($A271,Bat!$A$4:$BD$2323,H$1,FALSE),VLOOKUP($A271,Pit!$A$4:$AZ$2261,H$2,FALSE))</f>
        <v>R</v>
      </c>
      <c r="I271" s="16" t="str">
        <f>IF($C271="B",VLOOKUP($A271,Bat!$A$4:$BD$2323,I$1,FALSE),VLOOKUP($A271,Pit!$A$4:$AZ$2261,I$2,FALSE))</f>
        <v>R</v>
      </c>
      <c r="J271" s="16" t="str">
        <f>IF($C271="B",VLOOKUP($A271,Bat!$A$4:$BD$2323,J$1,FALSE),VLOOKUP($A271,Pit!$A$4:$AZ$2261,J$2,FALSE))</f>
        <v>Normal</v>
      </c>
      <c r="K271" s="17" t="str">
        <f>IF($C271="B",VLOOKUP($A271,Bat!$A$4:$BD$2323,K$1,FALSE),VLOOKUP($A271,Pit!$A$4:$AZ$2261,K$2,FALSE))</f>
        <v>Normal</v>
      </c>
      <c r="L271" s="16">
        <f>IF($C271="B",VLOOKUP($A271,Bat!$A$4:$BD$2323,L$1,FALSE),VLOOKUP($A271,Pit!$A$4:$AZ$2261,L$2,FALSE))</f>
        <v>4</v>
      </c>
      <c r="M271" s="16">
        <f>IF($C271="B",VLOOKUP($A271,Bat!$A$4:$BD$2323,M$1,FALSE),VLOOKUP($A271,Pit!$A$4:$AZ$2261,M$2,FALSE))</f>
        <v>5</v>
      </c>
      <c r="N271" s="16">
        <f>IF($C271="B",VLOOKUP($A271,Bat!$A$4:$BD$2323,N$1,FALSE),VLOOKUP($A271,Pit!$A$4:$AZ$2261,N$2,FALSE))</f>
        <v>1</v>
      </c>
      <c r="O271" s="16">
        <f>IF($C271="B",VLOOKUP($A271,Bat!$A$4:$BD$2323,O$1,FALSE),VLOOKUP($A271,Pit!$A$4:$AZ$2261,O$2,FALSE))</f>
        <v>3</v>
      </c>
      <c r="P271" s="17">
        <f>IF($C271="B",VLOOKUP($A271,Bat!$A$4:$BD$2323,P$1,FALSE),VLOOKUP($A271,Pit!$A$4:$AZ$2261,P$2,FALSE))</f>
        <v>4</v>
      </c>
      <c r="Q271" s="18">
        <f>IF($C271="B",VLOOKUP($A271,Bat!$A$4:$BD$2323,Q$1,FALSE),VLOOKUP($A271,Pit!$A$4:$AZ$2261,Q$2,FALSE))</f>
        <v>2.523642957872327</v>
      </c>
      <c r="R271" s="19">
        <f>IF($C271="B",VLOOKUP($A271,Bat!$A$4:$BD$2323,R$1,FALSE),VLOOKUP($A271,Pit!$A$4:$AZ$2261,R$2,FALSE))</f>
        <v>-1.1312367438671407</v>
      </c>
      <c r="S271" s="20" t="str">
        <f>IF($C271="B",VLOOKUP($A271,Bat!$A$4:$BD$2323,S$1,FALSE),VLOOKUP($A271,Pit!$A$4:$AZ$2261,S$2,FALSE))</f>
        <v>Slot</v>
      </c>
      <c r="T271" s="17" t="str">
        <f>IF(S271="Slot","",VLOOKUP(IF($C271="B",VLOOKUP($A271,Bat!$A$4:$AT$2323,T$1,FALSE),VLOOKUP($A271,Pit!$A$4:$BD$2261,T$2,FALSE)),COND!$A$34:$B$40,2,FALSE))</f>
        <v/>
      </c>
      <c r="U271" s="21" t="str">
        <f>IF($C271="B",VLOOKUP($A271,Bat!$A$4:$AR$1287,44,FALSE),VLOOKUP($A271,Pit!$A$4:$BB$1239,54,FALSE))</f>
        <v/>
      </c>
      <c r="W271" s="21" t="str">
        <f t="shared" si="18"/>
        <v/>
      </c>
      <c r="X271" s="22" t="e">
        <f t="shared" si="19"/>
        <v>#N/A</v>
      </c>
      <c r="Y271" s="16" t="str">
        <f>IF(ISERROR(VLOOKUP($E271&amp;$F271,Results!$A$2:$G$413,Y$1,FALSE)),"",VLOOKUP($E271&amp;$F271,Results!$A$2:$G$413,Y$1,FALSE))</f>
        <v/>
      </c>
      <c r="Z271" s="16" t="str">
        <f>IF(ISERROR(VLOOKUP($E271&amp;$F271,Results!$A$2:$G$413,Z$1,FALSE)),"",VLOOKUP($E271&amp;$F271,Results!$A$2:$G$413,Z$1,FALSE))</f>
        <v/>
      </c>
      <c r="AA271" s="16" t="str">
        <f>IF(ISERROR(VLOOKUP($E271&amp;$F271,Results!$A$2:$G$413,AA$1,FALSE)),"",VLOOKUP($E271&amp;$F271,Results!$A$2:$G$413,AA$1,FALSE))</f>
        <v/>
      </c>
      <c r="AB271" s="16" t="str">
        <f>IF(ISERROR(VLOOKUP($E271&amp;$F271,Results!$A$2:$G$413,AB$1,FALSE)),"",VLOOKUP($E271&amp;$F271,Results!$A$2:$G$413,AB$1,FALSE))</f>
        <v/>
      </c>
      <c r="AC271" s="16"/>
      <c r="AD271" s="20" t="str">
        <f>IF(ISERROR(VLOOKUP($AB271&amp;"-"&amp;$F271,Bonuses!$B$1:$G$1000,4,FALSE)),"",INT(VLOOKUP($AB271&amp;"-"&amp;$F271,Bonuses!$B$1:$G$1000,4,FALSE)))</f>
        <v/>
      </c>
      <c r="AE271" s="16" t="str">
        <f>IF(ISERROR(VLOOKUP($AB271&amp;"-"&amp;$F271,Bonuses!$B$1:$G$1000,5,FALSE)),"",IF(VLOOKUP($AB271&amp;"-"&amp;$F271,Bonuses!$B$1:$G$1000,5,FALSE)="","",VLOOKUP($AB271&amp;"-"&amp;$F271,Bonuses!$B$1:$G$1000,6,FALSE)&amp;" yrs, "&amp;VLOOKUP($AB271&amp;"-"&amp;$F271,Bonuses!$B$1:$G$1000,5,FALSE)))</f>
        <v/>
      </c>
    </row>
    <row r="272" spans="1:31" s="21" customFormat="1">
      <c r="A272" s="21" t="s">
        <v>446</v>
      </c>
      <c r="B272" s="21">
        <f t="shared" si="16"/>
        <v>1</v>
      </c>
      <c r="C272" s="21" t="str">
        <f t="shared" si="17"/>
        <v>B</v>
      </c>
      <c r="D272" s="17" t="e">
        <f>IF($C272="B",VLOOKUP($A272,Bat!$A$4:$BD$2323,D$1,FALSE),VLOOKUP($A272,Pit!$A$4:$AZ$2261,D$2,FALSE))</f>
        <v>#N/A</v>
      </c>
      <c r="E272" s="16" t="str">
        <f>IF($C272="B",VLOOKUP($A272,Bat!$A$4:$BD$2323,E$1,FALSE),VLOOKUP($A272,Pit!$A$4:$AZ$2261,E$2,FALSE))</f>
        <v>C</v>
      </c>
      <c r="F272" s="16" t="str">
        <f>IF($C272="B",VLOOKUP($A272,Bat!$A$4:$BD$2323,F$1,FALSE),VLOOKUP($A272,Pit!$A$4:$AZ$2261,F$2,FALSE))</f>
        <v>Félix Serrano</v>
      </c>
      <c r="G272" s="16">
        <f>IF($C272="B",VLOOKUP($A272,Bat!$A$4:$BD$2323,G$1,FALSE),VLOOKUP($A272,Pit!$A$4:$AZ$2261,G$2,FALSE))</f>
        <v>18</v>
      </c>
      <c r="H272" s="16" t="str">
        <f>IF($C272="B",VLOOKUP($A272,Bat!$A$4:$BD$2323,H$1,FALSE),VLOOKUP($A272,Pit!$A$4:$AZ$2261,H$2,FALSE))</f>
        <v>S</v>
      </c>
      <c r="I272" s="16" t="str">
        <f>IF($C272="B",VLOOKUP($A272,Bat!$A$4:$BD$2323,I$1,FALSE),VLOOKUP($A272,Pit!$A$4:$AZ$2261,I$2,FALSE))</f>
        <v>R</v>
      </c>
      <c r="J272" s="16" t="str">
        <f>IF($C272="B",VLOOKUP($A272,Bat!$A$4:$BD$2323,J$1,FALSE),VLOOKUP($A272,Pit!$A$4:$AZ$2261,J$2,FALSE))</f>
        <v>Low</v>
      </c>
      <c r="K272" s="17" t="str">
        <f>IF($C272="B",VLOOKUP($A272,Bat!$A$4:$BD$2323,K$1,FALSE),VLOOKUP($A272,Pit!$A$4:$AZ$2261,K$2,FALSE))</f>
        <v>Very High</v>
      </c>
      <c r="L272" s="16">
        <f>IF($C272="B",VLOOKUP($A272,Bat!$A$4:$BD$2323,L$1,FALSE),VLOOKUP($A272,Pit!$A$4:$AZ$2261,L$2,FALSE))</f>
        <v>4</v>
      </c>
      <c r="M272" s="16">
        <f>IF($C272="B",VLOOKUP($A272,Bat!$A$4:$BD$2323,M$1,FALSE),VLOOKUP($A272,Pit!$A$4:$AZ$2261,M$2,FALSE))</f>
        <v>5</v>
      </c>
      <c r="N272" s="16">
        <f>IF($C272="B",VLOOKUP($A272,Bat!$A$4:$BD$2323,N$1,FALSE),VLOOKUP($A272,Pit!$A$4:$AZ$2261,N$2,FALSE))</f>
        <v>2</v>
      </c>
      <c r="O272" s="16">
        <f>IF($C272="B",VLOOKUP($A272,Bat!$A$4:$BD$2323,O$1,FALSE),VLOOKUP($A272,Pit!$A$4:$AZ$2261,O$2,FALSE))</f>
        <v>2</v>
      </c>
      <c r="P272" s="17">
        <f>IF($C272="B",VLOOKUP($A272,Bat!$A$4:$BD$2323,P$1,FALSE),VLOOKUP($A272,Pit!$A$4:$AZ$2261,P$2,FALSE))</f>
        <v>4</v>
      </c>
      <c r="Q272" s="18">
        <f>IF($C272="B",VLOOKUP($A272,Bat!$A$4:$BD$2323,Q$1,FALSE),VLOOKUP($A272,Pit!$A$4:$AZ$2261,Q$2,FALSE))</f>
        <v>2.5112765418591021</v>
      </c>
      <c r="R272" s="19">
        <f>IF($C272="B",VLOOKUP($A272,Bat!$A$4:$BD$2323,R$1,FALSE),VLOOKUP($A272,Pit!$A$4:$AZ$2261,R$2,FALSE))</f>
        <v>-1.1329547315528332</v>
      </c>
      <c r="S272" s="20" t="str">
        <f>IF($C272="B",VLOOKUP($A272,Bat!$A$4:$BD$2323,S$1,FALSE),VLOOKUP($A272,Pit!$A$4:$AZ$2261,S$2,FALSE))</f>
        <v>Slot</v>
      </c>
      <c r="T272" s="17" t="str">
        <f>IF(S272="Slot","",VLOOKUP(IF($C272="B",VLOOKUP($A272,Bat!$A$4:$AT$2323,T$1,FALSE),VLOOKUP($A272,Pit!$A$4:$BD$2261,T$2,FALSE)),COND!$A$34:$B$40,2,FALSE))</f>
        <v/>
      </c>
      <c r="U272" s="21" t="str">
        <f>IF($C272="B",VLOOKUP($A272,Bat!$A$4:$AR$1287,44,FALSE),VLOOKUP($A272,Pit!$A$4:$BB$1239,54,FALSE))</f>
        <v/>
      </c>
      <c r="W272" s="21" t="str">
        <f t="shared" si="18"/>
        <v/>
      </c>
      <c r="X272" s="22" t="e">
        <f t="shared" si="19"/>
        <v>#N/A</v>
      </c>
      <c r="Y272" s="16" t="str">
        <f>IF(ISERROR(VLOOKUP($E272&amp;$F272,Results!$A$2:$G$413,Y$1,FALSE)),"",VLOOKUP($E272&amp;$F272,Results!$A$2:$G$413,Y$1,FALSE))</f>
        <v/>
      </c>
      <c r="Z272" s="16" t="str">
        <f>IF(ISERROR(VLOOKUP($E272&amp;$F272,Results!$A$2:$G$413,Z$1,FALSE)),"",VLOOKUP($E272&amp;$F272,Results!$A$2:$G$413,Z$1,FALSE))</f>
        <v/>
      </c>
      <c r="AA272" s="16" t="str">
        <f>IF(ISERROR(VLOOKUP($E272&amp;$F272,Results!$A$2:$G$413,AA$1,FALSE)),"",VLOOKUP($E272&amp;$F272,Results!$A$2:$G$413,AA$1,FALSE))</f>
        <v/>
      </c>
      <c r="AB272" s="16" t="str">
        <f>IF(ISERROR(VLOOKUP($E272&amp;$F272,Results!$A$2:$G$413,AB$1,FALSE)),"",VLOOKUP($E272&amp;$F272,Results!$A$2:$G$413,AB$1,FALSE))</f>
        <v/>
      </c>
      <c r="AC272" s="16"/>
      <c r="AD272" s="20" t="str">
        <f>IF(ISERROR(VLOOKUP($AB272&amp;"-"&amp;$F272,Bonuses!$B$1:$G$1000,4,FALSE)),"",INT(VLOOKUP($AB272&amp;"-"&amp;$F272,Bonuses!$B$1:$G$1000,4,FALSE)))</f>
        <v/>
      </c>
      <c r="AE272" s="16" t="str">
        <f>IF(ISERROR(VLOOKUP($AB272&amp;"-"&amp;$F272,Bonuses!$B$1:$G$1000,5,FALSE)),"",IF(VLOOKUP($AB272&amp;"-"&amp;$F272,Bonuses!$B$1:$G$1000,5,FALSE)="","",VLOOKUP($AB272&amp;"-"&amp;$F272,Bonuses!$B$1:$G$1000,6,FALSE)&amp;" yrs, "&amp;VLOOKUP($AB272&amp;"-"&amp;$F272,Bonuses!$B$1:$G$1000,5,FALSE)))</f>
        <v/>
      </c>
    </row>
    <row r="273" spans="1:31" s="21" customFormat="1">
      <c r="A273" s="21" t="s">
        <v>736</v>
      </c>
      <c r="B273" s="21">
        <f t="shared" si="16"/>
        <v>1</v>
      </c>
      <c r="C273" s="21" t="str">
        <f t="shared" si="17"/>
        <v>B</v>
      </c>
      <c r="D273" s="17" t="e">
        <f>IF($C273="B",VLOOKUP($A273,Bat!$A$4:$BD$2323,D$1,FALSE),VLOOKUP($A273,Pit!$A$4:$AZ$2261,D$2,FALSE))</f>
        <v>#N/A</v>
      </c>
      <c r="E273" s="16" t="e">
        <f>IF($C273="B",VLOOKUP($A273,Bat!$A$4:$BD$2323,E$1,FALSE),VLOOKUP($A273,Pit!$A$4:$AZ$2261,E$2,FALSE))</f>
        <v>#N/A</v>
      </c>
      <c r="F273" s="16" t="e">
        <f>IF($C273="B",VLOOKUP($A273,Bat!$A$4:$BD$2323,F$1,FALSE),VLOOKUP($A273,Pit!$A$4:$AZ$2261,F$2,FALSE))</f>
        <v>#N/A</v>
      </c>
      <c r="G273" s="16" t="e">
        <f>IF($C273="B",VLOOKUP($A273,Bat!$A$4:$BD$2323,G$1,FALSE),VLOOKUP($A273,Pit!$A$4:$AZ$2261,G$2,FALSE))</f>
        <v>#N/A</v>
      </c>
      <c r="H273" s="16" t="e">
        <f>IF($C273="B",VLOOKUP($A273,Bat!$A$4:$BD$2323,H$1,FALSE),VLOOKUP($A273,Pit!$A$4:$AZ$2261,H$2,FALSE))</f>
        <v>#N/A</v>
      </c>
      <c r="I273" s="16" t="e">
        <f>IF($C273="B",VLOOKUP($A273,Bat!$A$4:$BD$2323,I$1,FALSE),VLOOKUP($A273,Pit!$A$4:$AZ$2261,I$2,FALSE))</f>
        <v>#N/A</v>
      </c>
      <c r="J273" s="16" t="e">
        <f>IF($C273="B",VLOOKUP($A273,Bat!$A$4:$BD$2323,J$1,FALSE),VLOOKUP($A273,Pit!$A$4:$AZ$2261,J$2,FALSE))</f>
        <v>#N/A</v>
      </c>
      <c r="K273" s="17" t="e">
        <f>IF($C273="B",VLOOKUP($A273,Bat!$A$4:$BD$2323,K$1,FALSE),VLOOKUP($A273,Pit!$A$4:$AZ$2261,K$2,FALSE))</f>
        <v>#N/A</v>
      </c>
      <c r="L273" s="16" t="e">
        <f>IF($C273="B",VLOOKUP($A273,Bat!$A$4:$BD$2323,L$1,FALSE),VLOOKUP($A273,Pit!$A$4:$AZ$2261,L$2,FALSE))</f>
        <v>#N/A</v>
      </c>
      <c r="M273" s="16" t="e">
        <f>IF($C273="B",VLOOKUP($A273,Bat!$A$4:$BD$2323,M$1,FALSE),VLOOKUP($A273,Pit!$A$4:$AZ$2261,M$2,FALSE))</f>
        <v>#N/A</v>
      </c>
      <c r="N273" s="16" t="e">
        <f>IF($C273="B",VLOOKUP($A273,Bat!$A$4:$BD$2323,N$1,FALSE),VLOOKUP($A273,Pit!$A$4:$AZ$2261,N$2,FALSE))</f>
        <v>#N/A</v>
      </c>
      <c r="O273" s="16" t="e">
        <f>IF($C273="B",VLOOKUP($A273,Bat!$A$4:$BD$2323,O$1,FALSE),VLOOKUP($A273,Pit!$A$4:$AZ$2261,O$2,FALSE))</f>
        <v>#N/A</v>
      </c>
      <c r="P273" s="17" t="e">
        <f>IF($C273="B",VLOOKUP($A273,Bat!$A$4:$BD$2323,P$1,FALSE),VLOOKUP($A273,Pit!$A$4:$AZ$2261,P$2,FALSE))</f>
        <v>#N/A</v>
      </c>
      <c r="Q273" s="18" t="e">
        <f>IF($C273="B",VLOOKUP($A273,Bat!$A$4:$BD$2323,Q$1,FALSE),VLOOKUP($A273,Pit!$A$4:$AZ$2261,Q$2,FALSE))</f>
        <v>#N/A</v>
      </c>
      <c r="R273" s="19" t="e">
        <f>IF($C273="B",VLOOKUP($A273,Bat!$A$4:$BD$2323,R$1,FALSE),VLOOKUP($A273,Pit!$A$4:$AZ$2261,R$2,FALSE))</f>
        <v>#N/A</v>
      </c>
      <c r="S273" s="20" t="e">
        <f>IF($C273="B",VLOOKUP($A273,Bat!$A$4:$BD$2323,S$1,FALSE),VLOOKUP($A273,Pit!$A$4:$AZ$2261,S$2,FALSE))</f>
        <v>#N/A</v>
      </c>
      <c r="T273" s="17" t="e">
        <f>IF(S273="Slot","",VLOOKUP(IF($C273="B",VLOOKUP($A273,Bat!$A$4:$AT$2323,T$1,FALSE),VLOOKUP($A273,Pit!$A$4:$BD$2261,T$2,FALSE)),COND!$A$34:$B$40,2,FALSE))</f>
        <v>#N/A</v>
      </c>
      <c r="U273" s="21" t="e">
        <f>IF($C273="B",VLOOKUP($A273,Bat!$A$4:$AR$1287,44,FALSE),VLOOKUP($A273,Pit!$A$4:$BB$1239,54,FALSE))</f>
        <v>#N/A</v>
      </c>
      <c r="W273" s="21" t="e">
        <f t="shared" si="18"/>
        <v>#N/A</v>
      </c>
      <c r="X273" s="22" t="e">
        <f t="shared" si="19"/>
        <v>#N/A</v>
      </c>
      <c r="Y273" s="16" t="str">
        <f>IF(ISERROR(VLOOKUP($E273&amp;$F273,Results!$A$2:$G$413,Y$1,FALSE)),"",VLOOKUP($E273&amp;$F273,Results!$A$2:$G$413,Y$1,FALSE))</f>
        <v/>
      </c>
      <c r="Z273" s="16" t="str">
        <f>IF(ISERROR(VLOOKUP($E273&amp;$F273,Results!$A$2:$G$413,Z$1,FALSE)),"",VLOOKUP($E273&amp;$F273,Results!$A$2:$G$413,Z$1,FALSE))</f>
        <v/>
      </c>
      <c r="AA273" s="16" t="str">
        <f>IF(ISERROR(VLOOKUP($E273&amp;$F273,Results!$A$2:$G$413,AA$1,FALSE)),"",VLOOKUP($E273&amp;$F273,Results!$A$2:$G$413,AA$1,FALSE))</f>
        <v/>
      </c>
      <c r="AB273" s="16" t="str">
        <f>IF(ISERROR(VLOOKUP($E273&amp;$F273,Results!$A$2:$G$413,AB$1,FALSE)),"",VLOOKUP($E273&amp;$F273,Results!$A$2:$G$413,AB$1,FALSE))</f>
        <v/>
      </c>
      <c r="AC273" s="16"/>
      <c r="AD273" s="20" t="str">
        <f>IF(ISERROR(VLOOKUP($AB273&amp;"-"&amp;$F273,Bonuses!$B$1:$G$1000,4,FALSE)),"",INT(VLOOKUP($AB273&amp;"-"&amp;$F273,Bonuses!$B$1:$G$1000,4,FALSE)))</f>
        <v/>
      </c>
      <c r="AE273" s="16" t="str">
        <f>IF(ISERROR(VLOOKUP($AB273&amp;"-"&amp;$F273,Bonuses!$B$1:$G$1000,5,FALSE)),"",IF(VLOOKUP($AB273&amp;"-"&amp;$F273,Bonuses!$B$1:$G$1000,5,FALSE)="","",VLOOKUP($AB273&amp;"-"&amp;$F273,Bonuses!$B$1:$G$1000,6,FALSE)&amp;" yrs, "&amp;VLOOKUP($AB273&amp;"-"&amp;$F273,Bonuses!$B$1:$G$1000,5,FALSE)))</f>
        <v/>
      </c>
    </row>
    <row r="274" spans="1:31" s="21" customFormat="1">
      <c r="A274" s="21" t="s">
        <v>756</v>
      </c>
      <c r="B274" s="21">
        <f t="shared" si="16"/>
        <v>1</v>
      </c>
      <c r="C274" s="21" t="str">
        <f t="shared" si="17"/>
        <v>B</v>
      </c>
      <c r="D274" s="17">
        <f>IF($C274="B",VLOOKUP($A274,Bat!$A$4:$BD$2323,D$1,FALSE),VLOOKUP($A274,Pit!$A$4:$AZ$2261,D$2,FALSE))</f>
        <v>13741</v>
      </c>
      <c r="E274" s="16" t="str">
        <f>IF($C274="B",VLOOKUP($A274,Bat!$A$4:$BD$2323,E$1,FALSE),VLOOKUP($A274,Pit!$A$4:$AZ$2261,E$2,FALSE))</f>
        <v>CF</v>
      </c>
      <c r="F274" s="16" t="str">
        <f>IF($C274="B",VLOOKUP($A274,Bat!$A$4:$BD$2323,F$1,FALSE),VLOOKUP($A274,Pit!$A$4:$AZ$2261,F$2,FALSE))</f>
        <v>Jody Hull</v>
      </c>
      <c r="G274" s="16">
        <f>IF($C274="B",VLOOKUP($A274,Bat!$A$4:$BD$2323,G$1,FALSE),VLOOKUP($A274,Pit!$A$4:$AZ$2261,G$2,FALSE))</f>
        <v>18</v>
      </c>
      <c r="H274" s="16" t="str">
        <f>IF($C274="B",VLOOKUP($A274,Bat!$A$4:$BD$2323,H$1,FALSE),VLOOKUP($A274,Pit!$A$4:$AZ$2261,H$2,FALSE))</f>
        <v>R</v>
      </c>
      <c r="I274" s="16" t="str">
        <f>IF($C274="B",VLOOKUP($A274,Bat!$A$4:$BD$2323,I$1,FALSE),VLOOKUP($A274,Pit!$A$4:$AZ$2261,I$2,FALSE))</f>
        <v>R</v>
      </c>
      <c r="J274" s="16" t="str">
        <f>IF($C274="B",VLOOKUP($A274,Bat!$A$4:$BD$2323,J$1,FALSE),VLOOKUP($A274,Pit!$A$4:$AZ$2261,J$2,FALSE))</f>
        <v>Low</v>
      </c>
      <c r="K274" s="17" t="str">
        <f>IF($C274="B",VLOOKUP($A274,Bat!$A$4:$BD$2323,K$1,FALSE),VLOOKUP($A274,Pit!$A$4:$AZ$2261,K$2,FALSE))</f>
        <v>Normal</v>
      </c>
      <c r="L274" s="16">
        <f>IF($C274="B",VLOOKUP($A274,Bat!$A$4:$BD$2323,L$1,FALSE),VLOOKUP($A274,Pit!$A$4:$AZ$2261,L$2,FALSE))</f>
        <v>4</v>
      </c>
      <c r="M274" s="16">
        <f>IF($C274="B",VLOOKUP($A274,Bat!$A$4:$BD$2323,M$1,FALSE),VLOOKUP($A274,Pit!$A$4:$AZ$2261,M$2,FALSE))</f>
        <v>5</v>
      </c>
      <c r="N274" s="16">
        <f>IF($C274="B",VLOOKUP($A274,Bat!$A$4:$BD$2323,N$1,FALSE),VLOOKUP($A274,Pit!$A$4:$AZ$2261,N$2,FALSE))</f>
        <v>2</v>
      </c>
      <c r="O274" s="16">
        <f>IF($C274="B",VLOOKUP($A274,Bat!$A$4:$BD$2323,O$1,FALSE),VLOOKUP($A274,Pit!$A$4:$AZ$2261,O$2,FALSE))</f>
        <v>2</v>
      </c>
      <c r="P274" s="17">
        <f>IF($C274="B",VLOOKUP($A274,Bat!$A$4:$BD$2323,P$1,FALSE),VLOOKUP($A274,Pit!$A$4:$AZ$2261,P$2,FALSE))</f>
        <v>4</v>
      </c>
      <c r="Q274" s="18">
        <f>IF($C274="B",VLOOKUP($A274,Bat!$A$4:$BD$2323,Q$1,FALSE),VLOOKUP($A274,Pit!$A$4:$AZ$2261,Q$2,FALSE))</f>
        <v>2.2663825298209721</v>
      </c>
      <c r="R274" s="19">
        <f>IF($C274="B",VLOOKUP($A274,Bat!$A$4:$BD$2323,R$1,FALSE),VLOOKUP($A274,Pit!$A$4:$AZ$2261,R$2,FALSE))</f>
        <v>-1.1669763022756188</v>
      </c>
      <c r="S274" s="20" t="str">
        <f>IF($C274="B",VLOOKUP($A274,Bat!$A$4:$BD$2323,S$1,FALSE),VLOOKUP($A274,Pit!$A$4:$AZ$2261,S$2,FALSE))</f>
        <v>Slot</v>
      </c>
      <c r="T274" s="17" t="str">
        <f>IF(S274="Slot","",VLOOKUP(IF($C274="B",VLOOKUP($A274,Bat!$A$4:$AT$2323,T$1,FALSE),VLOOKUP($A274,Pit!$A$4:$BD$2261,T$2,FALSE)),COND!$A$34:$B$40,2,FALSE))</f>
        <v/>
      </c>
      <c r="U274" s="21" t="str">
        <f>IF($C274="B",VLOOKUP($A274,Bat!$A$4:$AR$1287,44,FALSE),VLOOKUP($A274,Pit!$A$4:$BB$1239,54,FALSE))</f>
        <v/>
      </c>
      <c r="W274" s="21" t="str">
        <f t="shared" si="18"/>
        <v/>
      </c>
      <c r="X274" s="22" t="e">
        <f t="shared" si="19"/>
        <v>#N/A</v>
      </c>
      <c r="Y274" s="16" t="str">
        <f>IF(ISERROR(VLOOKUP($E274&amp;$F274,Results!$A$2:$G$413,Y$1,FALSE)),"",VLOOKUP($E274&amp;$F274,Results!$A$2:$G$413,Y$1,FALSE))</f>
        <v/>
      </c>
      <c r="Z274" s="16" t="str">
        <f>IF(ISERROR(VLOOKUP($E274&amp;$F274,Results!$A$2:$G$413,Z$1,FALSE)),"",VLOOKUP($E274&amp;$F274,Results!$A$2:$G$413,Z$1,FALSE))</f>
        <v/>
      </c>
      <c r="AA274" s="16" t="str">
        <f>IF(ISERROR(VLOOKUP($E274&amp;$F274,Results!$A$2:$G$413,AA$1,FALSE)),"",VLOOKUP($E274&amp;$F274,Results!$A$2:$G$413,AA$1,FALSE))</f>
        <v/>
      </c>
      <c r="AB274" s="16" t="str">
        <f>IF(ISERROR(VLOOKUP($E274&amp;$F274,Results!$A$2:$G$413,AB$1,FALSE)),"",VLOOKUP($E274&amp;$F274,Results!$A$2:$G$413,AB$1,FALSE))</f>
        <v/>
      </c>
      <c r="AC274" s="16"/>
      <c r="AD274" s="20" t="str">
        <f>IF(ISERROR(VLOOKUP($AB274&amp;"-"&amp;$F274,Bonuses!$B$1:$G$1000,4,FALSE)),"",INT(VLOOKUP($AB274&amp;"-"&amp;$F274,Bonuses!$B$1:$G$1000,4,FALSE)))</f>
        <v/>
      </c>
      <c r="AE274" s="16" t="str">
        <f>IF(ISERROR(VLOOKUP($AB274&amp;"-"&amp;$F274,Bonuses!$B$1:$G$1000,5,FALSE)),"",IF(VLOOKUP($AB274&amp;"-"&amp;$F274,Bonuses!$B$1:$G$1000,5,FALSE)="","",VLOOKUP($AB274&amp;"-"&amp;$F274,Bonuses!$B$1:$G$1000,6,FALSE)&amp;" yrs, "&amp;VLOOKUP($AB274&amp;"-"&amp;$F274,Bonuses!$B$1:$G$1000,5,FALSE)))</f>
        <v/>
      </c>
    </row>
    <row r="275" spans="1:31" s="21" customFormat="1">
      <c r="A275" s="21" t="s">
        <v>753</v>
      </c>
      <c r="B275" s="21">
        <f t="shared" si="16"/>
        <v>1</v>
      </c>
      <c r="C275" s="21" t="str">
        <f t="shared" si="17"/>
        <v>B</v>
      </c>
      <c r="D275" s="17">
        <f>IF($C275="B",VLOOKUP($A275,Bat!$A$4:$BD$2323,D$1,FALSE),VLOOKUP($A275,Pit!$A$4:$AZ$2261,D$2,FALSE))</f>
        <v>13744</v>
      </c>
      <c r="E275" s="16" t="str">
        <f>IF($C275="B",VLOOKUP($A275,Bat!$A$4:$BD$2323,E$1,FALSE),VLOOKUP($A275,Pit!$A$4:$AZ$2261,E$2,FALSE))</f>
        <v>2B</v>
      </c>
      <c r="F275" s="16" t="str">
        <f>IF($C275="B",VLOOKUP($A275,Bat!$A$4:$BD$2323,F$1,FALSE),VLOOKUP($A275,Pit!$A$4:$AZ$2261,F$2,FALSE))</f>
        <v>Caden Carlisle</v>
      </c>
      <c r="G275" s="16">
        <f>IF($C275="B",VLOOKUP($A275,Bat!$A$4:$BD$2323,G$1,FALSE),VLOOKUP($A275,Pit!$A$4:$AZ$2261,G$2,FALSE))</f>
        <v>18</v>
      </c>
      <c r="H275" s="16" t="str">
        <f>IF($C275="B",VLOOKUP($A275,Bat!$A$4:$BD$2323,H$1,FALSE),VLOOKUP($A275,Pit!$A$4:$AZ$2261,H$2,FALSE))</f>
        <v>R</v>
      </c>
      <c r="I275" s="16" t="str">
        <f>IF($C275="B",VLOOKUP($A275,Bat!$A$4:$BD$2323,I$1,FALSE),VLOOKUP($A275,Pit!$A$4:$AZ$2261,I$2,FALSE))</f>
        <v>R</v>
      </c>
      <c r="J275" s="16" t="str">
        <f>IF($C275="B",VLOOKUP($A275,Bat!$A$4:$BD$2323,J$1,FALSE),VLOOKUP($A275,Pit!$A$4:$AZ$2261,J$2,FALSE))</f>
        <v>Low</v>
      </c>
      <c r="K275" s="17" t="str">
        <f>IF($C275="B",VLOOKUP($A275,Bat!$A$4:$BD$2323,K$1,FALSE),VLOOKUP($A275,Pit!$A$4:$AZ$2261,K$2,FALSE))</f>
        <v>Low</v>
      </c>
      <c r="L275" s="16">
        <f>IF($C275="B",VLOOKUP($A275,Bat!$A$4:$BD$2323,L$1,FALSE),VLOOKUP($A275,Pit!$A$4:$AZ$2261,L$2,FALSE))</f>
        <v>4</v>
      </c>
      <c r="M275" s="16">
        <f>IF($C275="B",VLOOKUP($A275,Bat!$A$4:$BD$2323,M$1,FALSE),VLOOKUP($A275,Pit!$A$4:$AZ$2261,M$2,FALSE))</f>
        <v>5</v>
      </c>
      <c r="N275" s="16">
        <f>IF($C275="B",VLOOKUP($A275,Bat!$A$4:$BD$2323,N$1,FALSE),VLOOKUP($A275,Pit!$A$4:$AZ$2261,N$2,FALSE))</f>
        <v>1</v>
      </c>
      <c r="O275" s="16">
        <f>IF($C275="B",VLOOKUP($A275,Bat!$A$4:$BD$2323,O$1,FALSE),VLOOKUP($A275,Pit!$A$4:$AZ$2261,O$2,FALSE))</f>
        <v>2</v>
      </c>
      <c r="P275" s="17">
        <f>IF($C275="B",VLOOKUP($A275,Bat!$A$4:$BD$2323,P$1,FALSE),VLOOKUP($A275,Pit!$A$4:$AZ$2261,P$2,FALSE))</f>
        <v>4</v>
      </c>
      <c r="Q275" s="18">
        <f>IF($C275="B",VLOOKUP($A275,Bat!$A$4:$BD$2323,Q$1,FALSE),VLOOKUP($A275,Pit!$A$4:$AZ$2261,Q$2,FALSE))</f>
        <v>1.9978719469056179</v>
      </c>
      <c r="R275" s="19">
        <f>IF($C275="B",VLOOKUP($A275,Bat!$A$4:$BD$2323,R$1,FALSE),VLOOKUP($A275,Pit!$A$4:$AZ$2261,R$2,FALSE))</f>
        <v>-1.2042787732933613</v>
      </c>
      <c r="S275" s="20">
        <f>IF($C275="B",VLOOKUP($A275,Bat!$A$4:$BD$2323,S$1,FALSE),VLOOKUP($A275,Pit!$A$4:$AZ$2261,S$2,FALSE))</f>
        <v>2800000</v>
      </c>
      <c r="T275" s="17" t="str">
        <f>IF(S275="Slot","",VLOOKUP(IF($C275="B",VLOOKUP($A275,Bat!$A$4:$AT$2323,T$1,FALSE),VLOOKUP($A275,Pit!$A$4:$BD$2261,T$2,FALSE)),COND!$A$34:$B$40,2,FALSE))</f>
        <v>EH</v>
      </c>
      <c r="U275" s="21" t="str">
        <f>IF($C275="B",VLOOKUP($A275,Bat!$A$4:$AR$1287,44,FALSE),VLOOKUP($A275,Pit!$A$4:$BB$1239,54,FALSE))</f>
        <v/>
      </c>
      <c r="W275" s="21" t="str">
        <f t="shared" si="18"/>
        <v/>
      </c>
      <c r="X275" s="22" t="e">
        <f t="shared" si="19"/>
        <v>#N/A</v>
      </c>
      <c r="Y275" s="16" t="str">
        <f>IF(ISERROR(VLOOKUP($E275&amp;$F275,Results!$A$2:$G$413,Y$1,FALSE)),"",VLOOKUP($E275&amp;$F275,Results!$A$2:$G$413,Y$1,FALSE))</f>
        <v/>
      </c>
      <c r="Z275" s="16" t="str">
        <f>IF(ISERROR(VLOOKUP($E275&amp;$F275,Results!$A$2:$G$413,Z$1,FALSE)),"",VLOOKUP($E275&amp;$F275,Results!$A$2:$G$413,Z$1,FALSE))</f>
        <v/>
      </c>
      <c r="AA275" s="16" t="str">
        <f>IF(ISERROR(VLOOKUP($E275&amp;$F275,Results!$A$2:$G$413,AA$1,FALSE)),"",VLOOKUP($E275&amp;$F275,Results!$A$2:$G$413,AA$1,FALSE))</f>
        <v/>
      </c>
      <c r="AB275" s="16" t="str">
        <f>IF(ISERROR(VLOOKUP($E275&amp;$F275,Results!$A$2:$G$413,AB$1,FALSE)),"",VLOOKUP($E275&amp;$F275,Results!$A$2:$G$413,AB$1,FALSE))</f>
        <v/>
      </c>
      <c r="AC275" s="16"/>
      <c r="AD275" s="20" t="str">
        <f>IF(ISERROR(VLOOKUP($AB275&amp;"-"&amp;$F275,Bonuses!$B$1:$G$1000,4,FALSE)),"",INT(VLOOKUP($AB275&amp;"-"&amp;$F275,Bonuses!$B$1:$G$1000,4,FALSE)))</f>
        <v/>
      </c>
      <c r="AE275" s="16" t="str">
        <f>IF(ISERROR(VLOOKUP($AB275&amp;"-"&amp;$F275,Bonuses!$B$1:$G$1000,5,FALSE)),"",IF(VLOOKUP($AB275&amp;"-"&amp;$F275,Bonuses!$B$1:$G$1000,5,FALSE)="","",VLOOKUP($AB275&amp;"-"&amp;$F275,Bonuses!$B$1:$G$1000,6,FALSE)&amp;" yrs, "&amp;VLOOKUP($AB275&amp;"-"&amp;$F275,Bonuses!$B$1:$G$1000,5,FALSE)))</f>
        <v/>
      </c>
    </row>
    <row r="276" spans="1:31" s="21" customFormat="1">
      <c r="A276" s="21" t="s">
        <v>757</v>
      </c>
      <c r="B276" s="21">
        <f t="shared" si="16"/>
        <v>1</v>
      </c>
      <c r="C276" s="21" t="str">
        <f t="shared" si="17"/>
        <v>B</v>
      </c>
      <c r="D276" s="17">
        <f>IF($C276="B",VLOOKUP($A276,Bat!$A$4:$BD$2323,D$1,FALSE),VLOOKUP($A276,Pit!$A$4:$AZ$2261,D$2,FALSE))</f>
        <v>7348</v>
      </c>
      <c r="E276" s="16" t="str">
        <f>IF($C276="B",VLOOKUP($A276,Bat!$A$4:$BD$2323,E$1,FALSE),VLOOKUP($A276,Pit!$A$4:$AZ$2261,E$2,FALSE))</f>
        <v>RF</v>
      </c>
      <c r="F276" s="16" t="str">
        <f>IF($C276="B",VLOOKUP($A276,Bat!$A$4:$BD$2323,F$1,FALSE),VLOOKUP($A276,Pit!$A$4:$AZ$2261,F$2,FALSE))</f>
        <v>Len Knight</v>
      </c>
      <c r="G276" s="16">
        <f>IF($C276="B",VLOOKUP($A276,Bat!$A$4:$BD$2323,G$1,FALSE),VLOOKUP($A276,Pit!$A$4:$AZ$2261,G$2,FALSE))</f>
        <v>21</v>
      </c>
      <c r="H276" s="16" t="str">
        <f>IF($C276="B",VLOOKUP($A276,Bat!$A$4:$BD$2323,H$1,FALSE),VLOOKUP($A276,Pit!$A$4:$AZ$2261,H$2,FALSE))</f>
        <v>S</v>
      </c>
      <c r="I276" s="16" t="str">
        <f>IF($C276="B",VLOOKUP($A276,Bat!$A$4:$BD$2323,I$1,FALSE),VLOOKUP($A276,Pit!$A$4:$AZ$2261,I$2,FALSE))</f>
        <v>R</v>
      </c>
      <c r="J276" s="16" t="str">
        <f>IF($C276="B",VLOOKUP($A276,Bat!$A$4:$BD$2323,J$1,FALSE),VLOOKUP($A276,Pit!$A$4:$AZ$2261,J$2,FALSE))</f>
        <v>Very Low</v>
      </c>
      <c r="K276" s="17" t="str">
        <f>IF($C276="B",VLOOKUP($A276,Bat!$A$4:$BD$2323,K$1,FALSE),VLOOKUP($A276,Pit!$A$4:$AZ$2261,K$2,FALSE))</f>
        <v>Low</v>
      </c>
      <c r="L276" s="16">
        <f>IF($C276="B",VLOOKUP($A276,Bat!$A$4:$BD$2323,L$1,FALSE),VLOOKUP($A276,Pit!$A$4:$AZ$2261,L$2,FALSE))</f>
        <v>4</v>
      </c>
      <c r="M276" s="16">
        <f>IF($C276="B",VLOOKUP($A276,Bat!$A$4:$BD$2323,M$1,FALSE),VLOOKUP($A276,Pit!$A$4:$AZ$2261,M$2,FALSE))</f>
        <v>6</v>
      </c>
      <c r="N276" s="16">
        <f>IF($C276="B",VLOOKUP($A276,Bat!$A$4:$BD$2323,N$1,FALSE),VLOOKUP($A276,Pit!$A$4:$AZ$2261,N$2,FALSE))</f>
        <v>1</v>
      </c>
      <c r="O276" s="16">
        <f>IF($C276="B",VLOOKUP($A276,Bat!$A$4:$BD$2323,O$1,FALSE),VLOOKUP($A276,Pit!$A$4:$AZ$2261,O$2,FALSE))</f>
        <v>2</v>
      </c>
      <c r="P276" s="17">
        <f>IF($C276="B",VLOOKUP($A276,Bat!$A$4:$BD$2323,P$1,FALSE),VLOOKUP($A276,Pit!$A$4:$AZ$2261,P$2,FALSE))</f>
        <v>3</v>
      </c>
      <c r="Q276" s="18">
        <f>IF($C276="B",VLOOKUP($A276,Bat!$A$4:$BD$2323,Q$1,FALSE),VLOOKUP($A276,Pit!$A$4:$AZ$2261,Q$2,FALSE))</f>
        <v>1.7257858683377076</v>
      </c>
      <c r="R276" s="19">
        <f>IF($C276="B",VLOOKUP($A276,Bat!$A$4:$BD$2323,R$1,FALSE),VLOOKUP($A276,Pit!$A$4:$AZ$2261,R$2,FALSE))</f>
        <v>-1.2420779652280429</v>
      </c>
      <c r="S276" s="20" t="str">
        <f>IF($C276="B",VLOOKUP($A276,Bat!$A$4:$BD$2323,S$1,FALSE),VLOOKUP($A276,Pit!$A$4:$AZ$2261,S$2,FALSE))</f>
        <v>Slot</v>
      </c>
      <c r="T276" s="17" t="str">
        <f>IF(S276="Slot","",VLOOKUP(IF($C276="B",VLOOKUP($A276,Bat!$A$4:$AT$2323,T$1,FALSE),VLOOKUP($A276,Pit!$A$4:$BD$2261,T$2,FALSE)),COND!$A$34:$B$40,2,FALSE))</f>
        <v/>
      </c>
      <c r="U276" s="21" t="str">
        <f>IF($C276="B",VLOOKUP($A276,Bat!$A$4:$AR$1287,44,FALSE),VLOOKUP($A276,Pit!$A$4:$BB$1239,54,FALSE))</f>
        <v/>
      </c>
      <c r="W276" s="21" t="str">
        <f t="shared" si="18"/>
        <v/>
      </c>
      <c r="X276" s="22" t="e">
        <f t="shared" si="19"/>
        <v>#N/A</v>
      </c>
      <c r="Y276" s="16" t="str">
        <f>IF(ISERROR(VLOOKUP($E276&amp;$F276,Results!$A$2:$G$413,Y$1,FALSE)),"",VLOOKUP($E276&amp;$F276,Results!$A$2:$G$413,Y$1,FALSE))</f>
        <v/>
      </c>
      <c r="Z276" s="16" t="str">
        <f>IF(ISERROR(VLOOKUP($E276&amp;$F276,Results!$A$2:$G$413,Z$1,FALSE)),"",VLOOKUP($E276&amp;$F276,Results!$A$2:$G$413,Z$1,FALSE))</f>
        <v/>
      </c>
      <c r="AA276" s="16" t="str">
        <f>IF(ISERROR(VLOOKUP($E276&amp;$F276,Results!$A$2:$G$413,AA$1,FALSE)),"",VLOOKUP($E276&amp;$F276,Results!$A$2:$G$413,AA$1,FALSE))</f>
        <v/>
      </c>
      <c r="AB276" s="16" t="str">
        <f>IF(ISERROR(VLOOKUP($E276&amp;$F276,Results!$A$2:$G$413,AB$1,FALSE)),"",VLOOKUP($E276&amp;$F276,Results!$A$2:$G$413,AB$1,FALSE))</f>
        <v/>
      </c>
      <c r="AC276" s="16"/>
      <c r="AD276" s="20" t="str">
        <f>IF(ISERROR(VLOOKUP($AB276&amp;"-"&amp;$F276,Bonuses!$B$1:$G$1000,4,FALSE)),"",INT(VLOOKUP($AB276&amp;"-"&amp;$F276,Bonuses!$B$1:$G$1000,4,FALSE)))</f>
        <v/>
      </c>
      <c r="AE276" s="16" t="str">
        <f>IF(ISERROR(VLOOKUP($AB276&amp;"-"&amp;$F276,Bonuses!$B$1:$G$1000,5,FALSE)),"",IF(VLOOKUP($AB276&amp;"-"&amp;$F276,Bonuses!$B$1:$G$1000,5,FALSE)="","",VLOOKUP($AB276&amp;"-"&amp;$F276,Bonuses!$B$1:$G$1000,6,FALSE)&amp;" yrs, "&amp;VLOOKUP($AB276&amp;"-"&amp;$F276,Bonuses!$B$1:$G$1000,5,FALSE)))</f>
        <v/>
      </c>
    </row>
    <row r="277" spans="1:31" s="21" customFormat="1">
      <c r="A277" s="21" t="s">
        <v>449</v>
      </c>
      <c r="B277" s="21">
        <f t="shared" si="16"/>
        <v>1</v>
      </c>
      <c r="C277" s="21" t="str">
        <f t="shared" si="17"/>
        <v>B</v>
      </c>
      <c r="D277" s="17" t="e">
        <f>IF($C277="B",VLOOKUP($A277,Bat!$A$4:$BD$2323,D$1,FALSE),VLOOKUP($A277,Pit!$A$4:$AZ$2261,D$2,FALSE))</f>
        <v>#N/A</v>
      </c>
      <c r="E277" s="16" t="str">
        <f>IF($C277="B",VLOOKUP($A277,Bat!$A$4:$BD$2323,E$1,FALSE),VLOOKUP($A277,Pit!$A$4:$AZ$2261,E$2,FALSE))</f>
        <v>C</v>
      </c>
      <c r="F277" s="16" t="str">
        <f>IF($C277="B",VLOOKUP($A277,Bat!$A$4:$BD$2323,F$1,FALSE),VLOOKUP($A277,Pit!$A$4:$AZ$2261,F$2,FALSE))</f>
        <v>Louis-Émile Martineau</v>
      </c>
      <c r="G277" s="16">
        <f>IF($C277="B",VLOOKUP($A277,Bat!$A$4:$BD$2323,G$1,FALSE),VLOOKUP($A277,Pit!$A$4:$AZ$2261,G$2,FALSE))</f>
        <v>18</v>
      </c>
      <c r="H277" s="16" t="str">
        <f>IF($C277="B",VLOOKUP($A277,Bat!$A$4:$BD$2323,H$1,FALSE),VLOOKUP($A277,Pit!$A$4:$AZ$2261,H$2,FALSE))</f>
        <v>S</v>
      </c>
      <c r="I277" s="16" t="str">
        <f>IF($C277="B",VLOOKUP($A277,Bat!$A$4:$BD$2323,I$1,FALSE),VLOOKUP($A277,Pit!$A$4:$AZ$2261,I$2,FALSE))</f>
        <v>R</v>
      </c>
      <c r="J277" s="16" t="str">
        <f>IF($C277="B",VLOOKUP($A277,Bat!$A$4:$BD$2323,J$1,FALSE),VLOOKUP($A277,Pit!$A$4:$AZ$2261,J$2,FALSE))</f>
        <v>Normal</v>
      </c>
      <c r="K277" s="17" t="str">
        <f>IF($C277="B",VLOOKUP($A277,Bat!$A$4:$BD$2323,K$1,FALSE),VLOOKUP($A277,Pit!$A$4:$AZ$2261,K$2,FALSE))</f>
        <v>Normal</v>
      </c>
      <c r="L277" s="16">
        <f>IF($C277="B",VLOOKUP($A277,Bat!$A$4:$BD$2323,L$1,FALSE),VLOOKUP($A277,Pit!$A$4:$AZ$2261,L$2,FALSE))</f>
        <v>4</v>
      </c>
      <c r="M277" s="16">
        <f>IF($C277="B",VLOOKUP($A277,Bat!$A$4:$BD$2323,M$1,FALSE),VLOOKUP($A277,Pit!$A$4:$AZ$2261,M$2,FALSE))</f>
        <v>3</v>
      </c>
      <c r="N277" s="16">
        <f>IF($C277="B",VLOOKUP($A277,Bat!$A$4:$BD$2323,N$1,FALSE),VLOOKUP($A277,Pit!$A$4:$AZ$2261,N$2,FALSE))</f>
        <v>2</v>
      </c>
      <c r="O277" s="16">
        <f>IF($C277="B",VLOOKUP($A277,Bat!$A$4:$BD$2323,O$1,FALSE),VLOOKUP($A277,Pit!$A$4:$AZ$2261,O$2,FALSE))</f>
        <v>2</v>
      </c>
      <c r="P277" s="17">
        <f>IF($C277="B",VLOOKUP($A277,Bat!$A$4:$BD$2323,P$1,FALSE),VLOOKUP($A277,Pit!$A$4:$AZ$2261,P$2,FALSE))</f>
        <v>5</v>
      </c>
      <c r="Q277" s="18">
        <f>IF($C277="B",VLOOKUP($A277,Bat!$A$4:$BD$2323,Q$1,FALSE),VLOOKUP($A277,Pit!$A$4:$AZ$2261,Q$2,FALSE))</f>
        <v>1.6109295208533521</v>
      </c>
      <c r="R277" s="19">
        <f>IF($C277="B",VLOOKUP($A277,Bat!$A$4:$BD$2323,R$1,FALSE),VLOOKUP($A277,Pit!$A$4:$AZ$2261,R$2,FALSE))</f>
        <v>-1.2580342285779667</v>
      </c>
      <c r="S277" s="20" t="str">
        <f>IF($C277="B",VLOOKUP($A277,Bat!$A$4:$BD$2323,S$1,FALSE),VLOOKUP($A277,Pit!$A$4:$AZ$2261,S$2,FALSE))</f>
        <v>Slot</v>
      </c>
      <c r="T277" s="17" t="str">
        <f>IF(S277="Slot","",VLOOKUP(IF($C277="B",VLOOKUP($A277,Bat!$A$4:$AT$2323,T$1,FALSE),VLOOKUP($A277,Pit!$A$4:$BD$2261,T$2,FALSE)),COND!$A$34:$B$40,2,FALSE))</f>
        <v/>
      </c>
      <c r="U277" s="21" t="str">
        <f>IF($C277="B",VLOOKUP($A277,Bat!$A$4:$AR$1287,44,FALSE),VLOOKUP($A277,Pit!$A$4:$BB$1239,54,FALSE))</f>
        <v/>
      </c>
      <c r="W277" s="21" t="str">
        <f t="shared" si="18"/>
        <v/>
      </c>
      <c r="X277" s="22" t="e">
        <f t="shared" si="19"/>
        <v>#N/A</v>
      </c>
      <c r="Y277" s="16" t="str">
        <f>IF(ISERROR(VLOOKUP($E277&amp;$F277,Results!$A$2:$G$413,Y$1,FALSE)),"",VLOOKUP($E277&amp;$F277,Results!$A$2:$G$413,Y$1,FALSE))</f>
        <v/>
      </c>
      <c r="Z277" s="16" t="str">
        <f>IF(ISERROR(VLOOKUP($E277&amp;$F277,Results!$A$2:$G$413,Z$1,FALSE)),"",VLOOKUP($E277&amp;$F277,Results!$A$2:$G$413,Z$1,FALSE))</f>
        <v/>
      </c>
      <c r="AA277" s="16" t="str">
        <f>IF(ISERROR(VLOOKUP($E277&amp;$F277,Results!$A$2:$G$413,AA$1,FALSE)),"",VLOOKUP($E277&amp;$F277,Results!$A$2:$G$413,AA$1,FALSE))</f>
        <v/>
      </c>
      <c r="AB277" s="16" t="str">
        <f>IF(ISERROR(VLOOKUP($E277&amp;$F277,Results!$A$2:$G$413,AB$1,FALSE)),"",VLOOKUP($E277&amp;$F277,Results!$A$2:$G$413,AB$1,FALSE))</f>
        <v/>
      </c>
      <c r="AC277" s="16"/>
      <c r="AD277" s="20" t="str">
        <f>IF(ISERROR(VLOOKUP($AB277&amp;"-"&amp;$F277,Bonuses!$B$1:$G$1000,4,FALSE)),"",INT(VLOOKUP($AB277&amp;"-"&amp;$F277,Bonuses!$B$1:$G$1000,4,FALSE)))</f>
        <v/>
      </c>
      <c r="AE277" s="16" t="str">
        <f>IF(ISERROR(VLOOKUP($AB277&amp;"-"&amp;$F277,Bonuses!$B$1:$G$1000,5,FALSE)),"",IF(VLOOKUP($AB277&amp;"-"&amp;$F277,Bonuses!$B$1:$G$1000,5,FALSE)="","",VLOOKUP($AB277&amp;"-"&amp;$F277,Bonuses!$B$1:$G$1000,6,FALSE)&amp;" yrs, "&amp;VLOOKUP($AB277&amp;"-"&amp;$F277,Bonuses!$B$1:$G$1000,5,FALSE)))</f>
        <v/>
      </c>
    </row>
    <row r="278" spans="1:31" s="21" customFormat="1">
      <c r="A278" s="21" t="s">
        <v>759</v>
      </c>
      <c r="B278" s="21">
        <f t="shared" si="16"/>
        <v>1</v>
      </c>
      <c r="C278" s="21" t="str">
        <f t="shared" si="17"/>
        <v>B</v>
      </c>
      <c r="D278" s="17" t="e">
        <f>IF($C278="B",VLOOKUP($A278,Bat!$A$4:$BD$2323,D$1,FALSE),VLOOKUP($A278,Pit!$A$4:$AZ$2261,D$2,FALSE))</f>
        <v>#N/A</v>
      </c>
      <c r="E278" s="16" t="e">
        <f>IF($C278="B",VLOOKUP($A278,Bat!$A$4:$BD$2323,E$1,FALSE),VLOOKUP($A278,Pit!$A$4:$AZ$2261,E$2,FALSE))</f>
        <v>#N/A</v>
      </c>
      <c r="F278" s="16" t="e">
        <f>IF($C278="B",VLOOKUP($A278,Bat!$A$4:$BD$2323,F$1,FALSE),VLOOKUP($A278,Pit!$A$4:$AZ$2261,F$2,FALSE))</f>
        <v>#N/A</v>
      </c>
      <c r="G278" s="16" t="e">
        <f>IF($C278="B",VLOOKUP($A278,Bat!$A$4:$BD$2323,G$1,FALSE),VLOOKUP($A278,Pit!$A$4:$AZ$2261,G$2,FALSE))</f>
        <v>#N/A</v>
      </c>
      <c r="H278" s="16" t="e">
        <f>IF($C278="B",VLOOKUP($A278,Bat!$A$4:$BD$2323,H$1,FALSE),VLOOKUP($A278,Pit!$A$4:$AZ$2261,H$2,FALSE))</f>
        <v>#N/A</v>
      </c>
      <c r="I278" s="16" t="e">
        <f>IF($C278="B",VLOOKUP($A278,Bat!$A$4:$BD$2323,I$1,FALSE),VLOOKUP($A278,Pit!$A$4:$AZ$2261,I$2,FALSE))</f>
        <v>#N/A</v>
      </c>
      <c r="J278" s="16" t="e">
        <f>IF($C278="B",VLOOKUP($A278,Bat!$A$4:$BD$2323,J$1,FALSE),VLOOKUP($A278,Pit!$A$4:$AZ$2261,J$2,FALSE))</f>
        <v>#N/A</v>
      </c>
      <c r="K278" s="17" t="e">
        <f>IF($C278="B",VLOOKUP($A278,Bat!$A$4:$BD$2323,K$1,FALSE),VLOOKUP($A278,Pit!$A$4:$AZ$2261,K$2,FALSE))</f>
        <v>#N/A</v>
      </c>
      <c r="L278" s="16" t="e">
        <f>IF($C278="B",VLOOKUP($A278,Bat!$A$4:$BD$2323,L$1,FALSE),VLOOKUP($A278,Pit!$A$4:$AZ$2261,L$2,FALSE))</f>
        <v>#N/A</v>
      </c>
      <c r="M278" s="16" t="e">
        <f>IF($C278="B",VLOOKUP($A278,Bat!$A$4:$BD$2323,M$1,FALSE),VLOOKUP($A278,Pit!$A$4:$AZ$2261,M$2,FALSE))</f>
        <v>#N/A</v>
      </c>
      <c r="N278" s="16" t="e">
        <f>IF($C278="B",VLOOKUP($A278,Bat!$A$4:$BD$2323,N$1,FALSE),VLOOKUP($A278,Pit!$A$4:$AZ$2261,N$2,FALSE))</f>
        <v>#N/A</v>
      </c>
      <c r="O278" s="16" t="e">
        <f>IF($C278="B",VLOOKUP($A278,Bat!$A$4:$BD$2323,O$1,FALSE),VLOOKUP($A278,Pit!$A$4:$AZ$2261,O$2,FALSE))</f>
        <v>#N/A</v>
      </c>
      <c r="P278" s="17" t="e">
        <f>IF($C278="B",VLOOKUP($A278,Bat!$A$4:$BD$2323,P$1,FALSE),VLOOKUP($A278,Pit!$A$4:$AZ$2261,P$2,FALSE))</f>
        <v>#N/A</v>
      </c>
      <c r="Q278" s="18" t="e">
        <f>IF($C278="B",VLOOKUP($A278,Bat!$A$4:$BD$2323,Q$1,FALSE),VLOOKUP($A278,Pit!$A$4:$AZ$2261,Q$2,FALSE))</f>
        <v>#N/A</v>
      </c>
      <c r="R278" s="19" t="e">
        <f>IF($C278="B",VLOOKUP($A278,Bat!$A$4:$BD$2323,R$1,FALSE),VLOOKUP($A278,Pit!$A$4:$AZ$2261,R$2,FALSE))</f>
        <v>#N/A</v>
      </c>
      <c r="S278" s="20" t="e">
        <f>IF($C278="B",VLOOKUP($A278,Bat!$A$4:$BD$2323,S$1,FALSE),VLOOKUP($A278,Pit!$A$4:$AZ$2261,S$2,FALSE))</f>
        <v>#N/A</v>
      </c>
      <c r="T278" s="17" t="e">
        <f>IF(S278="Slot","",VLOOKUP(IF($C278="B",VLOOKUP($A278,Bat!$A$4:$AT$2323,T$1,FALSE),VLOOKUP($A278,Pit!$A$4:$BD$2261,T$2,FALSE)),COND!$A$34:$B$40,2,FALSE))</f>
        <v>#N/A</v>
      </c>
      <c r="U278" s="21" t="e">
        <f>IF($C278="B",VLOOKUP($A278,Bat!$A$4:$AR$1287,44,FALSE),VLOOKUP($A278,Pit!$A$4:$BB$1239,54,FALSE))</f>
        <v>#N/A</v>
      </c>
      <c r="W278" s="21" t="e">
        <f t="shared" si="18"/>
        <v>#N/A</v>
      </c>
      <c r="X278" s="22" t="e">
        <f t="shared" si="19"/>
        <v>#N/A</v>
      </c>
      <c r="Y278" s="16" t="str">
        <f>IF(ISERROR(VLOOKUP($E278&amp;$F278,Results!$A$2:$G$413,Y$1,FALSE)),"",VLOOKUP($E278&amp;$F278,Results!$A$2:$G$413,Y$1,FALSE))</f>
        <v/>
      </c>
      <c r="Z278" s="16" t="str">
        <f>IF(ISERROR(VLOOKUP($E278&amp;$F278,Results!$A$2:$G$413,Z$1,FALSE)),"",VLOOKUP($E278&amp;$F278,Results!$A$2:$G$413,Z$1,FALSE))</f>
        <v/>
      </c>
      <c r="AA278" s="16" t="str">
        <f>IF(ISERROR(VLOOKUP($E278&amp;$F278,Results!$A$2:$G$413,AA$1,FALSE)),"",VLOOKUP($E278&amp;$F278,Results!$A$2:$G$413,AA$1,FALSE))</f>
        <v/>
      </c>
      <c r="AB278" s="16" t="str">
        <f>IF(ISERROR(VLOOKUP($E278&amp;$F278,Results!$A$2:$G$413,AB$1,FALSE)),"",VLOOKUP($E278&amp;$F278,Results!$A$2:$G$413,AB$1,FALSE))</f>
        <v/>
      </c>
      <c r="AC278" s="16"/>
      <c r="AD278" s="20" t="str">
        <f>IF(ISERROR(VLOOKUP($AB278&amp;"-"&amp;$F278,Bonuses!$B$1:$G$1000,4,FALSE)),"",INT(VLOOKUP($AB278&amp;"-"&amp;$F278,Bonuses!$B$1:$G$1000,4,FALSE)))</f>
        <v/>
      </c>
      <c r="AE278" s="16" t="str">
        <f>IF(ISERROR(VLOOKUP($AB278&amp;"-"&amp;$F278,Bonuses!$B$1:$G$1000,5,FALSE)),"",IF(VLOOKUP($AB278&amp;"-"&amp;$F278,Bonuses!$B$1:$G$1000,5,FALSE)="","",VLOOKUP($AB278&amp;"-"&amp;$F278,Bonuses!$B$1:$G$1000,6,FALSE)&amp;" yrs, "&amp;VLOOKUP($AB278&amp;"-"&amp;$F278,Bonuses!$B$1:$G$1000,5,FALSE)))</f>
        <v/>
      </c>
    </row>
    <row r="279" spans="1:31" s="21" customFormat="1">
      <c r="A279" s="21" t="s">
        <v>749</v>
      </c>
      <c r="B279" s="21">
        <f t="shared" si="16"/>
        <v>1</v>
      </c>
      <c r="C279" s="21" t="str">
        <f t="shared" si="17"/>
        <v>B</v>
      </c>
      <c r="D279" s="17">
        <f>IF($C279="B",VLOOKUP($A279,Bat!$A$4:$BD$2323,D$1,FALSE),VLOOKUP($A279,Pit!$A$4:$AZ$2261,D$2,FALSE))</f>
        <v>2513</v>
      </c>
      <c r="E279" s="16" t="str">
        <f>IF($C279="B",VLOOKUP($A279,Bat!$A$4:$BD$2323,E$1,FALSE),VLOOKUP($A279,Pit!$A$4:$AZ$2261,E$2,FALSE))</f>
        <v>SS</v>
      </c>
      <c r="F279" s="16" t="str">
        <f>IF($C279="B",VLOOKUP($A279,Bat!$A$4:$BD$2323,F$1,FALSE),VLOOKUP($A279,Pit!$A$4:$AZ$2261,F$2,FALSE))</f>
        <v>Dale Kelly</v>
      </c>
      <c r="G279" s="16">
        <f>IF($C279="B",VLOOKUP($A279,Bat!$A$4:$BD$2323,G$1,FALSE),VLOOKUP($A279,Pit!$A$4:$AZ$2261,G$2,FALSE))</f>
        <v>21</v>
      </c>
      <c r="H279" s="16" t="str">
        <f>IF($C279="B",VLOOKUP($A279,Bat!$A$4:$BD$2323,H$1,FALSE),VLOOKUP($A279,Pit!$A$4:$AZ$2261,H$2,FALSE))</f>
        <v>R</v>
      </c>
      <c r="I279" s="16" t="str">
        <f>IF($C279="B",VLOOKUP($A279,Bat!$A$4:$BD$2323,I$1,FALSE),VLOOKUP($A279,Pit!$A$4:$AZ$2261,I$2,FALSE))</f>
        <v>R</v>
      </c>
      <c r="J279" s="16" t="str">
        <f>IF($C279="B",VLOOKUP($A279,Bat!$A$4:$BD$2323,J$1,FALSE),VLOOKUP($A279,Pit!$A$4:$AZ$2261,J$2,FALSE))</f>
        <v>Very Low</v>
      </c>
      <c r="K279" s="17" t="str">
        <f>IF($C279="B",VLOOKUP($A279,Bat!$A$4:$BD$2323,K$1,FALSE),VLOOKUP($A279,Pit!$A$4:$AZ$2261,K$2,FALSE))</f>
        <v>Normal</v>
      </c>
      <c r="L279" s="16">
        <f>IF($C279="B",VLOOKUP($A279,Bat!$A$4:$BD$2323,L$1,FALSE),VLOOKUP($A279,Pit!$A$4:$AZ$2261,L$2,FALSE))</f>
        <v>4</v>
      </c>
      <c r="M279" s="16">
        <f>IF($C279="B",VLOOKUP($A279,Bat!$A$4:$BD$2323,M$1,FALSE),VLOOKUP($A279,Pit!$A$4:$AZ$2261,M$2,FALSE))</f>
        <v>3</v>
      </c>
      <c r="N279" s="16">
        <f>IF($C279="B",VLOOKUP($A279,Bat!$A$4:$BD$2323,N$1,FALSE),VLOOKUP($A279,Pit!$A$4:$AZ$2261,N$2,FALSE))</f>
        <v>1</v>
      </c>
      <c r="O279" s="16">
        <f>IF($C279="B",VLOOKUP($A279,Bat!$A$4:$BD$2323,O$1,FALSE),VLOOKUP($A279,Pit!$A$4:$AZ$2261,O$2,FALSE))</f>
        <v>2</v>
      </c>
      <c r="P279" s="17">
        <f>IF($C279="B",VLOOKUP($A279,Bat!$A$4:$BD$2323,P$1,FALSE),VLOOKUP($A279,Pit!$A$4:$AZ$2261,P$2,FALSE))</f>
        <v>4</v>
      </c>
      <c r="Q279" s="18">
        <f>IF($C279="B",VLOOKUP($A279,Bat!$A$4:$BD$2323,Q$1,FALSE),VLOOKUP($A279,Pit!$A$4:$AZ$2261,Q$2,FALSE))</f>
        <v>1.540947637278979</v>
      </c>
      <c r="R279" s="19">
        <f>IF($C279="B",VLOOKUP($A279,Bat!$A$4:$BD$2323,R$1,FALSE),VLOOKUP($A279,Pit!$A$4:$AZ$2261,R$2,FALSE))</f>
        <v>-1.2677563674801158</v>
      </c>
      <c r="S279" s="20" t="str">
        <f>IF($C279="B",VLOOKUP($A279,Bat!$A$4:$BD$2323,S$1,FALSE),VLOOKUP($A279,Pit!$A$4:$AZ$2261,S$2,FALSE))</f>
        <v>Slot</v>
      </c>
      <c r="T279" s="17" t="str">
        <f>IF(S279="Slot","",VLOOKUP(IF($C279="B",VLOOKUP($A279,Bat!$A$4:$AT$2323,T$1,FALSE),VLOOKUP($A279,Pit!$A$4:$BD$2261,T$2,FALSE)),COND!$A$34:$B$40,2,FALSE))</f>
        <v/>
      </c>
      <c r="U279" s="21" t="str">
        <f>IF($C279="B",VLOOKUP($A279,Bat!$A$4:$AR$1287,44,FALSE),VLOOKUP($A279,Pit!$A$4:$BB$1239,54,FALSE))</f>
        <v/>
      </c>
      <c r="W279" s="21" t="str">
        <f t="shared" si="18"/>
        <v/>
      </c>
      <c r="X279" s="22" t="e">
        <f t="shared" si="19"/>
        <v>#N/A</v>
      </c>
      <c r="Y279" s="16" t="str">
        <f>IF(ISERROR(VLOOKUP($E279&amp;$F279,Results!$A$2:$G$413,Y$1,FALSE)),"",VLOOKUP($E279&amp;$F279,Results!$A$2:$G$413,Y$1,FALSE))</f>
        <v/>
      </c>
      <c r="Z279" s="16" t="str">
        <f>IF(ISERROR(VLOOKUP($E279&amp;$F279,Results!$A$2:$G$413,Z$1,FALSE)),"",VLOOKUP($E279&amp;$F279,Results!$A$2:$G$413,Z$1,FALSE))</f>
        <v/>
      </c>
      <c r="AA279" s="16" t="str">
        <f>IF(ISERROR(VLOOKUP($E279&amp;$F279,Results!$A$2:$G$413,AA$1,FALSE)),"",VLOOKUP($E279&amp;$F279,Results!$A$2:$G$413,AA$1,FALSE))</f>
        <v/>
      </c>
      <c r="AB279" s="16" t="str">
        <f>IF(ISERROR(VLOOKUP($E279&amp;$F279,Results!$A$2:$G$413,AB$1,FALSE)),"",VLOOKUP($E279&amp;$F279,Results!$A$2:$G$413,AB$1,FALSE))</f>
        <v/>
      </c>
      <c r="AC279" s="16"/>
      <c r="AD279" s="20" t="str">
        <f>IF(ISERROR(VLOOKUP($AB279&amp;"-"&amp;$F279,Bonuses!$B$1:$G$1000,4,FALSE)),"",INT(VLOOKUP($AB279&amp;"-"&amp;$F279,Bonuses!$B$1:$G$1000,4,FALSE)))</f>
        <v/>
      </c>
      <c r="AE279" s="16" t="str">
        <f>IF(ISERROR(VLOOKUP($AB279&amp;"-"&amp;$F279,Bonuses!$B$1:$G$1000,5,FALSE)),"",IF(VLOOKUP($AB279&amp;"-"&amp;$F279,Bonuses!$B$1:$G$1000,5,FALSE)="","",VLOOKUP($AB279&amp;"-"&amp;$F279,Bonuses!$B$1:$G$1000,6,FALSE)&amp;" yrs, "&amp;VLOOKUP($AB279&amp;"-"&amp;$F279,Bonuses!$B$1:$G$1000,5,FALSE)))</f>
        <v/>
      </c>
    </row>
    <row r="280" spans="1:31" s="21" customFormat="1">
      <c r="A280" s="21" t="s">
        <v>758</v>
      </c>
      <c r="B280" s="21">
        <f t="shared" si="16"/>
        <v>1</v>
      </c>
      <c r="C280" s="21" t="str">
        <f t="shared" si="17"/>
        <v>B</v>
      </c>
      <c r="D280" s="17">
        <f>IF($C280="B",VLOOKUP($A280,Bat!$A$4:$BD$2323,D$1,FALSE),VLOOKUP($A280,Pit!$A$4:$AZ$2261,D$2,FALSE))</f>
        <v>7303</v>
      </c>
      <c r="E280" s="16" t="str">
        <f>IF($C280="B",VLOOKUP($A280,Bat!$A$4:$BD$2323,E$1,FALSE),VLOOKUP($A280,Pit!$A$4:$AZ$2261,E$2,FALSE))</f>
        <v>2B</v>
      </c>
      <c r="F280" s="16" t="str">
        <f>IF($C280="B",VLOOKUP($A280,Bat!$A$4:$BD$2323,F$1,FALSE),VLOOKUP($A280,Pit!$A$4:$AZ$2261,F$2,FALSE))</f>
        <v>Errol Walker</v>
      </c>
      <c r="G280" s="16">
        <f>IF($C280="B",VLOOKUP($A280,Bat!$A$4:$BD$2323,G$1,FALSE),VLOOKUP($A280,Pit!$A$4:$AZ$2261,G$2,FALSE))</f>
        <v>20</v>
      </c>
      <c r="H280" s="16" t="str">
        <f>IF($C280="B",VLOOKUP($A280,Bat!$A$4:$BD$2323,H$1,FALSE),VLOOKUP($A280,Pit!$A$4:$AZ$2261,H$2,FALSE))</f>
        <v>R</v>
      </c>
      <c r="I280" s="16" t="str">
        <f>IF($C280="B",VLOOKUP($A280,Bat!$A$4:$BD$2323,I$1,FALSE),VLOOKUP($A280,Pit!$A$4:$AZ$2261,I$2,FALSE))</f>
        <v>R</v>
      </c>
      <c r="J280" s="16" t="str">
        <f>IF($C280="B",VLOOKUP($A280,Bat!$A$4:$BD$2323,J$1,FALSE),VLOOKUP($A280,Pit!$A$4:$AZ$2261,J$2,FALSE))</f>
        <v>Very Low</v>
      </c>
      <c r="K280" s="17" t="str">
        <f>IF($C280="B",VLOOKUP($A280,Bat!$A$4:$BD$2323,K$1,FALSE),VLOOKUP($A280,Pit!$A$4:$AZ$2261,K$2,FALSE))</f>
        <v>Normal</v>
      </c>
      <c r="L280" s="16">
        <f>IF($C280="B",VLOOKUP($A280,Bat!$A$4:$BD$2323,L$1,FALSE),VLOOKUP($A280,Pit!$A$4:$AZ$2261,L$2,FALSE))</f>
        <v>4</v>
      </c>
      <c r="M280" s="16">
        <f>IF($C280="B",VLOOKUP($A280,Bat!$A$4:$BD$2323,M$1,FALSE),VLOOKUP($A280,Pit!$A$4:$AZ$2261,M$2,FALSE))</f>
        <v>5</v>
      </c>
      <c r="N280" s="16">
        <f>IF($C280="B",VLOOKUP($A280,Bat!$A$4:$BD$2323,N$1,FALSE),VLOOKUP($A280,Pit!$A$4:$AZ$2261,N$2,FALSE))</f>
        <v>1</v>
      </c>
      <c r="O280" s="16">
        <f>IF($C280="B",VLOOKUP($A280,Bat!$A$4:$BD$2323,O$1,FALSE),VLOOKUP($A280,Pit!$A$4:$AZ$2261,O$2,FALSE))</f>
        <v>2</v>
      </c>
      <c r="P280" s="17">
        <f>IF($C280="B",VLOOKUP($A280,Bat!$A$4:$BD$2323,P$1,FALSE),VLOOKUP($A280,Pit!$A$4:$AZ$2261,P$2,FALSE))</f>
        <v>4</v>
      </c>
      <c r="Q280" s="18">
        <f>IF($C280="B",VLOOKUP($A280,Bat!$A$4:$BD$2323,Q$1,FALSE),VLOOKUP($A280,Pit!$A$4:$AZ$2261,Q$2,FALSE))</f>
        <v>1.5341557687746903</v>
      </c>
      <c r="R280" s="19">
        <f>IF($C280="B",VLOOKUP($A280,Bat!$A$4:$BD$2323,R$1,FALSE),VLOOKUP($A280,Pit!$A$4:$AZ$2261,R$2,FALSE))</f>
        <v>-1.268699918662668</v>
      </c>
      <c r="S280" s="20">
        <f>IF($C280="B",VLOOKUP($A280,Bat!$A$4:$BD$2323,S$1,FALSE),VLOOKUP($A280,Pit!$A$4:$AZ$2261,S$2,FALSE))</f>
        <v>210000</v>
      </c>
      <c r="T280" s="17" t="str">
        <f>IF(S280="Slot","",VLOOKUP(IF($C280="B",VLOOKUP($A280,Bat!$A$4:$AT$2323,T$1,FALSE),VLOOKUP($A280,Pit!$A$4:$BD$2261,T$2,FALSE)),COND!$A$34:$B$40,2,FALSE))</f>
        <v>EH</v>
      </c>
      <c r="U280" s="21" t="str">
        <f>IF($C280="B",VLOOKUP($A280,Bat!$A$4:$AR$1287,44,FALSE),VLOOKUP($A280,Pit!$A$4:$BB$1239,54,FALSE))</f>
        <v/>
      </c>
      <c r="W280" s="21" t="str">
        <f t="shared" si="18"/>
        <v/>
      </c>
      <c r="X280" s="22" t="e">
        <f t="shared" si="19"/>
        <v>#N/A</v>
      </c>
      <c r="Y280" s="16" t="str">
        <f>IF(ISERROR(VLOOKUP($E280&amp;$F280,Results!$A$2:$G$413,Y$1,FALSE)),"",VLOOKUP($E280&amp;$F280,Results!$A$2:$G$413,Y$1,FALSE))</f>
        <v/>
      </c>
      <c r="Z280" s="16" t="str">
        <f>IF(ISERROR(VLOOKUP($E280&amp;$F280,Results!$A$2:$G$413,Z$1,FALSE)),"",VLOOKUP($E280&amp;$F280,Results!$A$2:$G$413,Z$1,FALSE))</f>
        <v/>
      </c>
      <c r="AA280" s="16" t="str">
        <f>IF(ISERROR(VLOOKUP($E280&amp;$F280,Results!$A$2:$G$413,AA$1,FALSE)),"",VLOOKUP($E280&amp;$F280,Results!$A$2:$G$413,AA$1,FALSE))</f>
        <v/>
      </c>
      <c r="AB280" s="16" t="str">
        <f>IF(ISERROR(VLOOKUP($E280&amp;$F280,Results!$A$2:$G$413,AB$1,FALSE)),"",VLOOKUP($E280&amp;$F280,Results!$A$2:$G$413,AB$1,FALSE))</f>
        <v/>
      </c>
      <c r="AC280" s="16"/>
      <c r="AD280" s="20" t="str">
        <f>IF(ISERROR(VLOOKUP($AB280&amp;"-"&amp;$F280,Bonuses!$B$1:$G$1000,4,FALSE)),"",INT(VLOOKUP($AB280&amp;"-"&amp;$F280,Bonuses!$B$1:$G$1000,4,FALSE)))</f>
        <v/>
      </c>
      <c r="AE280" s="16" t="str">
        <f>IF(ISERROR(VLOOKUP($AB280&amp;"-"&amp;$F280,Bonuses!$B$1:$G$1000,5,FALSE)),"",IF(VLOOKUP($AB280&amp;"-"&amp;$F280,Bonuses!$B$1:$G$1000,5,FALSE)="","",VLOOKUP($AB280&amp;"-"&amp;$F280,Bonuses!$B$1:$G$1000,6,FALSE)&amp;" yrs, "&amp;VLOOKUP($AB280&amp;"-"&amp;$F280,Bonuses!$B$1:$G$1000,5,FALSE)))</f>
        <v/>
      </c>
    </row>
    <row r="281" spans="1:31" s="21" customFormat="1">
      <c r="A281" s="21" t="s">
        <v>754</v>
      </c>
      <c r="B281" s="21">
        <f t="shared" si="16"/>
        <v>1</v>
      </c>
      <c r="C281" s="21" t="str">
        <f t="shared" si="17"/>
        <v>B</v>
      </c>
      <c r="D281" s="17">
        <f>IF($C281="B",VLOOKUP($A281,Bat!$A$4:$BD$2323,D$1,FALSE),VLOOKUP($A281,Pit!$A$4:$AZ$2261,D$2,FALSE))</f>
        <v>2328</v>
      </c>
      <c r="E281" s="16" t="str">
        <f>IF($C281="B",VLOOKUP($A281,Bat!$A$4:$BD$2323,E$1,FALSE),VLOOKUP($A281,Pit!$A$4:$AZ$2261,E$2,FALSE))</f>
        <v>3B</v>
      </c>
      <c r="F281" s="16" t="str">
        <f>IF($C281="B",VLOOKUP($A281,Bat!$A$4:$BD$2323,F$1,FALSE),VLOOKUP($A281,Pit!$A$4:$AZ$2261,F$2,FALSE))</f>
        <v>Charlie O'Neill</v>
      </c>
      <c r="G281" s="16">
        <f>IF($C281="B",VLOOKUP($A281,Bat!$A$4:$BD$2323,G$1,FALSE),VLOOKUP($A281,Pit!$A$4:$AZ$2261,G$2,FALSE))</f>
        <v>21</v>
      </c>
      <c r="H281" s="16" t="str">
        <f>IF($C281="B",VLOOKUP($A281,Bat!$A$4:$BD$2323,H$1,FALSE),VLOOKUP($A281,Pit!$A$4:$AZ$2261,H$2,FALSE))</f>
        <v>R</v>
      </c>
      <c r="I281" s="16" t="str">
        <f>IF($C281="B",VLOOKUP($A281,Bat!$A$4:$BD$2323,I$1,FALSE),VLOOKUP($A281,Pit!$A$4:$AZ$2261,I$2,FALSE))</f>
        <v>R</v>
      </c>
      <c r="J281" s="16" t="str">
        <f>IF($C281="B",VLOOKUP($A281,Bat!$A$4:$BD$2323,J$1,FALSE),VLOOKUP($A281,Pit!$A$4:$AZ$2261,J$2,FALSE))</f>
        <v>Very High</v>
      </c>
      <c r="K281" s="17" t="str">
        <f>IF($C281="B",VLOOKUP($A281,Bat!$A$4:$BD$2323,K$1,FALSE),VLOOKUP($A281,Pit!$A$4:$AZ$2261,K$2,FALSE))</f>
        <v>Low</v>
      </c>
      <c r="L281" s="16">
        <f>IF($C281="B",VLOOKUP($A281,Bat!$A$4:$BD$2323,L$1,FALSE),VLOOKUP($A281,Pit!$A$4:$AZ$2261,L$2,FALSE))</f>
        <v>4</v>
      </c>
      <c r="M281" s="16">
        <f>IF($C281="B",VLOOKUP($A281,Bat!$A$4:$BD$2323,M$1,FALSE),VLOOKUP($A281,Pit!$A$4:$AZ$2261,M$2,FALSE))</f>
        <v>4</v>
      </c>
      <c r="N281" s="16">
        <f>IF($C281="B",VLOOKUP($A281,Bat!$A$4:$BD$2323,N$1,FALSE),VLOOKUP($A281,Pit!$A$4:$AZ$2261,N$2,FALSE))</f>
        <v>1</v>
      </c>
      <c r="O281" s="16">
        <f>IF($C281="B",VLOOKUP($A281,Bat!$A$4:$BD$2323,O$1,FALSE),VLOOKUP($A281,Pit!$A$4:$AZ$2261,O$2,FALSE))</f>
        <v>2</v>
      </c>
      <c r="P281" s="17">
        <f>IF($C281="B",VLOOKUP($A281,Bat!$A$4:$BD$2323,P$1,FALSE),VLOOKUP($A281,Pit!$A$4:$AZ$2261,P$2,FALSE))</f>
        <v>4</v>
      </c>
      <c r="Q281" s="18">
        <f>IF($C281="B",VLOOKUP($A281,Bat!$A$4:$BD$2323,Q$1,FALSE),VLOOKUP($A281,Pit!$A$4:$AZ$2261,Q$2,FALSE))</f>
        <v>1.484409802332916</v>
      </c>
      <c r="R281" s="19">
        <f>IF($C281="B",VLOOKUP($A281,Bat!$A$4:$BD$2323,R$1,FALSE),VLOOKUP($A281,Pit!$A$4:$AZ$2261,R$2,FALSE))</f>
        <v>-1.2756108100372132</v>
      </c>
      <c r="S281" s="20" t="str">
        <f>IF($C281="B",VLOOKUP($A281,Bat!$A$4:$BD$2323,S$1,FALSE),VLOOKUP($A281,Pit!$A$4:$AZ$2261,S$2,FALSE))</f>
        <v>Slot</v>
      </c>
      <c r="T281" s="17" t="str">
        <f>IF(S281="Slot","",VLOOKUP(IF($C281="B",VLOOKUP($A281,Bat!$A$4:$AT$2323,T$1,FALSE),VLOOKUP($A281,Pit!$A$4:$BD$2261,T$2,FALSE)),COND!$A$34:$B$40,2,FALSE))</f>
        <v/>
      </c>
      <c r="U281" s="21" t="str">
        <f>IF($C281="B",VLOOKUP($A281,Bat!$A$4:$AR$1287,44,FALSE),VLOOKUP($A281,Pit!$A$4:$BB$1239,54,FALSE))</f>
        <v/>
      </c>
      <c r="W281" s="21" t="str">
        <f t="shared" si="18"/>
        <v/>
      </c>
      <c r="X281" s="22" t="e">
        <f t="shared" si="19"/>
        <v>#N/A</v>
      </c>
      <c r="Y281" s="16" t="str">
        <f>IF(ISERROR(VLOOKUP($E281&amp;$F281,Results!$A$2:$G$413,Y$1,FALSE)),"",VLOOKUP($E281&amp;$F281,Results!$A$2:$G$413,Y$1,FALSE))</f>
        <v/>
      </c>
      <c r="Z281" s="16" t="str">
        <f>IF(ISERROR(VLOOKUP($E281&amp;$F281,Results!$A$2:$G$413,Z$1,FALSE)),"",VLOOKUP($E281&amp;$F281,Results!$A$2:$G$413,Z$1,FALSE))</f>
        <v/>
      </c>
      <c r="AA281" s="16" t="str">
        <f>IF(ISERROR(VLOOKUP($E281&amp;$F281,Results!$A$2:$G$413,AA$1,FALSE)),"",VLOOKUP($E281&amp;$F281,Results!$A$2:$G$413,AA$1,FALSE))</f>
        <v/>
      </c>
      <c r="AB281" s="16" t="str">
        <f>IF(ISERROR(VLOOKUP($E281&amp;$F281,Results!$A$2:$G$413,AB$1,FALSE)),"",VLOOKUP($E281&amp;$F281,Results!$A$2:$G$413,AB$1,FALSE))</f>
        <v/>
      </c>
      <c r="AC281" s="16"/>
      <c r="AD281" s="20" t="str">
        <f>IF(ISERROR(VLOOKUP($AB281&amp;"-"&amp;$F281,Bonuses!$B$1:$G$1000,4,FALSE)),"",INT(VLOOKUP($AB281&amp;"-"&amp;$F281,Bonuses!$B$1:$G$1000,4,FALSE)))</f>
        <v/>
      </c>
      <c r="AE281" s="16" t="str">
        <f>IF(ISERROR(VLOOKUP($AB281&amp;"-"&amp;$F281,Bonuses!$B$1:$G$1000,5,FALSE)),"",IF(VLOOKUP($AB281&amp;"-"&amp;$F281,Bonuses!$B$1:$G$1000,5,FALSE)="","",VLOOKUP($AB281&amp;"-"&amp;$F281,Bonuses!$B$1:$G$1000,6,FALSE)&amp;" yrs, "&amp;VLOOKUP($AB281&amp;"-"&amp;$F281,Bonuses!$B$1:$G$1000,5,FALSE)))</f>
        <v/>
      </c>
    </row>
    <row r="282" spans="1:31" s="21" customFormat="1">
      <c r="A282" s="21" t="s">
        <v>760</v>
      </c>
      <c r="B282" s="21">
        <f t="shared" si="16"/>
        <v>1</v>
      </c>
      <c r="C282" s="21" t="str">
        <f t="shared" si="17"/>
        <v>B</v>
      </c>
      <c r="D282" s="17" t="e">
        <f>IF($C282="B",VLOOKUP($A282,Bat!$A$4:$BD$2323,D$1,FALSE),VLOOKUP($A282,Pit!$A$4:$AZ$2261,D$2,FALSE))</f>
        <v>#N/A</v>
      </c>
      <c r="E282" s="16" t="e">
        <f>IF($C282="B",VLOOKUP($A282,Bat!$A$4:$BD$2323,E$1,FALSE),VLOOKUP($A282,Pit!$A$4:$AZ$2261,E$2,FALSE))</f>
        <v>#N/A</v>
      </c>
      <c r="F282" s="16" t="e">
        <f>IF($C282="B",VLOOKUP($A282,Bat!$A$4:$BD$2323,F$1,FALSE),VLOOKUP($A282,Pit!$A$4:$AZ$2261,F$2,FALSE))</f>
        <v>#N/A</v>
      </c>
      <c r="G282" s="16" t="e">
        <f>IF($C282="B",VLOOKUP($A282,Bat!$A$4:$BD$2323,G$1,FALSE),VLOOKUP($A282,Pit!$A$4:$AZ$2261,G$2,FALSE))</f>
        <v>#N/A</v>
      </c>
      <c r="H282" s="16" t="e">
        <f>IF($C282="B",VLOOKUP($A282,Bat!$A$4:$BD$2323,H$1,FALSE),VLOOKUP($A282,Pit!$A$4:$AZ$2261,H$2,FALSE))</f>
        <v>#N/A</v>
      </c>
      <c r="I282" s="16" t="e">
        <f>IF($C282="B",VLOOKUP($A282,Bat!$A$4:$BD$2323,I$1,FALSE),VLOOKUP($A282,Pit!$A$4:$AZ$2261,I$2,FALSE))</f>
        <v>#N/A</v>
      </c>
      <c r="J282" s="16" t="e">
        <f>IF($C282="B",VLOOKUP($A282,Bat!$A$4:$BD$2323,J$1,FALSE),VLOOKUP($A282,Pit!$A$4:$AZ$2261,J$2,FALSE))</f>
        <v>#N/A</v>
      </c>
      <c r="K282" s="17" t="e">
        <f>IF($C282="B",VLOOKUP($A282,Bat!$A$4:$BD$2323,K$1,FALSE),VLOOKUP($A282,Pit!$A$4:$AZ$2261,K$2,FALSE))</f>
        <v>#N/A</v>
      </c>
      <c r="L282" s="16" t="e">
        <f>IF($C282="B",VLOOKUP($A282,Bat!$A$4:$BD$2323,L$1,FALSE),VLOOKUP($A282,Pit!$A$4:$AZ$2261,L$2,FALSE))</f>
        <v>#N/A</v>
      </c>
      <c r="M282" s="16" t="e">
        <f>IF($C282="B",VLOOKUP($A282,Bat!$A$4:$BD$2323,M$1,FALSE),VLOOKUP($A282,Pit!$A$4:$AZ$2261,M$2,FALSE))</f>
        <v>#N/A</v>
      </c>
      <c r="N282" s="16" t="e">
        <f>IF($C282="B",VLOOKUP($A282,Bat!$A$4:$BD$2323,N$1,FALSE),VLOOKUP($A282,Pit!$A$4:$AZ$2261,N$2,FALSE))</f>
        <v>#N/A</v>
      </c>
      <c r="O282" s="16" t="e">
        <f>IF($C282="B",VLOOKUP($A282,Bat!$A$4:$BD$2323,O$1,FALSE),VLOOKUP($A282,Pit!$A$4:$AZ$2261,O$2,FALSE))</f>
        <v>#N/A</v>
      </c>
      <c r="P282" s="17" t="e">
        <f>IF($C282="B",VLOOKUP($A282,Bat!$A$4:$BD$2323,P$1,FALSE),VLOOKUP($A282,Pit!$A$4:$AZ$2261,P$2,FALSE))</f>
        <v>#N/A</v>
      </c>
      <c r="Q282" s="18" t="e">
        <f>IF($C282="B",VLOOKUP($A282,Bat!$A$4:$BD$2323,Q$1,FALSE),VLOOKUP($A282,Pit!$A$4:$AZ$2261,Q$2,FALSE))</f>
        <v>#N/A</v>
      </c>
      <c r="R282" s="19" t="e">
        <f>IF($C282="B",VLOOKUP($A282,Bat!$A$4:$BD$2323,R$1,FALSE),VLOOKUP($A282,Pit!$A$4:$AZ$2261,R$2,FALSE))</f>
        <v>#N/A</v>
      </c>
      <c r="S282" s="20" t="e">
        <f>IF($C282="B",VLOOKUP($A282,Bat!$A$4:$BD$2323,S$1,FALSE),VLOOKUP($A282,Pit!$A$4:$AZ$2261,S$2,FALSE))</f>
        <v>#N/A</v>
      </c>
      <c r="T282" s="17" t="e">
        <f>IF(S282="Slot","",VLOOKUP(IF($C282="B",VLOOKUP($A282,Bat!$A$4:$AT$2323,T$1,FALSE),VLOOKUP($A282,Pit!$A$4:$BD$2261,T$2,FALSE)),COND!$A$34:$B$40,2,FALSE))</f>
        <v>#N/A</v>
      </c>
      <c r="U282" s="21" t="e">
        <f>IF($C282="B",VLOOKUP($A282,Bat!$A$4:$AR$1287,44,FALSE),VLOOKUP($A282,Pit!$A$4:$BB$1239,54,FALSE))</f>
        <v>#N/A</v>
      </c>
      <c r="W282" s="21" t="e">
        <f t="shared" si="18"/>
        <v>#N/A</v>
      </c>
      <c r="X282" s="22" t="e">
        <f t="shared" si="19"/>
        <v>#N/A</v>
      </c>
      <c r="Y282" s="16" t="str">
        <f>IF(ISERROR(VLOOKUP($E282&amp;$F282,Results!$A$2:$G$413,Y$1,FALSE)),"",VLOOKUP($E282&amp;$F282,Results!$A$2:$G$413,Y$1,FALSE))</f>
        <v/>
      </c>
      <c r="Z282" s="16" t="str">
        <f>IF(ISERROR(VLOOKUP($E282&amp;$F282,Results!$A$2:$G$413,Z$1,FALSE)),"",VLOOKUP($E282&amp;$F282,Results!$A$2:$G$413,Z$1,FALSE))</f>
        <v/>
      </c>
      <c r="AA282" s="16" t="str">
        <f>IF(ISERROR(VLOOKUP($E282&amp;$F282,Results!$A$2:$G$413,AA$1,FALSE)),"",VLOOKUP($E282&amp;$F282,Results!$A$2:$G$413,AA$1,FALSE))</f>
        <v/>
      </c>
      <c r="AB282" s="16" t="str">
        <f>IF(ISERROR(VLOOKUP($E282&amp;$F282,Results!$A$2:$G$413,AB$1,FALSE)),"",VLOOKUP($E282&amp;$F282,Results!$A$2:$G$413,AB$1,FALSE))</f>
        <v/>
      </c>
      <c r="AC282" s="16"/>
      <c r="AD282" s="20" t="str">
        <f>IF(ISERROR(VLOOKUP($AB282&amp;"-"&amp;$F282,Bonuses!$B$1:$G$1000,4,FALSE)),"",INT(VLOOKUP($AB282&amp;"-"&amp;$F282,Bonuses!$B$1:$G$1000,4,FALSE)))</f>
        <v/>
      </c>
      <c r="AE282" s="16" t="str">
        <f>IF(ISERROR(VLOOKUP($AB282&amp;"-"&amp;$F282,Bonuses!$B$1:$G$1000,5,FALSE)),"",IF(VLOOKUP($AB282&amp;"-"&amp;$F282,Bonuses!$B$1:$G$1000,5,FALSE)="","",VLOOKUP($AB282&amp;"-"&amp;$F282,Bonuses!$B$1:$G$1000,6,FALSE)&amp;" yrs, "&amp;VLOOKUP($AB282&amp;"-"&amp;$F282,Bonuses!$B$1:$G$1000,5,FALSE)))</f>
        <v/>
      </c>
    </row>
    <row r="283" spans="1:31" s="21" customFormat="1">
      <c r="A283" s="21" t="s">
        <v>761</v>
      </c>
      <c r="B283" s="21">
        <f t="shared" si="16"/>
        <v>1</v>
      </c>
      <c r="C283" s="21" t="str">
        <f t="shared" si="17"/>
        <v>B</v>
      </c>
      <c r="D283" s="17">
        <f>IF($C283="B",VLOOKUP($A283,Bat!$A$4:$BD$2323,D$1,FALSE),VLOOKUP($A283,Pit!$A$4:$AZ$2261,D$2,FALSE))</f>
        <v>32</v>
      </c>
      <c r="E283" s="16" t="str">
        <f>IF($C283="B",VLOOKUP($A283,Bat!$A$4:$BD$2323,E$1,FALSE),VLOOKUP($A283,Pit!$A$4:$AZ$2261,E$2,FALSE))</f>
        <v>CF</v>
      </c>
      <c r="F283" s="16" t="str">
        <f>IF($C283="B",VLOOKUP($A283,Bat!$A$4:$BD$2323,F$1,FALSE),VLOOKUP($A283,Pit!$A$4:$AZ$2261,F$2,FALSE))</f>
        <v>Brian Vincent</v>
      </c>
      <c r="G283" s="16">
        <f>IF($C283="B",VLOOKUP($A283,Bat!$A$4:$BD$2323,G$1,FALSE),VLOOKUP($A283,Pit!$A$4:$AZ$2261,G$2,FALSE))</f>
        <v>18</v>
      </c>
      <c r="H283" s="16" t="str">
        <f>IF($C283="B",VLOOKUP($A283,Bat!$A$4:$BD$2323,H$1,FALSE),VLOOKUP($A283,Pit!$A$4:$AZ$2261,H$2,FALSE))</f>
        <v>L</v>
      </c>
      <c r="I283" s="16" t="str">
        <f>IF($C283="B",VLOOKUP($A283,Bat!$A$4:$BD$2323,I$1,FALSE),VLOOKUP($A283,Pit!$A$4:$AZ$2261,I$2,FALSE))</f>
        <v>L</v>
      </c>
      <c r="J283" s="16" t="str">
        <f>IF($C283="B",VLOOKUP($A283,Bat!$A$4:$BD$2323,J$1,FALSE),VLOOKUP($A283,Pit!$A$4:$AZ$2261,J$2,FALSE))</f>
        <v>Very Low</v>
      </c>
      <c r="K283" s="17" t="str">
        <f>IF($C283="B",VLOOKUP($A283,Bat!$A$4:$BD$2323,K$1,FALSE),VLOOKUP($A283,Pit!$A$4:$AZ$2261,K$2,FALSE))</f>
        <v>Very Low</v>
      </c>
      <c r="L283" s="16">
        <f>IF($C283="B",VLOOKUP($A283,Bat!$A$4:$BD$2323,L$1,FALSE),VLOOKUP($A283,Pit!$A$4:$AZ$2261,L$2,FALSE))</f>
        <v>4</v>
      </c>
      <c r="M283" s="16">
        <f>IF($C283="B",VLOOKUP($A283,Bat!$A$4:$BD$2323,M$1,FALSE),VLOOKUP($A283,Pit!$A$4:$AZ$2261,M$2,FALSE))</f>
        <v>4</v>
      </c>
      <c r="N283" s="16">
        <f>IF($C283="B",VLOOKUP($A283,Bat!$A$4:$BD$2323,N$1,FALSE),VLOOKUP($A283,Pit!$A$4:$AZ$2261,N$2,FALSE))</f>
        <v>2</v>
      </c>
      <c r="O283" s="16">
        <f>IF($C283="B",VLOOKUP($A283,Bat!$A$4:$BD$2323,O$1,FALSE),VLOOKUP($A283,Pit!$A$4:$AZ$2261,O$2,FALSE))</f>
        <v>1</v>
      </c>
      <c r="P283" s="17">
        <f>IF($C283="B",VLOOKUP($A283,Bat!$A$4:$BD$2323,P$1,FALSE),VLOOKUP($A283,Pit!$A$4:$AZ$2261,P$2,FALSE))</f>
        <v>4</v>
      </c>
      <c r="Q283" s="18">
        <f>IF($C283="B",VLOOKUP($A283,Bat!$A$4:$BD$2323,Q$1,FALSE),VLOOKUP($A283,Pit!$A$4:$AZ$2261,Q$2,FALSE))</f>
        <v>0.50537671965301989</v>
      </c>
      <c r="R283" s="19">
        <f>IF($C283="B",VLOOKUP($A283,Bat!$A$4:$BD$2323,R$1,FALSE),VLOOKUP($A283,Pit!$A$4:$AZ$2261,R$2,FALSE))</f>
        <v>-1.4116216621815059</v>
      </c>
      <c r="S283" s="20" t="str">
        <f>IF($C283="B",VLOOKUP($A283,Bat!$A$4:$BD$2323,S$1,FALSE),VLOOKUP($A283,Pit!$A$4:$AZ$2261,S$2,FALSE))</f>
        <v>Slot</v>
      </c>
      <c r="T283" s="17" t="str">
        <f>IF(S283="Slot","",VLOOKUP(IF($C283="B",VLOOKUP($A283,Bat!$A$4:$AT$2323,T$1,FALSE),VLOOKUP($A283,Pit!$A$4:$BD$2261,T$2,FALSE)),COND!$A$34:$B$40,2,FALSE))</f>
        <v/>
      </c>
      <c r="U283" s="21" t="str">
        <f>IF($C283="B",VLOOKUP($A283,Bat!$A$4:$AR$1287,44,FALSE),VLOOKUP($A283,Pit!$A$4:$BB$1239,54,FALSE))</f>
        <v/>
      </c>
      <c r="W283" s="21" t="str">
        <f t="shared" si="18"/>
        <v/>
      </c>
      <c r="X283" s="22" t="e">
        <f t="shared" si="19"/>
        <v>#N/A</v>
      </c>
      <c r="Y283" s="16" t="str">
        <f>IF(ISERROR(VLOOKUP($E283&amp;$F283,Results!$A$2:$G$413,Y$1,FALSE)),"",VLOOKUP($E283&amp;$F283,Results!$A$2:$G$413,Y$1,FALSE))</f>
        <v/>
      </c>
      <c r="Z283" s="16" t="str">
        <f>IF(ISERROR(VLOOKUP($E283&amp;$F283,Results!$A$2:$G$413,Z$1,FALSE)),"",VLOOKUP($E283&amp;$F283,Results!$A$2:$G$413,Z$1,FALSE))</f>
        <v/>
      </c>
      <c r="AA283" s="16" t="str">
        <f>IF(ISERROR(VLOOKUP($E283&amp;$F283,Results!$A$2:$G$413,AA$1,FALSE)),"",VLOOKUP($E283&amp;$F283,Results!$A$2:$G$413,AA$1,FALSE))</f>
        <v/>
      </c>
      <c r="AB283" s="16" t="str">
        <f>IF(ISERROR(VLOOKUP($E283&amp;$F283,Results!$A$2:$G$413,AB$1,FALSE)),"",VLOOKUP($E283&amp;$F283,Results!$A$2:$G$413,AB$1,FALSE))</f>
        <v/>
      </c>
      <c r="AC283" s="16"/>
      <c r="AD283" s="20" t="str">
        <f>IF(ISERROR(VLOOKUP($AB283&amp;"-"&amp;$F283,Bonuses!$B$1:$G$1000,4,FALSE)),"",INT(VLOOKUP($AB283&amp;"-"&amp;$F283,Bonuses!$B$1:$G$1000,4,FALSE)))</f>
        <v/>
      </c>
      <c r="AE283" s="16" t="str">
        <f>IF(ISERROR(VLOOKUP($AB283&amp;"-"&amp;$F283,Bonuses!$B$1:$G$1000,5,FALSE)),"",IF(VLOOKUP($AB283&amp;"-"&amp;$F283,Bonuses!$B$1:$G$1000,5,FALSE)="","",VLOOKUP($AB283&amp;"-"&amp;$F283,Bonuses!$B$1:$G$1000,6,FALSE)&amp;" yrs, "&amp;VLOOKUP($AB283&amp;"-"&amp;$F283,Bonuses!$B$1:$G$1000,5,FALSE)))</f>
        <v/>
      </c>
    </row>
    <row r="284" spans="1:31" s="21" customFormat="1">
      <c r="A284" s="21" t="s">
        <v>763</v>
      </c>
      <c r="B284" s="21">
        <f t="shared" si="16"/>
        <v>1</v>
      </c>
      <c r="C284" s="21" t="str">
        <f t="shared" si="17"/>
        <v>B</v>
      </c>
      <c r="D284" s="17">
        <f>IF($C284="B",VLOOKUP($A284,Bat!$A$4:$BD$2323,D$1,FALSE),VLOOKUP($A284,Pit!$A$4:$AZ$2261,D$2,FALSE))</f>
        <v>8166</v>
      </c>
      <c r="E284" s="16" t="str">
        <f>IF($C284="B",VLOOKUP($A284,Bat!$A$4:$BD$2323,E$1,FALSE),VLOOKUP($A284,Pit!$A$4:$AZ$2261,E$2,FALSE))</f>
        <v>2B</v>
      </c>
      <c r="F284" s="16" t="str">
        <f>IF($C284="B",VLOOKUP($A284,Bat!$A$4:$BD$2323,F$1,FALSE),VLOOKUP($A284,Pit!$A$4:$AZ$2261,F$2,FALSE))</f>
        <v>Bob Vance</v>
      </c>
      <c r="G284" s="16">
        <f>IF($C284="B",VLOOKUP($A284,Bat!$A$4:$BD$2323,G$1,FALSE),VLOOKUP($A284,Pit!$A$4:$AZ$2261,G$2,FALSE))</f>
        <v>21</v>
      </c>
      <c r="H284" s="16" t="str">
        <f>IF($C284="B",VLOOKUP($A284,Bat!$A$4:$BD$2323,H$1,FALSE),VLOOKUP($A284,Pit!$A$4:$AZ$2261,H$2,FALSE))</f>
        <v>R</v>
      </c>
      <c r="I284" s="16" t="str">
        <f>IF($C284="B",VLOOKUP($A284,Bat!$A$4:$BD$2323,I$1,FALSE),VLOOKUP($A284,Pit!$A$4:$AZ$2261,I$2,FALSE))</f>
        <v>R</v>
      </c>
      <c r="J284" s="16" t="str">
        <f>IF($C284="B",VLOOKUP($A284,Bat!$A$4:$BD$2323,J$1,FALSE),VLOOKUP($A284,Pit!$A$4:$AZ$2261,J$2,FALSE))</f>
        <v>Very Low</v>
      </c>
      <c r="K284" s="17" t="str">
        <f>IF($C284="B",VLOOKUP($A284,Bat!$A$4:$BD$2323,K$1,FALSE),VLOOKUP($A284,Pit!$A$4:$AZ$2261,K$2,FALSE))</f>
        <v>Very Low</v>
      </c>
      <c r="L284" s="16">
        <f>IF($C284="B",VLOOKUP($A284,Bat!$A$4:$BD$2323,L$1,FALSE),VLOOKUP($A284,Pit!$A$4:$AZ$2261,L$2,FALSE))</f>
        <v>4</v>
      </c>
      <c r="M284" s="16">
        <f>IF($C284="B",VLOOKUP($A284,Bat!$A$4:$BD$2323,M$1,FALSE),VLOOKUP($A284,Pit!$A$4:$AZ$2261,M$2,FALSE))</f>
        <v>2</v>
      </c>
      <c r="N284" s="16">
        <f>IF($C284="B",VLOOKUP($A284,Bat!$A$4:$BD$2323,N$1,FALSE),VLOOKUP($A284,Pit!$A$4:$AZ$2261,N$2,FALSE))</f>
        <v>1</v>
      </c>
      <c r="O284" s="16">
        <f>IF($C284="B",VLOOKUP($A284,Bat!$A$4:$BD$2323,O$1,FALSE),VLOOKUP($A284,Pit!$A$4:$AZ$2261,O$2,FALSE))</f>
        <v>1</v>
      </c>
      <c r="P284" s="17">
        <f>IF($C284="B",VLOOKUP($A284,Bat!$A$4:$BD$2323,P$1,FALSE),VLOOKUP($A284,Pit!$A$4:$AZ$2261,P$2,FALSE))</f>
        <v>4</v>
      </c>
      <c r="Q284" s="18">
        <f>IF($C284="B",VLOOKUP($A284,Bat!$A$4:$BD$2323,Q$1,FALSE),VLOOKUP($A284,Pit!$A$4:$AZ$2261,Q$2,FALSE))</f>
        <v>-2.148285518260435</v>
      </c>
      <c r="R284" s="19">
        <f>IF($C284="B",VLOOKUP($A284,Bat!$A$4:$BD$2323,R$1,FALSE),VLOOKUP($A284,Pit!$A$4:$AZ$2261,R$2,FALSE))</f>
        <v>-1.7802781138039356</v>
      </c>
      <c r="S284" s="20" t="str">
        <f>IF($C284="B",VLOOKUP($A284,Bat!$A$4:$BD$2323,S$1,FALSE),VLOOKUP($A284,Pit!$A$4:$AZ$2261,S$2,FALSE))</f>
        <v>Slot</v>
      </c>
      <c r="T284" s="17" t="str">
        <f>IF(S284="Slot","",VLOOKUP(IF($C284="B",VLOOKUP($A284,Bat!$A$4:$AT$2323,T$1,FALSE),VLOOKUP($A284,Pit!$A$4:$BD$2261,T$2,FALSE)),COND!$A$34:$B$40,2,FALSE))</f>
        <v/>
      </c>
      <c r="U284" s="21" t="str">
        <f>IF($C284="B",VLOOKUP($A284,Bat!$A$4:$AR$1287,44,FALSE),VLOOKUP($A284,Pit!$A$4:$BB$1239,54,FALSE))</f>
        <v/>
      </c>
      <c r="W284" s="21" t="str">
        <f t="shared" si="18"/>
        <v/>
      </c>
      <c r="X284" s="22" t="e">
        <f t="shared" si="19"/>
        <v>#N/A</v>
      </c>
      <c r="Y284" s="16" t="str">
        <f>IF(ISERROR(VLOOKUP($E284&amp;$F284,Results!$A$2:$G$413,Y$1,FALSE)),"",VLOOKUP($E284&amp;$F284,Results!$A$2:$G$413,Y$1,FALSE))</f>
        <v/>
      </c>
      <c r="Z284" s="16" t="str">
        <f>IF(ISERROR(VLOOKUP($E284&amp;$F284,Results!$A$2:$G$413,Z$1,FALSE)),"",VLOOKUP($E284&amp;$F284,Results!$A$2:$G$413,Z$1,FALSE))</f>
        <v/>
      </c>
      <c r="AA284" s="16" t="str">
        <f>IF(ISERROR(VLOOKUP($E284&amp;$F284,Results!$A$2:$G$413,AA$1,FALSE)),"",VLOOKUP($E284&amp;$F284,Results!$A$2:$G$413,AA$1,FALSE))</f>
        <v/>
      </c>
      <c r="AB284" s="16" t="str">
        <f>IF(ISERROR(VLOOKUP($E284&amp;$F284,Results!$A$2:$G$413,AB$1,FALSE)),"",VLOOKUP($E284&amp;$F284,Results!$A$2:$G$413,AB$1,FALSE))</f>
        <v/>
      </c>
      <c r="AC284" s="16"/>
      <c r="AD284" s="20" t="str">
        <f>IF(ISERROR(VLOOKUP($AB284&amp;"-"&amp;$F284,Bonuses!$B$1:$G$1000,4,FALSE)),"",INT(VLOOKUP($AB284&amp;"-"&amp;$F284,Bonuses!$B$1:$G$1000,4,FALSE)))</f>
        <v/>
      </c>
      <c r="AE284" s="16" t="str">
        <f>IF(ISERROR(VLOOKUP($AB284&amp;"-"&amp;$F284,Bonuses!$B$1:$G$1000,5,FALSE)),"",IF(VLOOKUP($AB284&amp;"-"&amp;$F284,Bonuses!$B$1:$G$1000,5,FALSE)="","",VLOOKUP($AB284&amp;"-"&amp;$F284,Bonuses!$B$1:$G$1000,6,FALSE)&amp;" yrs, "&amp;VLOOKUP($AB284&amp;"-"&amp;$F284,Bonuses!$B$1:$G$1000,5,FALSE)))</f>
        <v/>
      </c>
    </row>
    <row r="285" spans="1:31" s="21" customFormat="1">
      <c r="A285" s="21" t="s">
        <v>451</v>
      </c>
      <c r="B285" s="21">
        <f t="shared" si="16"/>
        <v>1</v>
      </c>
      <c r="C285" s="21" t="str">
        <f t="shared" si="17"/>
        <v>B</v>
      </c>
      <c r="D285" s="17">
        <f>IF($C285="B",VLOOKUP($A285,Bat!$A$4:$BD$2323,D$1,FALSE),VLOOKUP($A285,Pit!$A$4:$AZ$2261,D$2,FALSE))</f>
        <v>2447</v>
      </c>
      <c r="E285" s="16" t="str">
        <f>IF($C285="B",VLOOKUP($A285,Bat!$A$4:$BD$2323,E$1,FALSE),VLOOKUP($A285,Pit!$A$4:$AZ$2261,E$2,FALSE))</f>
        <v>C</v>
      </c>
      <c r="F285" s="16" t="str">
        <f>IF($C285="B",VLOOKUP($A285,Bat!$A$4:$BD$2323,F$1,FALSE),VLOOKUP($A285,Pit!$A$4:$AZ$2261,F$2,FALSE))</f>
        <v>Ken Wright</v>
      </c>
      <c r="G285" s="16">
        <f>IF($C285="B",VLOOKUP($A285,Bat!$A$4:$BD$2323,G$1,FALSE),VLOOKUP($A285,Pit!$A$4:$AZ$2261,G$2,FALSE))</f>
        <v>21</v>
      </c>
      <c r="H285" s="16" t="str">
        <f>IF($C285="B",VLOOKUP($A285,Bat!$A$4:$BD$2323,H$1,FALSE),VLOOKUP($A285,Pit!$A$4:$AZ$2261,H$2,FALSE))</f>
        <v>S</v>
      </c>
      <c r="I285" s="16" t="str">
        <f>IF($C285="B",VLOOKUP($A285,Bat!$A$4:$BD$2323,I$1,FALSE),VLOOKUP($A285,Pit!$A$4:$AZ$2261,I$2,FALSE))</f>
        <v>R</v>
      </c>
      <c r="J285" s="16" t="str">
        <f>IF($C285="B",VLOOKUP($A285,Bat!$A$4:$BD$2323,J$1,FALSE),VLOOKUP($A285,Pit!$A$4:$AZ$2261,J$2,FALSE))</f>
        <v>Low</v>
      </c>
      <c r="K285" s="17" t="str">
        <f>IF($C285="B",VLOOKUP($A285,Bat!$A$4:$BD$2323,K$1,FALSE),VLOOKUP($A285,Pit!$A$4:$AZ$2261,K$2,FALSE))</f>
        <v>Normal</v>
      </c>
      <c r="L285" s="16">
        <f>IF($C285="B",VLOOKUP($A285,Bat!$A$4:$BD$2323,L$1,FALSE),VLOOKUP($A285,Pit!$A$4:$AZ$2261,L$2,FALSE))</f>
        <v>3</v>
      </c>
      <c r="M285" s="16">
        <f>IF($C285="B",VLOOKUP($A285,Bat!$A$4:$BD$2323,M$1,FALSE),VLOOKUP($A285,Pit!$A$4:$AZ$2261,M$2,FALSE))</f>
        <v>3</v>
      </c>
      <c r="N285" s="16">
        <f>IF($C285="B",VLOOKUP($A285,Bat!$A$4:$BD$2323,N$1,FALSE),VLOOKUP($A285,Pit!$A$4:$AZ$2261,N$2,FALSE))</f>
        <v>2</v>
      </c>
      <c r="O285" s="16">
        <f>IF($C285="B",VLOOKUP($A285,Bat!$A$4:$BD$2323,O$1,FALSE),VLOOKUP($A285,Pit!$A$4:$AZ$2261,O$2,FALSE))</f>
        <v>2</v>
      </c>
      <c r="P285" s="17">
        <f>IF($C285="B",VLOOKUP($A285,Bat!$A$4:$BD$2323,P$1,FALSE),VLOOKUP($A285,Pit!$A$4:$AZ$2261,P$2,FALSE))</f>
        <v>3</v>
      </c>
      <c r="Q285" s="18">
        <f>IF($C285="B",VLOOKUP($A285,Bat!$A$4:$BD$2323,Q$1,FALSE),VLOOKUP($A285,Pit!$A$4:$AZ$2261,Q$2,FALSE))</f>
        <v>9.9</v>
      </c>
      <c r="R285" s="19">
        <f>IF($C285="B",VLOOKUP($A285,Bat!$A$4:$BD$2323,R$1,FALSE),VLOOKUP($A285,Pit!$A$4:$AZ$2261,R$2,FALSE))</f>
        <v>-0.10648627856711901</v>
      </c>
      <c r="S285" s="20" t="str">
        <f>IF($C285="B",VLOOKUP($A285,Bat!$A$4:$BD$2323,S$1,FALSE),VLOOKUP($A285,Pit!$A$4:$AZ$2261,S$2,FALSE))</f>
        <v>Slot</v>
      </c>
      <c r="T285" s="17" t="str">
        <f>IF(S285="Slot","",VLOOKUP(IF($C285="B",VLOOKUP($A285,Bat!$A$4:$AT$2323,T$1,FALSE),VLOOKUP($A285,Pit!$A$4:$BD$2261,T$2,FALSE)),COND!$A$34:$B$40,2,FALSE))</f>
        <v/>
      </c>
      <c r="U285" s="21" t="str">
        <f>IF($C285="B",VLOOKUP($A285,Bat!$A$4:$AR$1287,44,FALSE),VLOOKUP($A285,Pit!$A$4:$BB$1239,54,FALSE))</f>
        <v/>
      </c>
      <c r="W285" s="21" t="str">
        <f t="shared" si="18"/>
        <v/>
      </c>
      <c r="X285" s="22" t="e">
        <f t="shared" si="19"/>
        <v>#N/A</v>
      </c>
      <c r="Y285" s="16" t="str">
        <f>IF(ISERROR(VLOOKUP($E285&amp;$F285,Results!$A$2:$G$413,Y$1,FALSE)),"",VLOOKUP($E285&amp;$F285,Results!$A$2:$G$413,Y$1,FALSE))</f>
        <v/>
      </c>
      <c r="Z285" s="16" t="str">
        <f>IF(ISERROR(VLOOKUP($E285&amp;$F285,Results!$A$2:$G$413,Z$1,FALSE)),"",VLOOKUP($E285&amp;$F285,Results!$A$2:$G$413,Z$1,FALSE))</f>
        <v/>
      </c>
      <c r="AA285" s="16" t="str">
        <f>IF(ISERROR(VLOOKUP($E285&amp;$F285,Results!$A$2:$G$413,AA$1,FALSE)),"",VLOOKUP($E285&amp;$F285,Results!$A$2:$G$413,AA$1,FALSE))</f>
        <v/>
      </c>
      <c r="AB285" s="16" t="str">
        <f>IF(ISERROR(VLOOKUP($E285&amp;$F285,Results!$A$2:$G$413,AB$1,FALSE)),"",VLOOKUP($E285&amp;$F285,Results!$A$2:$G$413,AB$1,FALSE))</f>
        <v/>
      </c>
      <c r="AC285" s="16"/>
      <c r="AD285" s="20" t="str">
        <f>IF(ISERROR(VLOOKUP($AB285&amp;"-"&amp;$F285,Bonuses!$B$1:$G$1000,4,FALSE)),"",INT(VLOOKUP($AB285&amp;"-"&amp;$F285,Bonuses!$B$1:$G$1000,4,FALSE)))</f>
        <v/>
      </c>
      <c r="AE285" s="16" t="str">
        <f>IF(ISERROR(VLOOKUP($AB285&amp;"-"&amp;$F285,Bonuses!$B$1:$G$1000,5,FALSE)),"",IF(VLOOKUP($AB285&amp;"-"&amp;$F285,Bonuses!$B$1:$G$1000,5,FALSE)="","",VLOOKUP($AB285&amp;"-"&amp;$F285,Bonuses!$B$1:$G$1000,6,FALSE)&amp;" yrs, "&amp;VLOOKUP($AB285&amp;"-"&amp;$F285,Bonuses!$B$1:$G$1000,5,FALSE)))</f>
        <v/>
      </c>
    </row>
    <row r="286" spans="1:31" s="21" customFormat="1">
      <c r="A286" s="21" t="s">
        <v>762</v>
      </c>
      <c r="B286" s="21">
        <f t="shared" si="16"/>
        <v>1</v>
      </c>
      <c r="C286" s="21" t="str">
        <f t="shared" si="17"/>
        <v>B</v>
      </c>
      <c r="D286" s="17" t="e">
        <f>IF($C286="B",VLOOKUP($A286,Bat!$A$4:$BD$2323,D$1,FALSE),VLOOKUP($A286,Pit!$A$4:$AZ$2261,D$2,FALSE))</f>
        <v>#N/A</v>
      </c>
      <c r="E286" s="16" t="str">
        <f>IF($C286="B",VLOOKUP($A286,Bat!$A$4:$BD$2323,E$1,FALSE),VLOOKUP($A286,Pit!$A$4:$AZ$2261,E$2,FALSE))</f>
        <v>2B</v>
      </c>
      <c r="F286" s="16" t="str">
        <f>IF($C286="B",VLOOKUP($A286,Bat!$A$4:$BD$2323,F$1,FALSE),VLOOKUP($A286,Pit!$A$4:$AZ$2261,F$2,FALSE))</f>
        <v>Pepe Solís</v>
      </c>
      <c r="G286" s="16">
        <f>IF($C286="B",VLOOKUP($A286,Bat!$A$4:$BD$2323,G$1,FALSE),VLOOKUP($A286,Pit!$A$4:$AZ$2261,G$2,FALSE))</f>
        <v>18</v>
      </c>
      <c r="H286" s="16" t="str">
        <f>IF($C286="B",VLOOKUP($A286,Bat!$A$4:$BD$2323,H$1,FALSE),VLOOKUP($A286,Pit!$A$4:$AZ$2261,H$2,FALSE))</f>
        <v>S</v>
      </c>
      <c r="I286" s="16" t="str">
        <f>IF($C286="B",VLOOKUP($A286,Bat!$A$4:$BD$2323,I$1,FALSE),VLOOKUP($A286,Pit!$A$4:$AZ$2261,I$2,FALSE))</f>
        <v>R</v>
      </c>
      <c r="J286" s="16" t="str">
        <f>IF($C286="B",VLOOKUP($A286,Bat!$A$4:$BD$2323,J$1,FALSE),VLOOKUP($A286,Pit!$A$4:$AZ$2261,J$2,FALSE))</f>
        <v>Normal</v>
      </c>
      <c r="K286" s="17" t="str">
        <f>IF($C286="B",VLOOKUP($A286,Bat!$A$4:$BD$2323,K$1,FALSE),VLOOKUP($A286,Pit!$A$4:$AZ$2261,K$2,FALSE))</f>
        <v>High</v>
      </c>
      <c r="L286" s="16">
        <f>IF($C286="B",VLOOKUP($A286,Bat!$A$4:$BD$2323,L$1,FALSE),VLOOKUP($A286,Pit!$A$4:$AZ$2261,L$2,FALSE))</f>
        <v>3</v>
      </c>
      <c r="M286" s="16">
        <f>IF($C286="B",VLOOKUP($A286,Bat!$A$4:$BD$2323,M$1,FALSE),VLOOKUP($A286,Pit!$A$4:$AZ$2261,M$2,FALSE))</f>
        <v>3</v>
      </c>
      <c r="N286" s="16">
        <f>IF($C286="B",VLOOKUP($A286,Bat!$A$4:$BD$2323,N$1,FALSE),VLOOKUP($A286,Pit!$A$4:$AZ$2261,N$2,FALSE))</f>
        <v>1</v>
      </c>
      <c r="O286" s="16">
        <f>IF($C286="B",VLOOKUP($A286,Bat!$A$4:$BD$2323,O$1,FALSE),VLOOKUP($A286,Pit!$A$4:$AZ$2261,O$2,FALSE))</f>
        <v>2</v>
      </c>
      <c r="P286" s="17">
        <f>IF($C286="B",VLOOKUP($A286,Bat!$A$4:$BD$2323,P$1,FALSE),VLOOKUP($A286,Pit!$A$4:$AZ$2261,P$2,FALSE))</f>
        <v>4</v>
      </c>
      <c r="Q286" s="18">
        <f>IF($C286="B",VLOOKUP($A286,Bat!$A$4:$BD$2323,Q$1,FALSE),VLOOKUP($A286,Pit!$A$4:$AZ$2261,Q$2,FALSE))</f>
        <v>10.1</v>
      </c>
      <c r="R286" s="19">
        <f>IF($C286="B",VLOOKUP($A286,Bat!$A$4:$BD$2323,R$1,FALSE),VLOOKUP($A286,Pit!$A$4:$AZ$2261,R$2,FALSE))</f>
        <v>-7.870154798947783E-2</v>
      </c>
      <c r="S286" s="20" t="str">
        <f>IF($C286="B",VLOOKUP($A286,Bat!$A$4:$BD$2323,S$1,FALSE),VLOOKUP($A286,Pit!$A$4:$AZ$2261,S$2,FALSE))</f>
        <v>Slot</v>
      </c>
      <c r="T286" s="17" t="str">
        <f>IF(S286="Slot","",VLOOKUP(IF($C286="B",VLOOKUP($A286,Bat!$A$4:$AT$2323,T$1,FALSE),VLOOKUP($A286,Pit!$A$4:$BD$2261,T$2,FALSE)),COND!$A$34:$B$40,2,FALSE))</f>
        <v/>
      </c>
      <c r="U286" s="21" t="str">
        <f>IF($C286="B",VLOOKUP($A286,Bat!$A$4:$AR$1287,44,FALSE),VLOOKUP($A286,Pit!$A$4:$BB$1239,54,FALSE))</f>
        <v/>
      </c>
      <c r="W286" s="21" t="str">
        <f t="shared" si="18"/>
        <v/>
      </c>
      <c r="X286" s="22" t="e">
        <f t="shared" si="19"/>
        <v>#N/A</v>
      </c>
      <c r="Y286" s="16" t="str">
        <f>IF(ISERROR(VLOOKUP($E286&amp;$F286,Results!$A$2:$G$413,Y$1,FALSE)),"",VLOOKUP($E286&amp;$F286,Results!$A$2:$G$413,Y$1,FALSE))</f>
        <v/>
      </c>
      <c r="Z286" s="16" t="str">
        <f>IF(ISERROR(VLOOKUP($E286&amp;$F286,Results!$A$2:$G$413,Z$1,FALSE)),"",VLOOKUP($E286&amp;$F286,Results!$A$2:$G$413,Z$1,FALSE))</f>
        <v/>
      </c>
      <c r="AA286" s="16" t="str">
        <f>IF(ISERROR(VLOOKUP($E286&amp;$F286,Results!$A$2:$G$413,AA$1,FALSE)),"",VLOOKUP($E286&amp;$F286,Results!$A$2:$G$413,AA$1,FALSE))</f>
        <v/>
      </c>
      <c r="AB286" s="16" t="str">
        <f>IF(ISERROR(VLOOKUP($E286&amp;$F286,Results!$A$2:$G$413,AB$1,FALSE)),"",VLOOKUP($E286&amp;$F286,Results!$A$2:$G$413,AB$1,FALSE))</f>
        <v/>
      </c>
      <c r="AC286" s="16"/>
      <c r="AD286" s="20" t="str">
        <f>IF(ISERROR(VLOOKUP($AB286&amp;"-"&amp;$F286,Bonuses!$B$1:$G$1000,4,FALSE)),"",INT(VLOOKUP($AB286&amp;"-"&amp;$F286,Bonuses!$B$1:$G$1000,4,FALSE)))</f>
        <v/>
      </c>
      <c r="AE286" s="16" t="str">
        <f>IF(ISERROR(VLOOKUP($AB286&amp;"-"&amp;$F286,Bonuses!$B$1:$G$1000,5,FALSE)),"",IF(VLOOKUP($AB286&amp;"-"&amp;$F286,Bonuses!$B$1:$G$1000,5,FALSE)="","",VLOOKUP($AB286&amp;"-"&amp;$F286,Bonuses!$B$1:$G$1000,6,FALSE)&amp;" yrs, "&amp;VLOOKUP($AB286&amp;"-"&amp;$F286,Bonuses!$B$1:$G$1000,5,FALSE)))</f>
        <v/>
      </c>
    </row>
    <row r="287" spans="1:31" s="21" customFormat="1">
      <c r="A287" s="21" t="s">
        <v>764</v>
      </c>
      <c r="B287" s="21">
        <f t="shared" si="16"/>
        <v>1</v>
      </c>
      <c r="C287" s="21" t="str">
        <f t="shared" si="17"/>
        <v>B</v>
      </c>
      <c r="D287" s="17" t="e">
        <f>IF($C287="B",VLOOKUP($A287,Bat!$A$4:$BD$2323,D$1,FALSE),VLOOKUP($A287,Pit!$A$4:$AZ$2261,D$2,FALSE))</f>
        <v>#N/A</v>
      </c>
      <c r="E287" s="16" t="e">
        <f>IF($C287="B",VLOOKUP($A287,Bat!$A$4:$BD$2323,E$1,FALSE),VLOOKUP($A287,Pit!$A$4:$AZ$2261,E$2,FALSE))</f>
        <v>#N/A</v>
      </c>
      <c r="F287" s="16" t="e">
        <f>IF($C287="B",VLOOKUP($A287,Bat!$A$4:$BD$2323,F$1,FALSE),VLOOKUP($A287,Pit!$A$4:$AZ$2261,F$2,FALSE))</f>
        <v>#N/A</v>
      </c>
      <c r="G287" s="16" t="e">
        <f>IF($C287="B",VLOOKUP($A287,Bat!$A$4:$BD$2323,G$1,FALSE),VLOOKUP($A287,Pit!$A$4:$AZ$2261,G$2,FALSE))</f>
        <v>#N/A</v>
      </c>
      <c r="H287" s="16" t="e">
        <f>IF($C287="B",VLOOKUP($A287,Bat!$A$4:$BD$2323,H$1,FALSE),VLOOKUP($A287,Pit!$A$4:$AZ$2261,H$2,FALSE))</f>
        <v>#N/A</v>
      </c>
      <c r="I287" s="16" t="e">
        <f>IF($C287="B",VLOOKUP($A287,Bat!$A$4:$BD$2323,I$1,FALSE),VLOOKUP($A287,Pit!$A$4:$AZ$2261,I$2,FALSE))</f>
        <v>#N/A</v>
      </c>
      <c r="J287" s="16" t="e">
        <f>IF($C287="B",VLOOKUP($A287,Bat!$A$4:$BD$2323,J$1,FALSE),VLOOKUP($A287,Pit!$A$4:$AZ$2261,J$2,FALSE))</f>
        <v>#N/A</v>
      </c>
      <c r="K287" s="17" t="e">
        <f>IF($C287="B",VLOOKUP($A287,Bat!$A$4:$BD$2323,K$1,FALSE),VLOOKUP($A287,Pit!$A$4:$AZ$2261,K$2,FALSE))</f>
        <v>#N/A</v>
      </c>
      <c r="L287" s="16" t="e">
        <f>IF($C287="B",VLOOKUP($A287,Bat!$A$4:$BD$2323,L$1,FALSE),VLOOKUP($A287,Pit!$A$4:$AZ$2261,L$2,FALSE))</f>
        <v>#N/A</v>
      </c>
      <c r="M287" s="16" t="e">
        <f>IF($C287="B",VLOOKUP($A287,Bat!$A$4:$BD$2323,M$1,FALSE),VLOOKUP($A287,Pit!$A$4:$AZ$2261,M$2,FALSE))</f>
        <v>#N/A</v>
      </c>
      <c r="N287" s="16" t="e">
        <f>IF($C287="B",VLOOKUP($A287,Bat!$A$4:$BD$2323,N$1,FALSE),VLOOKUP($A287,Pit!$A$4:$AZ$2261,N$2,FALSE))</f>
        <v>#N/A</v>
      </c>
      <c r="O287" s="16" t="e">
        <f>IF($C287="B",VLOOKUP($A287,Bat!$A$4:$BD$2323,O$1,FALSE),VLOOKUP($A287,Pit!$A$4:$AZ$2261,O$2,FALSE))</f>
        <v>#N/A</v>
      </c>
      <c r="P287" s="17" t="e">
        <f>IF($C287="B",VLOOKUP($A287,Bat!$A$4:$BD$2323,P$1,FALSE),VLOOKUP($A287,Pit!$A$4:$AZ$2261,P$2,FALSE))</f>
        <v>#N/A</v>
      </c>
      <c r="Q287" s="18" t="e">
        <f>IF($C287="B",VLOOKUP($A287,Bat!$A$4:$BD$2323,Q$1,FALSE),VLOOKUP($A287,Pit!$A$4:$AZ$2261,Q$2,FALSE))</f>
        <v>#N/A</v>
      </c>
      <c r="R287" s="19" t="e">
        <f>IF($C287="B",VLOOKUP($A287,Bat!$A$4:$BD$2323,R$1,FALSE),VLOOKUP($A287,Pit!$A$4:$AZ$2261,R$2,FALSE))</f>
        <v>#N/A</v>
      </c>
      <c r="S287" s="20" t="e">
        <f>IF($C287="B",VLOOKUP($A287,Bat!$A$4:$BD$2323,S$1,FALSE),VLOOKUP($A287,Pit!$A$4:$AZ$2261,S$2,FALSE))</f>
        <v>#N/A</v>
      </c>
      <c r="T287" s="17" t="e">
        <f>IF(S287="Slot","",VLOOKUP(IF($C287="B",VLOOKUP($A287,Bat!$A$4:$AT$2323,T$1,FALSE),VLOOKUP($A287,Pit!$A$4:$BD$2261,T$2,FALSE)),COND!$A$34:$B$40,2,FALSE))</f>
        <v>#N/A</v>
      </c>
      <c r="U287" s="21" t="e">
        <f>IF($C287="B",VLOOKUP($A287,Bat!$A$4:$AR$1287,44,FALSE),VLOOKUP($A287,Pit!$A$4:$BB$1239,54,FALSE))</f>
        <v>#N/A</v>
      </c>
      <c r="W287" s="21" t="e">
        <f t="shared" si="18"/>
        <v>#N/A</v>
      </c>
      <c r="X287" s="22" t="e">
        <f t="shared" si="19"/>
        <v>#N/A</v>
      </c>
      <c r="Y287" s="16" t="str">
        <f>IF(ISERROR(VLOOKUP($E287&amp;$F287,Results!$A$2:$G$413,Y$1,FALSE)),"",VLOOKUP($E287&amp;$F287,Results!$A$2:$G$413,Y$1,FALSE))</f>
        <v/>
      </c>
      <c r="Z287" s="16" t="str">
        <f>IF(ISERROR(VLOOKUP($E287&amp;$F287,Results!$A$2:$G$413,Z$1,FALSE)),"",VLOOKUP($E287&amp;$F287,Results!$A$2:$G$413,Z$1,FALSE))</f>
        <v/>
      </c>
      <c r="AA287" s="16" t="str">
        <f>IF(ISERROR(VLOOKUP($E287&amp;$F287,Results!$A$2:$G$413,AA$1,FALSE)),"",VLOOKUP($E287&amp;$F287,Results!$A$2:$G$413,AA$1,FALSE))</f>
        <v/>
      </c>
      <c r="AB287" s="16" t="str">
        <f>IF(ISERROR(VLOOKUP($E287&amp;$F287,Results!$A$2:$G$413,AB$1,FALSE)),"",VLOOKUP($E287&amp;$F287,Results!$A$2:$G$413,AB$1,FALSE))</f>
        <v/>
      </c>
      <c r="AC287" s="16"/>
      <c r="AD287" s="20" t="str">
        <f>IF(ISERROR(VLOOKUP($AB287&amp;"-"&amp;$F287,Bonuses!$B$1:$G$1000,4,FALSE)),"",INT(VLOOKUP($AB287&amp;"-"&amp;$F287,Bonuses!$B$1:$G$1000,4,FALSE)))</f>
        <v/>
      </c>
      <c r="AE287" s="16" t="str">
        <f>IF(ISERROR(VLOOKUP($AB287&amp;"-"&amp;$F287,Bonuses!$B$1:$G$1000,5,FALSE)),"",IF(VLOOKUP($AB287&amp;"-"&amp;$F287,Bonuses!$B$1:$G$1000,5,FALSE)="","",VLOOKUP($AB287&amp;"-"&amp;$F287,Bonuses!$B$1:$G$1000,6,FALSE)&amp;" yrs, "&amp;VLOOKUP($AB287&amp;"-"&amp;$F287,Bonuses!$B$1:$G$1000,5,FALSE)))</f>
        <v/>
      </c>
    </row>
    <row r="288" spans="1:31" s="21" customFormat="1">
      <c r="A288" s="21" t="s">
        <v>765</v>
      </c>
      <c r="B288" s="21">
        <f t="shared" si="16"/>
        <v>1</v>
      </c>
      <c r="C288" s="21" t="str">
        <f t="shared" si="17"/>
        <v>B</v>
      </c>
      <c r="D288" s="17">
        <f>IF($C288="B",VLOOKUP($A288,Bat!$A$4:$BD$2323,D$1,FALSE),VLOOKUP($A288,Pit!$A$4:$AZ$2261,D$2,FALSE))</f>
        <v>13785</v>
      </c>
      <c r="E288" s="16" t="str">
        <f>IF($C288="B",VLOOKUP($A288,Bat!$A$4:$BD$2323,E$1,FALSE),VLOOKUP($A288,Pit!$A$4:$AZ$2261,E$2,FALSE))</f>
        <v>RF</v>
      </c>
      <c r="F288" s="16" t="str">
        <f>IF($C288="B",VLOOKUP($A288,Bat!$A$4:$BD$2323,F$1,FALSE),VLOOKUP($A288,Pit!$A$4:$AZ$2261,F$2,FALSE))</f>
        <v>Kelvin Lynas</v>
      </c>
      <c r="G288" s="16">
        <f>IF($C288="B",VLOOKUP($A288,Bat!$A$4:$BD$2323,G$1,FALSE),VLOOKUP($A288,Pit!$A$4:$AZ$2261,G$2,FALSE))</f>
        <v>18</v>
      </c>
      <c r="H288" s="16" t="str">
        <f>IF($C288="B",VLOOKUP($A288,Bat!$A$4:$BD$2323,H$1,FALSE),VLOOKUP($A288,Pit!$A$4:$AZ$2261,H$2,FALSE))</f>
        <v>L</v>
      </c>
      <c r="I288" s="16" t="str">
        <f>IF($C288="B",VLOOKUP($A288,Bat!$A$4:$BD$2323,I$1,FALSE),VLOOKUP($A288,Pit!$A$4:$AZ$2261,I$2,FALSE))</f>
        <v>L</v>
      </c>
      <c r="J288" s="16" t="str">
        <f>IF($C288="B",VLOOKUP($A288,Bat!$A$4:$BD$2323,J$1,FALSE),VLOOKUP($A288,Pit!$A$4:$AZ$2261,J$2,FALSE))</f>
        <v>Normal</v>
      </c>
      <c r="K288" s="17" t="str">
        <f>IF($C288="B",VLOOKUP($A288,Bat!$A$4:$BD$2323,K$1,FALSE),VLOOKUP($A288,Pit!$A$4:$AZ$2261,K$2,FALSE))</f>
        <v>Normal</v>
      </c>
      <c r="L288" s="16">
        <f>IF($C288="B",VLOOKUP($A288,Bat!$A$4:$BD$2323,L$1,FALSE),VLOOKUP($A288,Pit!$A$4:$AZ$2261,L$2,FALSE))</f>
        <v>2</v>
      </c>
      <c r="M288" s="16">
        <f>IF($C288="B",VLOOKUP($A288,Bat!$A$4:$BD$2323,M$1,FALSE),VLOOKUP($A288,Pit!$A$4:$AZ$2261,M$2,FALSE))</f>
        <v>3</v>
      </c>
      <c r="N288" s="16">
        <f>IF($C288="B",VLOOKUP($A288,Bat!$A$4:$BD$2323,N$1,FALSE),VLOOKUP($A288,Pit!$A$4:$AZ$2261,N$2,FALSE))</f>
        <v>2</v>
      </c>
      <c r="O288" s="16">
        <f>IF($C288="B",VLOOKUP($A288,Bat!$A$4:$BD$2323,O$1,FALSE),VLOOKUP($A288,Pit!$A$4:$AZ$2261,O$2,FALSE))</f>
        <v>2</v>
      </c>
      <c r="P288" s="17">
        <f>IF($C288="B",VLOOKUP($A288,Bat!$A$4:$BD$2323,P$1,FALSE),VLOOKUP($A288,Pit!$A$4:$AZ$2261,P$2,FALSE))</f>
        <v>4</v>
      </c>
      <c r="Q288" s="18">
        <f>IF($C288="B",VLOOKUP($A288,Bat!$A$4:$BD$2323,Q$1,FALSE),VLOOKUP($A288,Pit!$A$4:$AZ$2261,Q$2,FALSE))</f>
        <v>10</v>
      </c>
      <c r="R288" s="19">
        <f>IF($C288="B",VLOOKUP($A288,Bat!$A$4:$BD$2323,R$1,FALSE),VLOOKUP($A288,Pit!$A$4:$AZ$2261,R$2,FALSE))</f>
        <v>-9.2593913278298426E-2</v>
      </c>
      <c r="S288" s="20" t="str">
        <f>IF($C288="B",VLOOKUP($A288,Bat!$A$4:$BD$2323,S$1,FALSE),VLOOKUP($A288,Pit!$A$4:$AZ$2261,S$2,FALSE))</f>
        <v>Slot</v>
      </c>
      <c r="T288" s="17" t="str">
        <f>IF(S288="Slot","",VLOOKUP(IF($C288="B",VLOOKUP($A288,Bat!$A$4:$AT$2323,T$1,FALSE),VLOOKUP($A288,Pit!$A$4:$BD$2261,T$2,FALSE)),COND!$A$34:$B$40,2,FALSE))</f>
        <v/>
      </c>
      <c r="U288" s="21" t="str">
        <f>IF($C288="B",VLOOKUP($A288,Bat!$A$4:$AR$1287,44,FALSE),VLOOKUP($A288,Pit!$A$4:$BB$1239,54,FALSE))</f>
        <v/>
      </c>
      <c r="W288" s="21" t="str">
        <f t="shared" si="18"/>
        <v/>
      </c>
      <c r="X288" s="22" t="e">
        <f t="shared" si="19"/>
        <v>#N/A</v>
      </c>
      <c r="Y288" s="16" t="str">
        <f>IF(ISERROR(VLOOKUP($E288&amp;$F288,Results!$A$2:$G$413,Y$1,FALSE)),"",VLOOKUP($E288&amp;$F288,Results!$A$2:$G$413,Y$1,FALSE))</f>
        <v/>
      </c>
      <c r="Z288" s="16" t="str">
        <f>IF(ISERROR(VLOOKUP($E288&amp;$F288,Results!$A$2:$G$413,Z$1,FALSE)),"",VLOOKUP($E288&amp;$F288,Results!$A$2:$G$413,Z$1,FALSE))</f>
        <v/>
      </c>
      <c r="AA288" s="16" t="str">
        <f>IF(ISERROR(VLOOKUP($E288&amp;$F288,Results!$A$2:$G$413,AA$1,FALSE)),"",VLOOKUP($E288&amp;$F288,Results!$A$2:$G$413,AA$1,FALSE))</f>
        <v/>
      </c>
      <c r="AB288" s="16" t="str">
        <f>IF(ISERROR(VLOOKUP($E288&amp;$F288,Results!$A$2:$G$413,AB$1,FALSE)),"",VLOOKUP($E288&amp;$F288,Results!$A$2:$G$413,AB$1,FALSE))</f>
        <v/>
      </c>
      <c r="AC288" s="16"/>
      <c r="AD288" s="20" t="str">
        <f>IF(ISERROR(VLOOKUP($AB288&amp;"-"&amp;$F288,Bonuses!$B$1:$G$1000,4,FALSE)),"",INT(VLOOKUP($AB288&amp;"-"&amp;$F288,Bonuses!$B$1:$G$1000,4,FALSE)))</f>
        <v/>
      </c>
      <c r="AE288" s="16" t="str">
        <f>IF(ISERROR(VLOOKUP($AB288&amp;"-"&amp;$F288,Bonuses!$B$1:$G$1000,5,FALSE)),"",IF(VLOOKUP($AB288&amp;"-"&amp;$F288,Bonuses!$B$1:$G$1000,5,FALSE)="","",VLOOKUP($AB288&amp;"-"&amp;$F288,Bonuses!$B$1:$G$1000,6,FALSE)&amp;" yrs, "&amp;VLOOKUP($AB288&amp;"-"&amp;$F288,Bonuses!$B$1:$G$1000,5,FALSE)))</f>
        <v/>
      </c>
    </row>
    <row r="289" spans="1:31" s="21" customFormat="1">
      <c r="A289" s="21" t="s">
        <v>777</v>
      </c>
      <c r="B289" s="21">
        <f t="shared" si="16"/>
        <v>1</v>
      </c>
      <c r="C289" s="21" t="str">
        <f t="shared" si="17"/>
        <v>P</v>
      </c>
      <c r="D289" s="17">
        <f>IF($C289="B",VLOOKUP($A289,Bat!$A$4:$BD$2323,D$1,FALSE),VLOOKUP($A289,Pit!$A$4:$AZ$2261,D$2,FALSE))</f>
        <v>6007</v>
      </c>
      <c r="E289" s="16" t="str">
        <f>IF($C289="B",VLOOKUP($A289,Bat!$A$4:$BD$2323,E$1,FALSE),VLOOKUP($A289,Pit!$A$4:$AZ$2261,E$2,FALSE))</f>
        <v>CL</v>
      </c>
      <c r="F289" s="16" t="str">
        <f>IF($C289="B",VLOOKUP($A289,Bat!$A$4:$BD$2323,F$1,FALSE),VLOOKUP($A289,Pit!$A$4:$AZ$2261,F$2,FALSE))</f>
        <v>Eric Castle</v>
      </c>
      <c r="G289" s="16">
        <f>IF($C289="B",VLOOKUP($A289,Bat!$A$4:$BD$2323,G$1,FALSE),VLOOKUP($A289,Pit!$A$4:$AZ$2261,G$2,FALSE))</f>
        <v>21</v>
      </c>
      <c r="H289" s="16" t="str">
        <f>IF($C289="B",VLOOKUP($A289,Bat!$A$4:$BD$2323,H$1,FALSE),VLOOKUP($A289,Pit!$A$4:$AZ$2261,H$2,FALSE))</f>
        <v>R</v>
      </c>
      <c r="I289" s="16" t="str">
        <f>IF($C289="B",VLOOKUP($A289,Bat!$A$4:$BD$2323,I$1,FALSE),VLOOKUP($A289,Pit!$A$4:$AZ$2261,I$2,FALSE))</f>
        <v>R</v>
      </c>
      <c r="J289" s="16" t="str">
        <f>IF($C289="B",VLOOKUP($A289,Bat!$A$4:$BD$2323,J$1,FALSE),VLOOKUP($A289,Pit!$A$4:$AZ$2261,J$2,FALSE))</f>
        <v>Normal</v>
      </c>
      <c r="K289" s="17" t="str">
        <f>IF($C289="B",VLOOKUP($A289,Bat!$A$4:$BD$2323,K$1,FALSE),VLOOKUP($A289,Pit!$A$4:$AZ$2261,K$2,FALSE))</f>
        <v>Low</v>
      </c>
      <c r="L289" s="16">
        <f>IF($C289="B",VLOOKUP($A289,Bat!$A$4:$BD$2323,L$1,FALSE),VLOOKUP($A289,Pit!$A$4:$AZ$2261,L$2,FALSE))</f>
        <v>9</v>
      </c>
      <c r="M289" s="16">
        <f>IF($C289="B",VLOOKUP($A289,Bat!$A$4:$BD$2323,M$1,FALSE),VLOOKUP($A289,Pit!$A$4:$AZ$2261,M$2,FALSE))</f>
        <v>8</v>
      </c>
      <c r="N289" s="16">
        <f>IF($C289="B",VLOOKUP($A289,Bat!$A$4:$BD$2323,N$1,FALSE),VLOOKUP($A289,Pit!$A$4:$AZ$2261,N$2,FALSE))</f>
        <v>5</v>
      </c>
      <c r="O289" s="16" t="str">
        <f>IF($C289="B",VLOOKUP($A289,Bat!$A$4:$BD$2323,O$1,FALSE),VLOOKUP($A289,Pit!$A$4:$AZ$2261,O$2,FALSE))</f>
        <v>95-97 Mph</v>
      </c>
      <c r="P289" s="17">
        <f>IF($C289="B",VLOOKUP($A289,Bat!$A$4:$BD$2323,P$1,FALSE),VLOOKUP($A289,Pit!$A$4:$AZ$2261,P$2,FALSE))</f>
        <v>5</v>
      </c>
      <c r="Q289" s="18">
        <f>IF($C289="B",VLOOKUP($A289,Bat!$A$4:$BD$2323,Q$1,FALSE),VLOOKUP($A289,Pit!$A$4:$AZ$2261,Q$2,FALSE))</f>
        <v>66.284359022064194</v>
      </c>
      <c r="R289" s="19">
        <f>IF($C289="B",VLOOKUP($A289,Bat!$A$4:$BD$2323,R$1,FALSE),VLOOKUP($A289,Pit!$A$4:$AZ$2261,R$2,FALSE))</f>
        <v>2.5691968974879056</v>
      </c>
      <c r="S289" s="20" t="str">
        <f>IF($C289="B",VLOOKUP($A289,Bat!$A$4:$BD$2323,S$1,FALSE),VLOOKUP($A289,Pit!$A$4:$AZ$2261,S$2,FALSE))</f>
        <v>Slot</v>
      </c>
      <c r="T289" s="17" t="str">
        <f>IF(S289="Slot","",VLOOKUP(IF($C289="B",VLOOKUP($A289,Bat!$A$4:$AT$2323,T$1,FALSE),VLOOKUP($A289,Pit!$A$4:$BD$2261,T$2,FALSE)),COND!$A$34:$B$40,2,FALSE))</f>
        <v/>
      </c>
      <c r="U289" s="21">
        <f>IF($C289="B",VLOOKUP($A289,Bat!$A$4:$AR$1287,44,FALSE),VLOOKUP($A289,Pit!$A$4:$BB$1239,54,FALSE))</f>
        <v>4</v>
      </c>
      <c r="W289" s="21">
        <f t="shared" si="18"/>
        <v>4</v>
      </c>
      <c r="X289" s="22" t="e">
        <f t="shared" si="19"/>
        <v>#N/A</v>
      </c>
      <c r="Y289" s="16" t="str">
        <f>IF(ISERROR(VLOOKUP($E289&amp;$F289,Results!$A$2:$G$413,Y$1,FALSE)),"",VLOOKUP($E289&amp;$F289,Results!$A$2:$G$413,Y$1,FALSE))</f>
        <v/>
      </c>
      <c r="Z289" s="16" t="str">
        <f>IF(ISERROR(VLOOKUP($E289&amp;$F289,Results!$A$2:$G$413,Z$1,FALSE)),"",VLOOKUP($E289&amp;$F289,Results!$A$2:$G$413,Z$1,FALSE))</f>
        <v/>
      </c>
      <c r="AA289" s="16" t="str">
        <f>IF(ISERROR(VLOOKUP($E289&amp;$F289,Results!$A$2:$G$413,AA$1,FALSE)),"",VLOOKUP($E289&amp;$F289,Results!$A$2:$G$413,AA$1,FALSE))</f>
        <v/>
      </c>
      <c r="AB289" s="16" t="str">
        <f>IF(ISERROR(VLOOKUP($E289&amp;$F289,Results!$A$2:$G$413,AB$1,FALSE)),"",VLOOKUP($E289&amp;$F289,Results!$A$2:$G$413,AB$1,FALSE))</f>
        <v/>
      </c>
      <c r="AC289" s="16"/>
      <c r="AD289" s="20" t="str">
        <f>IF(ISERROR(VLOOKUP($AB289&amp;"-"&amp;$F289,Bonuses!$B$1:$G$1000,4,FALSE)),"",INT(VLOOKUP($AB289&amp;"-"&amp;$F289,Bonuses!$B$1:$G$1000,4,FALSE)))</f>
        <v/>
      </c>
      <c r="AE289" s="16" t="str">
        <f>IF(ISERROR(VLOOKUP($AB289&amp;"-"&amp;$F289,Bonuses!$B$1:$G$1000,5,FALSE)),"",IF(VLOOKUP($AB289&amp;"-"&amp;$F289,Bonuses!$B$1:$G$1000,5,FALSE)="","",VLOOKUP($AB289&amp;"-"&amp;$F289,Bonuses!$B$1:$G$1000,6,FALSE)&amp;" yrs, "&amp;VLOOKUP($AB289&amp;"-"&amp;$F289,Bonuses!$B$1:$G$1000,5,FALSE)))</f>
        <v/>
      </c>
    </row>
    <row r="290" spans="1:31" s="21" customFormat="1">
      <c r="A290" s="21" t="s">
        <v>789</v>
      </c>
      <c r="B290" s="21">
        <f t="shared" si="16"/>
        <v>1</v>
      </c>
      <c r="C290" s="21" t="str">
        <f t="shared" si="17"/>
        <v>P</v>
      </c>
      <c r="D290" s="17">
        <f>IF($C290="B",VLOOKUP($A290,Bat!$A$4:$BD$2323,D$1,FALSE),VLOOKUP($A290,Pit!$A$4:$AZ$2261,D$2,FALSE))</f>
        <v>703</v>
      </c>
      <c r="E290" s="16" t="str">
        <f>IF($C290="B",VLOOKUP($A290,Bat!$A$4:$BD$2323,E$1,FALSE),VLOOKUP($A290,Pit!$A$4:$AZ$2261,E$2,FALSE))</f>
        <v>SP</v>
      </c>
      <c r="F290" s="16" t="str">
        <f>IF($C290="B",VLOOKUP($A290,Bat!$A$4:$BD$2323,F$1,FALSE),VLOOKUP($A290,Pit!$A$4:$AZ$2261,F$2,FALSE))</f>
        <v>Mark Hickey</v>
      </c>
      <c r="G290" s="16">
        <f>IF($C290="B",VLOOKUP($A290,Bat!$A$4:$BD$2323,G$1,FALSE),VLOOKUP($A290,Pit!$A$4:$AZ$2261,G$2,FALSE))</f>
        <v>18</v>
      </c>
      <c r="H290" s="16" t="str">
        <f>IF($C290="B",VLOOKUP($A290,Bat!$A$4:$BD$2323,H$1,FALSE),VLOOKUP($A290,Pit!$A$4:$AZ$2261,H$2,FALSE))</f>
        <v>R</v>
      </c>
      <c r="I290" s="16" t="str">
        <f>IF($C290="B",VLOOKUP($A290,Bat!$A$4:$BD$2323,I$1,FALSE),VLOOKUP($A290,Pit!$A$4:$AZ$2261,I$2,FALSE))</f>
        <v>R</v>
      </c>
      <c r="J290" s="16" t="str">
        <f>IF($C290="B",VLOOKUP($A290,Bat!$A$4:$BD$2323,J$1,FALSE),VLOOKUP($A290,Pit!$A$4:$AZ$2261,J$2,FALSE))</f>
        <v>Normal</v>
      </c>
      <c r="K290" s="17" t="str">
        <f>IF($C290="B",VLOOKUP($A290,Bat!$A$4:$BD$2323,K$1,FALSE),VLOOKUP($A290,Pit!$A$4:$AZ$2261,K$2,FALSE))</f>
        <v>Normal</v>
      </c>
      <c r="L290" s="16">
        <f>IF($C290="B",VLOOKUP($A290,Bat!$A$4:$BD$2323,L$1,FALSE),VLOOKUP($A290,Pit!$A$4:$AZ$2261,L$2,FALSE))</f>
        <v>4</v>
      </c>
      <c r="M290" s="16">
        <f>IF($C290="B",VLOOKUP($A290,Bat!$A$4:$BD$2323,M$1,FALSE),VLOOKUP($A290,Pit!$A$4:$AZ$2261,M$2,FALSE))</f>
        <v>9</v>
      </c>
      <c r="N290" s="16">
        <f>IF($C290="B",VLOOKUP($A290,Bat!$A$4:$BD$2323,N$1,FALSE),VLOOKUP($A290,Pit!$A$4:$AZ$2261,N$2,FALSE))</f>
        <v>9</v>
      </c>
      <c r="O290" s="16" t="str">
        <f>IF($C290="B",VLOOKUP($A290,Bat!$A$4:$BD$2323,O$1,FALSE),VLOOKUP($A290,Pit!$A$4:$AZ$2261,O$2,FALSE))</f>
        <v>89-90 Mph</v>
      </c>
      <c r="P290" s="17">
        <f>IF($C290="B",VLOOKUP($A290,Bat!$A$4:$BD$2323,P$1,FALSE),VLOOKUP($A290,Pit!$A$4:$AZ$2261,P$2,FALSE))</f>
        <v>4</v>
      </c>
      <c r="Q290" s="18">
        <f>IF($C290="B",VLOOKUP($A290,Bat!$A$4:$BD$2323,Q$1,FALSE),VLOOKUP($A290,Pit!$A$4:$AZ$2261,Q$2,FALSE))</f>
        <v>66.500071654287552</v>
      </c>
      <c r="R290" s="19">
        <f>IF($C290="B",VLOOKUP($A290,Bat!$A$4:$BD$2323,R$1,FALSE),VLOOKUP($A290,Pit!$A$4:$AZ$2261,R$2,FALSE))</f>
        <v>2.5863215770749632</v>
      </c>
      <c r="S290" s="20">
        <f>IF($C290="B",VLOOKUP($A290,Bat!$A$4:$BD$2323,S$1,FALSE),VLOOKUP($A290,Pit!$A$4:$AZ$2261,S$2,FALSE))</f>
        <v>2200000</v>
      </c>
      <c r="T290" s="17" t="str">
        <f>IF(S290="Slot","",VLOOKUP(IF($C290="B",VLOOKUP($A290,Bat!$A$4:$AT$2323,T$1,FALSE),VLOOKUP($A290,Pit!$A$4:$BD$2261,T$2,FALSE)),COND!$A$34:$B$40,2,FALSE))</f>
        <v>H</v>
      </c>
      <c r="U290" s="21">
        <f>IF($C290="B",VLOOKUP($A290,Bat!$A$4:$AR$1287,44,FALSE),VLOOKUP($A290,Pit!$A$4:$BB$1239,54,FALSE))</f>
        <v>7</v>
      </c>
      <c r="W290" s="21">
        <f t="shared" si="18"/>
        <v>7</v>
      </c>
      <c r="X290" s="22" t="e">
        <f t="shared" si="19"/>
        <v>#N/A</v>
      </c>
      <c r="Y290" s="16" t="str">
        <f>IF(ISERROR(VLOOKUP($E290&amp;$F290,Results!$A$2:$G$413,Y$1,FALSE)),"",VLOOKUP($E290&amp;$F290,Results!$A$2:$G$413,Y$1,FALSE))</f>
        <v/>
      </c>
      <c r="Z290" s="16" t="str">
        <f>IF(ISERROR(VLOOKUP($E290&amp;$F290,Results!$A$2:$G$413,Z$1,FALSE)),"",VLOOKUP($E290&amp;$F290,Results!$A$2:$G$413,Z$1,FALSE))</f>
        <v/>
      </c>
      <c r="AA290" s="16" t="str">
        <f>IF(ISERROR(VLOOKUP($E290&amp;$F290,Results!$A$2:$G$413,AA$1,FALSE)),"",VLOOKUP($E290&amp;$F290,Results!$A$2:$G$413,AA$1,FALSE))</f>
        <v/>
      </c>
      <c r="AB290" s="16" t="str">
        <f>IF(ISERROR(VLOOKUP($E290&amp;$F290,Results!$A$2:$G$413,AB$1,FALSE)),"",VLOOKUP($E290&amp;$F290,Results!$A$2:$G$413,AB$1,FALSE))</f>
        <v/>
      </c>
      <c r="AC290" s="16"/>
      <c r="AD290" s="20" t="str">
        <f>IF(ISERROR(VLOOKUP($AB290&amp;"-"&amp;$F290,Bonuses!$B$1:$G$1000,4,FALSE)),"",INT(VLOOKUP($AB290&amp;"-"&amp;$F290,Bonuses!$B$1:$G$1000,4,FALSE)))</f>
        <v/>
      </c>
      <c r="AE290" s="16" t="str">
        <f>IF(ISERROR(VLOOKUP($AB290&amp;"-"&amp;$F290,Bonuses!$B$1:$G$1000,5,FALSE)),"",IF(VLOOKUP($AB290&amp;"-"&amp;$F290,Bonuses!$B$1:$G$1000,5,FALSE)="","",VLOOKUP($AB290&amp;"-"&amp;$F290,Bonuses!$B$1:$G$1000,6,FALSE)&amp;" yrs, "&amp;VLOOKUP($AB290&amp;"-"&amp;$F290,Bonuses!$B$1:$G$1000,5,FALSE)))</f>
        <v/>
      </c>
    </row>
    <row r="291" spans="1:31" s="21" customFormat="1">
      <c r="A291" s="21" t="s">
        <v>80</v>
      </c>
      <c r="B291" s="21">
        <f t="shared" si="16"/>
        <v>1</v>
      </c>
      <c r="C291" s="21" t="str">
        <f t="shared" si="17"/>
        <v>P</v>
      </c>
      <c r="D291" s="17">
        <f>IF($C291="B",VLOOKUP($A291,Bat!$A$4:$BD$2323,D$1,FALSE),VLOOKUP($A291,Pit!$A$4:$AZ$2261,D$2,FALSE))</f>
        <v>1703</v>
      </c>
      <c r="E291" s="16" t="str">
        <f>IF($C291="B",VLOOKUP($A291,Bat!$A$4:$BD$2323,E$1,FALSE),VLOOKUP($A291,Pit!$A$4:$AZ$2261,E$2,FALSE))</f>
        <v>MR</v>
      </c>
      <c r="F291" s="16" t="str">
        <f>IF($C291="B",VLOOKUP($A291,Bat!$A$4:$BD$2323,F$1,FALSE),VLOOKUP($A291,Pit!$A$4:$AZ$2261,F$2,FALSE))</f>
        <v>Dave Kirkpatrick</v>
      </c>
      <c r="G291" s="16">
        <f>IF($C291="B",VLOOKUP($A291,Bat!$A$4:$BD$2323,G$1,FALSE),VLOOKUP($A291,Pit!$A$4:$AZ$2261,G$2,FALSE))</f>
        <v>18</v>
      </c>
      <c r="H291" s="16" t="str">
        <f>IF($C291="B",VLOOKUP($A291,Bat!$A$4:$BD$2323,H$1,FALSE),VLOOKUP($A291,Pit!$A$4:$AZ$2261,H$2,FALSE))</f>
        <v>R</v>
      </c>
      <c r="I291" s="16" t="str">
        <f>IF($C291="B",VLOOKUP($A291,Bat!$A$4:$BD$2323,I$1,FALSE),VLOOKUP($A291,Pit!$A$4:$AZ$2261,I$2,FALSE))</f>
        <v>R</v>
      </c>
      <c r="J291" s="16" t="str">
        <f>IF($C291="B",VLOOKUP($A291,Bat!$A$4:$BD$2323,J$1,FALSE),VLOOKUP($A291,Pit!$A$4:$AZ$2261,J$2,FALSE))</f>
        <v>Low</v>
      </c>
      <c r="K291" s="17" t="str">
        <f>IF($C291="B",VLOOKUP($A291,Bat!$A$4:$BD$2323,K$1,FALSE),VLOOKUP($A291,Pit!$A$4:$AZ$2261,K$2,FALSE))</f>
        <v>High</v>
      </c>
      <c r="L291" s="16">
        <f>IF($C291="B",VLOOKUP($A291,Bat!$A$4:$BD$2323,L$1,FALSE),VLOOKUP($A291,Pit!$A$4:$AZ$2261,L$2,FALSE))</f>
        <v>6</v>
      </c>
      <c r="M291" s="16">
        <f>IF($C291="B",VLOOKUP($A291,Bat!$A$4:$BD$2323,M$1,FALSE),VLOOKUP($A291,Pit!$A$4:$AZ$2261,M$2,FALSE))</f>
        <v>6</v>
      </c>
      <c r="N291" s="16">
        <f>IF($C291="B",VLOOKUP($A291,Bat!$A$4:$BD$2323,N$1,FALSE),VLOOKUP($A291,Pit!$A$4:$AZ$2261,N$2,FALSE))</f>
        <v>9</v>
      </c>
      <c r="O291" s="16" t="str">
        <f>IF($C291="B",VLOOKUP($A291,Bat!$A$4:$BD$2323,O$1,FALSE),VLOOKUP($A291,Pit!$A$4:$AZ$2261,O$2,FALSE))</f>
        <v>91-93 Mph</v>
      </c>
      <c r="P291" s="17">
        <f>IF($C291="B",VLOOKUP($A291,Bat!$A$4:$BD$2323,P$1,FALSE),VLOOKUP($A291,Pit!$A$4:$AZ$2261,P$2,FALSE))</f>
        <v>5</v>
      </c>
      <c r="Q291" s="18">
        <f>IF($C291="B",VLOOKUP($A291,Bat!$A$4:$BD$2323,Q$1,FALSE),VLOOKUP($A291,Pit!$A$4:$AZ$2261,Q$2,FALSE))</f>
        <v>63.095052539287245</v>
      </c>
      <c r="R291" s="19">
        <f>IF($C291="B",VLOOKUP($A291,Bat!$A$4:$BD$2323,R$1,FALSE),VLOOKUP($A291,Pit!$A$4:$AZ$2261,R$2,FALSE))</f>
        <v>2.3160088896297051</v>
      </c>
      <c r="S291" s="20">
        <f>IF($C291="B",VLOOKUP($A291,Bat!$A$4:$BD$2323,S$1,FALSE),VLOOKUP($A291,Pit!$A$4:$AZ$2261,S$2,FALSE))</f>
        <v>2600000</v>
      </c>
      <c r="T291" s="17" t="str">
        <f>IF(S291="Slot","",VLOOKUP(IF($C291="B",VLOOKUP($A291,Bat!$A$4:$AT$2323,T$1,FALSE),VLOOKUP($A291,Pit!$A$4:$BD$2261,T$2,FALSE)),COND!$A$34:$B$40,2,FALSE))</f>
        <v>EH</v>
      </c>
      <c r="U291" s="21">
        <f>IF($C291="B",VLOOKUP($A291,Bat!$A$4:$AR$1287,44,FALSE),VLOOKUP($A291,Pit!$A$4:$BB$1239,54,FALSE))</f>
        <v>8</v>
      </c>
      <c r="W291" s="21">
        <f t="shared" si="18"/>
        <v>8</v>
      </c>
      <c r="X291" s="22" t="e">
        <f t="shared" si="19"/>
        <v>#N/A</v>
      </c>
      <c r="Y291" s="16" t="str">
        <f>IF(ISERROR(VLOOKUP($E291&amp;$F291,Results!$A$2:$G$413,Y$1,FALSE)),"",VLOOKUP($E291&amp;$F291,Results!$A$2:$G$413,Y$1,FALSE))</f>
        <v/>
      </c>
      <c r="Z291" s="16" t="str">
        <f>IF(ISERROR(VLOOKUP($E291&amp;$F291,Results!$A$2:$G$413,Z$1,FALSE)),"",VLOOKUP($E291&amp;$F291,Results!$A$2:$G$413,Z$1,FALSE))</f>
        <v/>
      </c>
      <c r="AA291" s="16" t="str">
        <f>IF(ISERROR(VLOOKUP($E291&amp;$F291,Results!$A$2:$G$413,AA$1,FALSE)),"",VLOOKUP($E291&amp;$F291,Results!$A$2:$G$413,AA$1,FALSE))</f>
        <v/>
      </c>
      <c r="AB291" s="16" t="str">
        <f>IF(ISERROR(VLOOKUP($E291&amp;$F291,Results!$A$2:$G$413,AB$1,FALSE)),"",VLOOKUP($E291&amp;$F291,Results!$A$2:$G$413,AB$1,FALSE))</f>
        <v/>
      </c>
      <c r="AC291" s="16"/>
      <c r="AD291" s="20" t="str">
        <f>IF(ISERROR(VLOOKUP($AB291&amp;"-"&amp;$F291,Bonuses!$B$1:$G$1000,4,FALSE)),"",INT(VLOOKUP($AB291&amp;"-"&amp;$F291,Bonuses!$B$1:$G$1000,4,FALSE)))</f>
        <v/>
      </c>
      <c r="AE291" s="16" t="str">
        <f>IF(ISERROR(VLOOKUP($AB291&amp;"-"&amp;$F291,Bonuses!$B$1:$G$1000,5,FALSE)),"",IF(VLOOKUP($AB291&amp;"-"&amp;$F291,Bonuses!$B$1:$G$1000,5,FALSE)="","",VLOOKUP($AB291&amp;"-"&amp;$F291,Bonuses!$B$1:$G$1000,6,FALSE)&amp;" yrs, "&amp;VLOOKUP($AB291&amp;"-"&amp;$F291,Bonuses!$B$1:$G$1000,5,FALSE)))</f>
        <v/>
      </c>
    </row>
    <row r="292" spans="1:31" s="21" customFormat="1">
      <c r="A292" s="21" t="s">
        <v>790</v>
      </c>
      <c r="B292" s="21">
        <f t="shared" si="16"/>
        <v>1</v>
      </c>
      <c r="C292" s="21" t="str">
        <f t="shared" si="17"/>
        <v>P</v>
      </c>
      <c r="D292" s="17">
        <f>IF($C292="B",VLOOKUP($A292,Bat!$A$4:$BD$2323,D$1,FALSE),VLOOKUP($A292,Pit!$A$4:$AZ$2261,D$2,FALSE))</f>
        <v>1499</v>
      </c>
      <c r="E292" s="16" t="str">
        <f>IF($C292="B",VLOOKUP($A292,Bat!$A$4:$BD$2323,E$1,FALSE),VLOOKUP($A292,Pit!$A$4:$AZ$2261,E$2,FALSE))</f>
        <v>SP</v>
      </c>
      <c r="F292" s="16" t="str">
        <f>IF($C292="B",VLOOKUP($A292,Bat!$A$4:$BD$2323,F$1,FALSE),VLOOKUP($A292,Pit!$A$4:$AZ$2261,F$2,FALSE))</f>
        <v>Dale Cameron</v>
      </c>
      <c r="G292" s="16">
        <f>IF($C292="B",VLOOKUP($A292,Bat!$A$4:$BD$2323,G$1,FALSE),VLOOKUP($A292,Pit!$A$4:$AZ$2261,G$2,FALSE))</f>
        <v>18</v>
      </c>
      <c r="H292" s="16" t="str">
        <f>IF($C292="B",VLOOKUP($A292,Bat!$A$4:$BD$2323,H$1,FALSE),VLOOKUP($A292,Pit!$A$4:$AZ$2261,H$2,FALSE))</f>
        <v>R</v>
      </c>
      <c r="I292" s="16" t="str">
        <f>IF($C292="B",VLOOKUP($A292,Bat!$A$4:$BD$2323,I$1,FALSE),VLOOKUP($A292,Pit!$A$4:$AZ$2261,I$2,FALSE))</f>
        <v>R</v>
      </c>
      <c r="J292" s="16" t="str">
        <f>IF($C292="B",VLOOKUP($A292,Bat!$A$4:$BD$2323,J$1,FALSE),VLOOKUP($A292,Pit!$A$4:$AZ$2261,J$2,FALSE))</f>
        <v>Normal</v>
      </c>
      <c r="K292" s="17" t="str">
        <f>IF($C292="B",VLOOKUP($A292,Bat!$A$4:$BD$2323,K$1,FALSE),VLOOKUP($A292,Pit!$A$4:$AZ$2261,K$2,FALSE))</f>
        <v>High</v>
      </c>
      <c r="L292" s="16">
        <f>IF($C292="B",VLOOKUP($A292,Bat!$A$4:$BD$2323,L$1,FALSE),VLOOKUP($A292,Pit!$A$4:$AZ$2261,L$2,FALSE))</f>
        <v>6</v>
      </c>
      <c r="M292" s="16">
        <f>IF($C292="B",VLOOKUP($A292,Bat!$A$4:$BD$2323,M$1,FALSE),VLOOKUP($A292,Pit!$A$4:$AZ$2261,M$2,FALSE))</f>
        <v>7</v>
      </c>
      <c r="N292" s="16">
        <f>IF($C292="B",VLOOKUP($A292,Bat!$A$4:$BD$2323,N$1,FALSE),VLOOKUP($A292,Pit!$A$4:$AZ$2261,N$2,FALSE))</f>
        <v>8</v>
      </c>
      <c r="O292" s="16" t="str">
        <f>IF($C292="B",VLOOKUP($A292,Bat!$A$4:$BD$2323,O$1,FALSE),VLOOKUP($A292,Pit!$A$4:$AZ$2261,O$2,FALSE))</f>
        <v>87-89 Mph</v>
      </c>
      <c r="P292" s="17">
        <f>IF($C292="B",VLOOKUP($A292,Bat!$A$4:$BD$2323,P$1,FALSE),VLOOKUP($A292,Pit!$A$4:$AZ$2261,P$2,FALSE))</f>
        <v>3</v>
      </c>
      <c r="Q292" s="18">
        <f>IF($C292="B",VLOOKUP($A292,Bat!$A$4:$BD$2323,Q$1,FALSE),VLOOKUP($A292,Pit!$A$4:$AZ$2261,Q$2,FALSE))</f>
        <v>63.17446398014421</v>
      </c>
      <c r="R292" s="19">
        <f>IF($C292="B",VLOOKUP($A292,Bat!$A$4:$BD$2323,R$1,FALSE),VLOOKUP($A292,Pit!$A$4:$AZ$2261,R$2,FALSE))</f>
        <v>2.3223130891854082</v>
      </c>
      <c r="S292" s="20">
        <f>IF($C292="B",VLOOKUP($A292,Bat!$A$4:$BD$2323,S$1,FALSE),VLOOKUP($A292,Pit!$A$4:$AZ$2261,S$2,FALSE))</f>
        <v>1300000</v>
      </c>
      <c r="T292" s="17" t="str">
        <f>IF(S292="Slot","",VLOOKUP(IF($C292="B",VLOOKUP($A292,Bat!$A$4:$AT$2323,T$1,FALSE),VLOOKUP($A292,Pit!$A$4:$BD$2261,T$2,FALSE)),COND!$A$34:$B$40,2,FALSE))</f>
        <v>H</v>
      </c>
      <c r="U292" s="21">
        <f>IF($C292="B",VLOOKUP($A292,Bat!$A$4:$AR$1287,44,FALSE),VLOOKUP($A292,Pit!$A$4:$BB$1239,54,FALSE))</f>
        <v>3</v>
      </c>
      <c r="W292" s="21">
        <f t="shared" si="18"/>
        <v>3</v>
      </c>
      <c r="X292" s="22" t="e">
        <f t="shared" si="19"/>
        <v>#N/A</v>
      </c>
      <c r="Y292" s="16" t="str">
        <f>IF(ISERROR(VLOOKUP($E292&amp;$F292,Results!$A$2:$G$413,Y$1,FALSE)),"",VLOOKUP($E292&amp;$F292,Results!$A$2:$G$413,Y$1,FALSE))</f>
        <v/>
      </c>
      <c r="Z292" s="16" t="str">
        <f>IF(ISERROR(VLOOKUP($E292&amp;$F292,Results!$A$2:$G$413,Z$1,FALSE)),"",VLOOKUP($E292&amp;$F292,Results!$A$2:$G$413,Z$1,FALSE))</f>
        <v/>
      </c>
      <c r="AA292" s="16" t="str">
        <f>IF(ISERROR(VLOOKUP($E292&amp;$F292,Results!$A$2:$G$413,AA$1,FALSE)),"",VLOOKUP($E292&amp;$F292,Results!$A$2:$G$413,AA$1,FALSE))</f>
        <v/>
      </c>
      <c r="AB292" s="16" t="str">
        <f>IF(ISERROR(VLOOKUP($E292&amp;$F292,Results!$A$2:$G$413,AB$1,FALSE)),"",VLOOKUP($E292&amp;$F292,Results!$A$2:$G$413,AB$1,FALSE))</f>
        <v/>
      </c>
      <c r="AC292" s="16"/>
      <c r="AD292" s="20" t="str">
        <f>IF(ISERROR(VLOOKUP($AB292&amp;"-"&amp;$F292,Bonuses!$B$1:$G$1000,4,FALSE)),"",INT(VLOOKUP($AB292&amp;"-"&amp;$F292,Bonuses!$B$1:$G$1000,4,FALSE)))</f>
        <v/>
      </c>
      <c r="AE292" s="16" t="str">
        <f>IF(ISERROR(VLOOKUP($AB292&amp;"-"&amp;$F292,Bonuses!$B$1:$G$1000,5,FALSE)),"",IF(VLOOKUP($AB292&amp;"-"&amp;$F292,Bonuses!$B$1:$G$1000,5,FALSE)="","",VLOOKUP($AB292&amp;"-"&amp;$F292,Bonuses!$B$1:$G$1000,6,FALSE)&amp;" yrs, "&amp;VLOOKUP($AB292&amp;"-"&amp;$F292,Bonuses!$B$1:$G$1000,5,FALSE)))</f>
        <v/>
      </c>
    </row>
    <row r="293" spans="1:31" s="21" customFormat="1">
      <c r="A293" s="21" t="s">
        <v>779</v>
      </c>
      <c r="B293" s="21">
        <f t="shared" si="16"/>
        <v>1</v>
      </c>
      <c r="C293" s="21" t="str">
        <f t="shared" si="17"/>
        <v>P</v>
      </c>
      <c r="D293" s="17">
        <f>IF($C293="B",VLOOKUP($A293,Bat!$A$4:$BD$2323,D$1,FALSE),VLOOKUP($A293,Pit!$A$4:$AZ$2261,D$2,FALSE))</f>
        <v>13798</v>
      </c>
      <c r="E293" s="16" t="str">
        <f>IF($C293="B",VLOOKUP($A293,Bat!$A$4:$BD$2323,E$1,FALSE),VLOOKUP($A293,Pit!$A$4:$AZ$2261,E$2,FALSE))</f>
        <v>SP</v>
      </c>
      <c r="F293" s="16" t="str">
        <f>IF($C293="B",VLOOKUP($A293,Bat!$A$4:$BD$2323,F$1,FALSE),VLOOKUP($A293,Pit!$A$4:$AZ$2261,F$2,FALSE))</f>
        <v>Luis Reyes</v>
      </c>
      <c r="G293" s="16">
        <f>IF($C293="B",VLOOKUP($A293,Bat!$A$4:$BD$2323,G$1,FALSE),VLOOKUP($A293,Pit!$A$4:$AZ$2261,G$2,FALSE))</f>
        <v>18</v>
      </c>
      <c r="H293" s="16" t="str">
        <f>IF($C293="B",VLOOKUP($A293,Bat!$A$4:$BD$2323,H$1,FALSE),VLOOKUP($A293,Pit!$A$4:$AZ$2261,H$2,FALSE))</f>
        <v>L</v>
      </c>
      <c r="I293" s="16" t="str">
        <f>IF($C293="B",VLOOKUP($A293,Bat!$A$4:$BD$2323,I$1,FALSE),VLOOKUP($A293,Pit!$A$4:$AZ$2261,I$2,FALSE))</f>
        <v>R</v>
      </c>
      <c r="J293" s="16" t="str">
        <f>IF($C293="B",VLOOKUP($A293,Bat!$A$4:$BD$2323,J$1,FALSE),VLOOKUP($A293,Pit!$A$4:$AZ$2261,J$2,FALSE))</f>
        <v>Normal</v>
      </c>
      <c r="K293" s="17" t="str">
        <f>IF($C293="B",VLOOKUP($A293,Bat!$A$4:$BD$2323,K$1,FALSE),VLOOKUP($A293,Pit!$A$4:$AZ$2261,K$2,FALSE))</f>
        <v>Normal</v>
      </c>
      <c r="L293" s="16">
        <f>IF($C293="B",VLOOKUP($A293,Bat!$A$4:$BD$2323,L$1,FALSE),VLOOKUP($A293,Pit!$A$4:$AZ$2261,L$2,FALSE))</f>
        <v>5</v>
      </c>
      <c r="M293" s="16">
        <f>IF($C293="B",VLOOKUP($A293,Bat!$A$4:$BD$2323,M$1,FALSE),VLOOKUP($A293,Pit!$A$4:$AZ$2261,M$2,FALSE))</f>
        <v>6</v>
      </c>
      <c r="N293" s="16">
        <f>IF($C293="B",VLOOKUP($A293,Bat!$A$4:$BD$2323,N$1,FALSE),VLOOKUP($A293,Pit!$A$4:$AZ$2261,N$2,FALSE))</f>
        <v>8</v>
      </c>
      <c r="O293" s="16" t="str">
        <f>IF($C293="B",VLOOKUP($A293,Bat!$A$4:$BD$2323,O$1,FALSE),VLOOKUP($A293,Pit!$A$4:$AZ$2261,O$2,FALSE))</f>
        <v>90-92 Mph</v>
      </c>
      <c r="P293" s="17">
        <f>IF($C293="B",VLOOKUP($A293,Bat!$A$4:$BD$2323,P$1,FALSE),VLOOKUP($A293,Pit!$A$4:$AZ$2261,P$2,FALSE))</f>
        <v>8</v>
      </c>
      <c r="Q293" s="18">
        <f>IF($C293="B",VLOOKUP($A293,Bat!$A$4:$BD$2323,Q$1,FALSE),VLOOKUP($A293,Pit!$A$4:$AZ$2261,Q$2,FALSE))</f>
        <v>58.712931667081506</v>
      </c>
      <c r="R293" s="19">
        <f>IF($C293="B",VLOOKUP($A293,Bat!$A$4:$BD$2323,R$1,FALSE),VLOOKUP($A293,Pit!$A$4:$AZ$2261,R$2,FALSE))</f>
        <v>1.9681274740871126</v>
      </c>
      <c r="S293" s="20">
        <f>IF($C293="B",VLOOKUP($A293,Bat!$A$4:$BD$2323,S$1,FALSE),VLOOKUP($A293,Pit!$A$4:$AZ$2261,S$2,FALSE))</f>
        <v>2200000</v>
      </c>
      <c r="T293" s="17" t="str">
        <f>IF(S293="Slot","",VLOOKUP(IF($C293="B",VLOOKUP($A293,Bat!$A$4:$AT$2323,T$1,FALSE),VLOOKUP($A293,Pit!$A$4:$BD$2261,T$2,FALSE)),COND!$A$34:$B$40,2,FALSE))</f>
        <v>EH</v>
      </c>
      <c r="U293" s="21">
        <f>IF($C293="B",VLOOKUP($A293,Bat!$A$4:$AR$1287,44,FALSE),VLOOKUP($A293,Pit!$A$4:$BB$1239,54,FALSE))</f>
        <v>0</v>
      </c>
      <c r="W293" s="21">
        <f t="shared" si="18"/>
        <v>0</v>
      </c>
      <c r="X293" s="22" t="e">
        <f t="shared" si="19"/>
        <v>#N/A</v>
      </c>
      <c r="Y293" s="16" t="str">
        <f>IF(ISERROR(VLOOKUP($E293&amp;$F293,Results!$A$2:$G$413,Y$1,FALSE)),"",VLOOKUP($E293&amp;$F293,Results!$A$2:$G$413,Y$1,FALSE))</f>
        <v/>
      </c>
      <c r="Z293" s="16" t="str">
        <f>IF(ISERROR(VLOOKUP($E293&amp;$F293,Results!$A$2:$G$413,Z$1,FALSE)),"",VLOOKUP($E293&amp;$F293,Results!$A$2:$G$413,Z$1,FALSE))</f>
        <v/>
      </c>
      <c r="AA293" s="16" t="str">
        <f>IF(ISERROR(VLOOKUP($E293&amp;$F293,Results!$A$2:$G$413,AA$1,FALSE)),"",VLOOKUP($E293&amp;$F293,Results!$A$2:$G$413,AA$1,FALSE))</f>
        <v/>
      </c>
      <c r="AB293" s="16" t="str">
        <f>IF(ISERROR(VLOOKUP($E293&amp;$F293,Results!$A$2:$G$413,AB$1,FALSE)),"",VLOOKUP($E293&amp;$F293,Results!$A$2:$G$413,AB$1,FALSE))</f>
        <v/>
      </c>
      <c r="AC293" s="16"/>
      <c r="AD293" s="20" t="str">
        <f>IF(ISERROR(VLOOKUP($AB293&amp;"-"&amp;$F293,Bonuses!$B$1:$G$1000,4,FALSE)),"",INT(VLOOKUP($AB293&amp;"-"&amp;$F293,Bonuses!$B$1:$G$1000,4,FALSE)))</f>
        <v/>
      </c>
      <c r="AE293" s="16" t="str">
        <f>IF(ISERROR(VLOOKUP($AB293&amp;"-"&amp;$F293,Bonuses!$B$1:$G$1000,5,FALSE)),"",IF(VLOOKUP($AB293&amp;"-"&amp;$F293,Bonuses!$B$1:$G$1000,5,FALSE)="","",VLOOKUP($AB293&amp;"-"&amp;$F293,Bonuses!$B$1:$G$1000,6,FALSE)&amp;" yrs, "&amp;VLOOKUP($AB293&amp;"-"&amp;$F293,Bonuses!$B$1:$G$1000,5,FALSE)))</f>
        <v/>
      </c>
    </row>
    <row r="294" spans="1:31" s="21" customFormat="1">
      <c r="A294" s="21" t="s">
        <v>800</v>
      </c>
      <c r="B294" s="21">
        <f t="shared" si="16"/>
        <v>1</v>
      </c>
      <c r="C294" s="21" t="str">
        <f t="shared" si="17"/>
        <v>P</v>
      </c>
      <c r="D294" s="17">
        <f>IF($C294="B",VLOOKUP($A294,Bat!$A$4:$BD$2323,D$1,FALSE),VLOOKUP($A294,Pit!$A$4:$AZ$2261,D$2,FALSE))</f>
        <v>8543</v>
      </c>
      <c r="E294" s="16" t="str">
        <f>IF($C294="B",VLOOKUP($A294,Bat!$A$4:$BD$2323,E$1,FALSE),VLOOKUP($A294,Pit!$A$4:$AZ$2261,E$2,FALSE))</f>
        <v>SP</v>
      </c>
      <c r="F294" s="16" t="str">
        <f>IF($C294="B",VLOOKUP($A294,Bat!$A$4:$BD$2323,F$1,FALSE),VLOOKUP($A294,Pit!$A$4:$AZ$2261,F$2,FALSE))</f>
        <v>Rich Phillips</v>
      </c>
      <c r="G294" s="16">
        <f>IF($C294="B",VLOOKUP($A294,Bat!$A$4:$BD$2323,G$1,FALSE),VLOOKUP($A294,Pit!$A$4:$AZ$2261,G$2,FALSE))</f>
        <v>21</v>
      </c>
      <c r="H294" s="16" t="str">
        <f>IF($C294="B",VLOOKUP($A294,Bat!$A$4:$BD$2323,H$1,FALSE),VLOOKUP($A294,Pit!$A$4:$AZ$2261,H$2,FALSE))</f>
        <v>L</v>
      </c>
      <c r="I294" s="16" t="str">
        <f>IF($C294="B",VLOOKUP($A294,Bat!$A$4:$BD$2323,I$1,FALSE),VLOOKUP($A294,Pit!$A$4:$AZ$2261,I$2,FALSE))</f>
        <v>L</v>
      </c>
      <c r="J294" s="16" t="str">
        <f>IF($C294="B",VLOOKUP($A294,Bat!$A$4:$BD$2323,J$1,FALSE),VLOOKUP($A294,Pit!$A$4:$AZ$2261,J$2,FALSE))</f>
        <v>Normal</v>
      </c>
      <c r="K294" s="17" t="str">
        <f>IF($C294="B",VLOOKUP($A294,Bat!$A$4:$BD$2323,K$1,FALSE),VLOOKUP($A294,Pit!$A$4:$AZ$2261,K$2,FALSE))</f>
        <v>High</v>
      </c>
      <c r="L294" s="16">
        <f>IF($C294="B",VLOOKUP($A294,Bat!$A$4:$BD$2323,L$1,FALSE),VLOOKUP($A294,Pit!$A$4:$AZ$2261,L$2,FALSE))</f>
        <v>5</v>
      </c>
      <c r="M294" s="16">
        <f>IF($C294="B",VLOOKUP($A294,Bat!$A$4:$BD$2323,M$1,FALSE),VLOOKUP($A294,Pit!$A$4:$AZ$2261,M$2,FALSE))</f>
        <v>8</v>
      </c>
      <c r="N294" s="16">
        <f>IF($C294="B",VLOOKUP($A294,Bat!$A$4:$BD$2323,N$1,FALSE),VLOOKUP($A294,Pit!$A$4:$AZ$2261,N$2,FALSE))</f>
        <v>7</v>
      </c>
      <c r="O294" s="16" t="str">
        <f>IF($C294="B",VLOOKUP($A294,Bat!$A$4:$BD$2323,O$1,FALSE),VLOOKUP($A294,Pit!$A$4:$AZ$2261,O$2,FALSE))</f>
        <v>90-92 Mph</v>
      </c>
      <c r="P294" s="17">
        <f>IF($C294="B",VLOOKUP($A294,Bat!$A$4:$BD$2323,P$1,FALSE),VLOOKUP($A294,Pit!$A$4:$AZ$2261,P$2,FALSE))</f>
        <v>5</v>
      </c>
      <c r="Q294" s="18">
        <f>IF($C294="B",VLOOKUP($A294,Bat!$A$4:$BD$2323,Q$1,FALSE),VLOOKUP($A294,Pit!$A$4:$AZ$2261,Q$2,FALSE))</f>
        <v>59.000004966189053</v>
      </c>
      <c r="R294" s="19">
        <f>IF($C294="B",VLOOKUP($A294,Bat!$A$4:$BD$2323,R$1,FALSE),VLOOKUP($A294,Pit!$A$4:$AZ$2261,R$2,FALSE))</f>
        <v>1.9909172301368465</v>
      </c>
      <c r="S294" s="20" t="str">
        <f>IF($C294="B",VLOOKUP($A294,Bat!$A$4:$BD$2323,S$1,FALSE),VLOOKUP($A294,Pit!$A$4:$AZ$2261,S$2,FALSE))</f>
        <v>Slot</v>
      </c>
      <c r="T294" s="17" t="str">
        <f>IF(S294="Slot","",VLOOKUP(IF($C294="B",VLOOKUP($A294,Bat!$A$4:$AT$2323,T$1,FALSE),VLOOKUP($A294,Pit!$A$4:$BD$2261,T$2,FALSE)),COND!$A$34:$B$40,2,FALSE))</f>
        <v/>
      </c>
      <c r="U294" s="21">
        <f>IF($C294="B",VLOOKUP($A294,Bat!$A$4:$AR$1287,44,FALSE),VLOOKUP($A294,Pit!$A$4:$BB$1239,54,FALSE))</f>
        <v>0</v>
      </c>
      <c r="W294" s="21">
        <f t="shared" si="18"/>
        <v>0</v>
      </c>
      <c r="X294" s="22" t="e">
        <f t="shared" si="19"/>
        <v>#N/A</v>
      </c>
      <c r="Y294" s="16" t="str">
        <f>IF(ISERROR(VLOOKUP($E294&amp;$F294,Results!$A$2:$G$413,Y$1,FALSE)),"",VLOOKUP($E294&amp;$F294,Results!$A$2:$G$413,Y$1,FALSE))</f>
        <v/>
      </c>
      <c r="Z294" s="16" t="str">
        <f>IF(ISERROR(VLOOKUP($E294&amp;$F294,Results!$A$2:$G$413,Z$1,FALSE)),"",VLOOKUP($E294&amp;$F294,Results!$A$2:$G$413,Z$1,FALSE))</f>
        <v/>
      </c>
      <c r="AA294" s="16" t="str">
        <f>IF(ISERROR(VLOOKUP($E294&amp;$F294,Results!$A$2:$G$413,AA$1,FALSE)),"",VLOOKUP($E294&amp;$F294,Results!$A$2:$G$413,AA$1,FALSE))</f>
        <v/>
      </c>
      <c r="AB294" s="16" t="str">
        <f>IF(ISERROR(VLOOKUP($E294&amp;$F294,Results!$A$2:$G$413,AB$1,FALSE)),"",VLOOKUP($E294&amp;$F294,Results!$A$2:$G$413,AB$1,FALSE))</f>
        <v/>
      </c>
      <c r="AC294" s="16"/>
      <c r="AD294" s="20" t="str">
        <f>IF(ISERROR(VLOOKUP($AB294&amp;"-"&amp;$F294,Bonuses!$B$1:$G$1000,4,FALSE)),"",INT(VLOOKUP($AB294&amp;"-"&amp;$F294,Bonuses!$B$1:$G$1000,4,FALSE)))</f>
        <v/>
      </c>
      <c r="AE294" s="16" t="str">
        <f>IF(ISERROR(VLOOKUP($AB294&amp;"-"&amp;$F294,Bonuses!$B$1:$G$1000,5,FALSE)),"",IF(VLOOKUP($AB294&amp;"-"&amp;$F294,Bonuses!$B$1:$G$1000,5,FALSE)="","",VLOOKUP($AB294&amp;"-"&amp;$F294,Bonuses!$B$1:$G$1000,6,FALSE)&amp;" yrs, "&amp;VLOOKUP($AB294&amp;"-"&amp;$F294,Bonuses!$B$1:$G$1000,5,FALSE)))</f>
        <v/>
      </c>
    </row>
    <row r="295" spans="1:31" s="21" customFormat="1">
      <c r="A295" s="21" t="s">
        <v>785</v>
      </c>
      <c r="B295" s="21">
        <f t="shared" si="16"/>
        <v>1</v>
      </c>
      <c r="C295" s="21" t="str">
        <f t="shared" si="17"/>
        <v>P</v>
      </c>
      <c r="D295" s="17">
        <f>IF($C295="B",VLOOKUP($A295,Bat!$A$4:$BD$2323,D$1,FALSE),VLOOKUP($A295,Pit!$A$4:$AZ$2261,D$2,FALSE))</f>
        <v>13818</v>
      </c>
      <c r="E295" s="16" t="str">
        <f>IF($C295="B",VLOOKUP($A295,Bat!$A$4:$BD$2323,E$1,FALSE),VLOOKUP($A295,Pit!$A$4:$AZ$2261,E$2,FALSE))</f>
        <v>SP</v>
      </c>
      <c r="F295" s="16" t="str">
        <f>IF($C295="B",VLOOKUP($A295,Bat!$A$4:$BD$2323,F$1,FALSE),VLOOKUP($A295,Pit!$A$4:$AZ$2261,F$2,FALSE))</f>
        <v>Michael Vincent</v>
      </c>
      <c r="G295" s="16">
        <f>IF($C295="B",VLOOKUP($A295,Bat!$A$4:$BD$2323,G$1,FALSE),VLOOKUP($A295,Pit!$A$4:$AZ$2261,G$2,FALSE))</f>
        <v>18</v>
      </c>
      <c r="H295" s="16" t="str">
        <f>IF($C295="B",VLOOKUP($A295,Bat!$A$4:$BD$2323,H$1,FALSE),VLOOKUP($A295,Pit!$A$4:$AZ$2261,H$2,FALSE))</f>
        <v>R</v>
      </c>
      <c r="I295" s="16" t="str">
        <f>IF($C295="B",VLOOKUP($A295,Bat!$A$4:$BD$2323,I$1,FALSE),VLOOKUP($A295,Pit!$A$4:$AZ$2261,I$2,FALSE))</f>
        <v>R</v>
      </c>
      <c r="J295" s="16" t="str">
        <f>IF($C295="B",VLOOKUP($A295,Bat!$A$4:$BD$2323,J$1,FALSE),VLOOKUP($A295,Pit!$A$4:$AZ$2261,J$2,FALSE))</f>
        <v>Very High</v>
      </c>
      <c r="K295" s="17" t="str">
        <f>IF($C295="B",VLOOKUP($A295,Bat!$A$4:$BD$2323,K$1,FALSE),VLOOKUP($A295,Pit!$A$4:$AZ$2261,K$2,FALSE))</f>
        <v>Very Low</v>
      </c>
      <c r="L295" s="16">
        <f>IF($C295="B",VLOOKUP($A295,Bat!$A$4:$BD$2323,L$1,FALSE),VLOOKUP($A295,Pit!$A$4:$AZ$2261,L$2,FALSE))</f>
        <v>8</v>
      </c>
      <c r="M295" s="16">
        <f>IF($C295="B",VLOOKUP($A295,Bat!$A$4:$BD$2323,M$1,FALSE),VLOOKUP($A295,Pit!$A$4:$AZ$2261,M$2,FALSE))</f>
        <v>8</v>
      </c>
      <c r="N295" s="16">
        <f>IF($C295="B",VLOOKUP($A295,Bat!$A$4:$BD$2323,N$1,FALSE),VLOOKUP($A295,Pit!$A$4:$AZ$2261,N$2,FALSE))</f>
        <v>4</v>
      </c>
      <c r="O295" s="16" t="str">
        <f>IF($C295="B",VLOOKUP($A295,Bat!$A$4:$BD$2323,O$1,FALSE),VLOOKUP($A295,Pit!$A$4:$AZ$2261,O$2,FALSE))</f>
        <v>99-101 Mph</v>
      </c>
      <c r="P295" s="17">
        <f>IF($C295="B",VLOOKUP($A295,Bat!$A$4:$BD$2323,P$1,FALSE),VLOOKUP($A295,Pit!$A$4:$AZ$2261,P$2,FALSE))</f>
        <v>4</v>
      </c>
      <c r="Q295" s="18">
        <f>IF($C295="B",VLOOKUP($A295,Bat!$A$4:$BD$2323,Q$1,FALSE),VLOOKUP($A295,Pit!$A$4:$AZ$2261,Q$2,FALSE))</f>
        <v>55.26072960237984</v>
      </c>
      <c r="R295" s="19">
        <f>IF($C295="B",VLOOKUP($A295,Bat!$A$4:$BD$2323,R$1,FALSE),VLOOKUP($A295,Pit!$A$4:$AZ$2261,R$2,FALSE))</f>
        <v>1.6940690955004505</v>
      </c>
      <c r="S295" s="20" t="str">
        <f>IF($C295="B",VLOOKUP($A295,Bat!$A$4:$BD$2323,S$1,FALSE),VLOOKUP($A295,Pit!$A$4:$AZ$2261,S$2,FALSE))</f>
        <v>Slot</v>
      </c>
      <c r="T295" s="17" t="str">
        <f>IF(S295="Slot","",VLOOKUP(IF($C295="B",VLOOKUP($A295,Bat!$A$4:$AT$2323,T$1,FALSE),VLOOKUP($A295,Pit!$A$4:$BD$2261,T$2,FALSE)),COND!$A$34:$B$40,2,FALSE))</f>
        <v/>
      </c>
      <c r="U295" s="21">
        <f>IF($C295="B",VLOOKUP($A295,Bat!$A$4:$AR$1287,44,FALSE),VLOOKUP($A295,Pit!$A$4:$BB$1239,54,FALSE))</f>
        <v>0</v>
      </c>
      <c r="W295" s="21">
        <f t="shared" si="18"/>
        <v>0</v>
      </c>
      <c r="X295" s="22" t="e">
        <f t="shared" si="19"/>
        <v>#N/A</v>
      </c>
      <c r="Y295" s="16" t="str">
        <f>IF(ISERROR(VLOOKUP($E295&amp;$F295,Results!$A$2:$G$413,Y$1,FALSE)),"",VLOOKUP($E295&amp;$F295,Results!$A$2:$G$413,Y$1,FALSE))</f>
        <v/>
      </c>
      <c r="Z295" s="16" t="str">
        <f>IF(ISERROR(VLOOKUP($E295&amp;$F295,Results!$A$2:$G$413,Z$1,FALSE)),"",VLOOKUP($E295&amp;$F295,Results!$A$2:$G$413,Z$1,FALSE))</f>
        <v/>
      </c>
      <c r="AA295" s="16" t="str">
        <f>IF(ISERROR(VLOOKUP($E295&amp;$F295,Results!$A$2:$G$413,AA$1,FALSE)),"",VLOOKUP($E295&amp;$F295,Results!$A$2:$G$413,AA$1,FALSE))</f>
        <v/>
      </c>
      <c r="AB295" s="16" t="str">
        <f>IF(ISERROR(VLOOKUP($E295&amp;$F295,Results!$A$2:$G$413,AB$1,FALSE)),"",VLOOKUP($E295&amp;$F295,Results!$A$2:$G$413,AB$1,FALSE))</f>
        <v/>
      </c>
      <c r="AC295" s="16"/>
      <c r="AD295" s="20" t="str">
        <f>IF(ISERROR(VLOOKUP($AB295&amp;"-"&amp;$F295,Bonuses!$B$1:$G$1000,4,FALSE)),"",INT(VLOOKUP($AB295&amp;"-"&amp;$F295,Bonuses!$B$1:$G$1000,4,FALSE)))</f>
        <v/>
      </c>
      <c r="AE295" s="16" t="str">
        <f>IF(ISERROR(VLOOKUP($AB295&amp;"-"&amp;$F295,Bonuses!$B$1:$G$1000,5,FALSE)),"",IF(VLOOKUP($AB295&amp;"-"&amp;$F295,Bonuses!$B$1:$G$1000,5,FALSE)="","",VLOOKUP($AB295&amp;"-"&amp;$F295,Bonuses!$B$1:$G$1000,6,FALSE)&amp;" yrs, "&amp;VLOOKUP($AB295&amp;"-"&amp;$F295,Bonuses!$B$1:$G$1000,5,FALSE)))</f>
        <v/>
      </c>
    </row>
    <row r="296" spans="1:31" s="21" customFormat="1">
      <c r="A296" s="21" t="s">
        <v>795</v>
      </c>
      <c r="B296" s="21">
        <f t="shared" si="16"/>
        <v>1</v>
      </c>
      <c r="C296" s="21" t="str">
        <f t="shared" si="17"/>
        <v>P</v>
      </c>
      <c r="D296" s="17">
        <f>IF($C296="B",VLOOKUP($A296,Bat!$A$4:$BD$2323,D$1,FALSE),VLOOKUP($A296,Pit!$A$4:$AZ$2261,D$2,FALSE))</f>
        <v>2523</v>
      </c>
      <c r="E296" s="16" t="str">
        <f>IF($C296="B",VLOOKUP($A296,Bat!$A$4:$BD$2323,E$1,FALSE),VLOOKUP($A296,Pit!$A$4:$AZ$2261,E$2,FALSE))</f>
        <v>SP</v>
      </c>
      <c r="F296" s="16" t="str">
        <f>IF($C296="B",VLOOKUP($A296,Bat!$A$4:$BD$2323,F$1,FALSE),VLOOKUP($A296,Pit!$A$4:$AZ$2261,F$2,FALSE))</f>
        <v>António Clemente</v>
      </c>
      <c r="G296" s="16">
        <f>IF($C296="B",VLOOKUP($A296,Bat!$A$4:$BD$2323,G$1,FALSE),VLOOKUP($A296,Pit!$A$4:$AZ$2261,G$2,FALSE))</f>
        <v>21</v>
      </c>
      <c r="H296" s="16" t="str">
        <f>IF($C296="B",VLOOKUP($A296,Bat!$A$4:$BD$2323,H$1,FALSE),VLOOKUP($A296,Pit!$A$4:$AZ$2261,H$2,FALSE))</f>
        <v>S</v>
      </c>
      <c r="I296" s="16" t="str">
        <f>IF($C296="B",VLOOKUP($A296,Bat!$A$4:$BD$2323,I$1,FALSE),VLOOKUP($A296,Pit!$A$4:$AZ$2261,I$2,FALSE))</f>
        <v>R</v>
      </c>
      <c r="J296" s="16" t="str">
        <f>IF($C296="B",VLOOKUP($A296,Bat!$A$4:$BD$2323,J$1,FALSE),VLOOKUP($A296,Pit!$A$4:$AZ$2261,J$2,FALSE))</f>
        <v>Very High</v>
      </c>
      <c r="K296" s="17" t="str">
        <f>IF($C296="B",VLOOKUP($A296,Bat!$A$4:$BD$2323,K$1,FALSE),VLOOKUP($A296,Pit!$A$4:$AZ$2261,K$2,FALSE))</f>
        <v>Normal</v>
      </c>
      <c r="L296" s="16">
        <f>IF($C296="B",VLOOKUP($A296,Bat!$A$4:$BD$2323,L$1,FALSE),VLOOKUP($A296,Pit!$A$4:$AZ$2261,L$2,FALSE))</f>
        <v>6</v>
      </c>
      <c r="M296" s="16">
        <f>IF($C296="B",VLOOKUP($A296,Bat!$A$4:$BD$2323,M$1,FALSE),VLOOKUP($A296,Pit!$A$4:$AZ$2261,M$2,FALSE))</f>
        <v>6</v>
      </c>
      <c r="N296" s="16">
        <f>IF($C296="B",VLOOKUP($A296,Bat!$A$4:$BD$2323,N$1,FALSE),VLOOKUP($A296,Pit!$A$4:$AZ$2261,N$2,FALSE))</f>
        <v>7</v>
      </c>
      <c r="O296" s="16" t="str">
        <f>IF($C296="B",VLOOKUP($A296,Bat!$A$4:$BD$2323,O$1,FALSE),VLOOKUP($A296,Pit!$A$4:$AZ$2261,O$2,FALSE))</f>
        <v>92-94 Mph</v>
      </c>
      <c r="P296" s="17">
        <f>IF($C296="B",VLOOKUP($A296,Bat!$A$4:$BD$2323,P$1,FALSE),VLOOKUP($A296,Pit!$A$4:$AZ$2261,P$2,FALSE))</f>
        <v>3</v>
      </c>
      <c r="Q296" s="18">
        <f>IF($C296="B",VLOOKUP($A296,Bat!$A$4:$BD$2323,Q$1,FALSE),VLOOKUP($A296,Pit!$A$4:$AZ$2261,Q$2,FALSE))</f>
        <v>55.91698513135912</v>
      </c>
      <c r="R296" s="19">
        <f>IF($C296="B",VLOOKUP($A296,Bat!$A$4:$BD$2323,R$1,FALSE),VLOOKUP($A296,Pit!$A$4:$AZ$2261,R$2,FALSE))</f>
        <v>1.7461669515470479</v>
      </c>
      <c r="S296" s="20" t="str">
        <f>IF($C296="B",VLOOKUP($A296,Bat!$A$4:$BD$2323,S$1,FALSE),VLOOKUP($A296,Pit!$A$4:$AZ$2261,S$2,FALSE))</f>
        <v>Slot</v>
      </c>
      <c r="T296" s="17" t="str">
        <f>IF(S296="Slot","",VLOOKUP(IF($C296="B",VLOOKUP($A296,Bat!$A$4:$AT$2323,T$1,FALSE),VLOOKUP($A296,Pit!$A$4:$BD$2261,T$2,FALSE)),COND!$A$34:$B$40,2,FALSE))</f>
        <v/>
      </c>
      <c r="U296" s="21">
        <f>IF($C296="B",VLOOKUP($A296,Bat!$A$4:$AR$1287,44,FALSE),VLOOKUP($A296,Pit!$A$4:$BB$1239,54,FALSE))</f>
        <v>0</v>
      </c>
      <c r="W296" s="21">
        <f t="shared" si="18"/>
        <v>0</v>
      </c>
      <c r="X296" s="22" t="e">
        <f t="shared" si="19"/>
        <v>#N/A</v>
      </c>
      <c r="Y296" s="16" t="str">
        <f>IF(ISERROR(VLOOKUP($E296&amp;$F296,Results!$A$2:$G$413,Y$1,FALSE)),"",VLOOKUP($E296&amp;$F296,Results!$A$2:$G$413,Y$1,FALSE))</f>
        <v/>
      </c>
      <c r="Z296" s="16" t="str">
        <f>IF(ISERROR(VLOOKUP($E296&amp;$F296,Results!$A$2:$G$413,Z$1,FALSE)),"",VLOOKUP($E296&amp;$F296,Results!$A$2:$G$413,Z$1,FALSE))</f>
        <v/>
      </c>
      <c r="AA296" s="16" t="str">
        <f>IF(ISERROR(VLOOKUP($E296&amp;$F296,Results!$A$2:$G$413,AA$1,FALSE)),"",VLOOKUP($E296&amp;$F296,Results!$A$2:$G$413,AA$1,FALSE))</f>
        <v/>
      </c>
      <c r="AB296" s="16" t="str">
        <f>IF(ISERROR(VLOOKUP($E296&amp;$F296,Results!$A$2:$G$413,AB$1,FALSE)),"",VLOOKUP($E296&amp;$F296,Results!$A$2:$G$413,AB$1,FALSE))</f>
        <v/>
      </c>
      <c r="AC296" s="16"/>
      <c r="AD296" s="20" t="str">
        <f>IF(ISERROR(VLOOKUP($AB296&amp;"-"&amp;$F296,Bonuses!$B$1:$G$1000,4,FALSE)),"",INT(VLOOKUP($AB296&amp;"-"&amp;$F296,Bonuses!$B$1:$G$1000,4,FALSE)))</f>
        <v/>
      </c>
      <c r="AE296" s="16" t="str">
        <f>IF(ISERROR(VLOOKUP($AB296&amp;"-"&amp;$F296,Bonuses!$B$1:$G$1000,5,FALSE)),"",IF(VLOOKUP($AB296&amp;"-"&amp;$F296,Bonuses!$B$1:$G$1000,5,FALSE)="","",VLOOKUP($AB296&amp;"-"&amp;$F296,Bonuses!$B$1:$G$1000,6,FALSE)&amp;" yrs, "&amp;VLOOKUP($AB296&amp;"-"&amp;$F296,Bonuses!$B$1:$G$1000,5,FALSE)))</f>
        <v/>
      </c>
    </row>
    <row r="297" spans="1:31" s="21" customFormat="1">
      <c r="A297" s="21" t="s">
        <v>799</v>
      </c>
      <c r="B297" s="21">
        <f t="shared" si="16"/>
        <v>1</v>
      </c>
      <c r="C297" s="21" t="str">
        <f t="shared" si="17"/>
        <v>P</v>
      </c>
      <c r="D297" s="17">
        <f>IF($C297="B",VLOOKUP($A297,Bat!$A$4:$BD$2323,D$1,FALSE),VLOOKUP($A297,Pit!$A$4:$AZ$2261,D$2,FALSE))</f>
        <v>3486</v>
      </c>
      <c r="E297" s="16" t="str">
        <f>IF($C297="B",VLOOKUP($A297,Bat!$A$4:$BD$2323,E$1,FALSE),VLOOKUP($A297,Pit!$A$4:$AZ$2261,E$2,FALSE))</f>
        <v>CL</v>
      </c>
      <c r="F297" s="16" t="str">
        <f>IF($C297="B",VLOOKUP($A297,Bat!$A$4:$BD$2323,F$1,FALSE),VLOOKUP($A297,Pit!$A$4:$AZ$2261,F$2,FALSE))</f>
        <v>Jorge Martínez</v>
      </c>
      <c r="G297" s="16">
        <f>IF($C297="B",VLOOKUP($A297,Bat!$A$4:$BD$2323,G$1,FALSE),VLOOKUP($A297,Pit!$A$4:$AZ$2261,G$2,FALSE))</f>
        <v>21</v>
      </c>
      <c r="H297" s="16" t="str">
        <f>IF($C297="B",VLOOKUP($A297,Bat!$A$4:$BD$2323,H$1,FALSE),VLOOKUP($A297,Pit!$A$4:$AZ$2261,H$2,FALSE))</f>
        <v>R</v>
      </c>
      <c r="I297" s="16" t="str">
        <f>IF($C297="B",VLOOKUP($A297,Bat!$A$4:$BD$2323,I$1,FALSE),VLOOKUP($A297,Pit!$A$4:$AZ$2261,I$2,FALSE))</f>
        <v>R</v>
      </c>
      <c r="J297" s="16" t="str">
        <f>IF($C297="B",VLOOKUP($A297,Bat!$A$4:$BD$2323,J$1,FALSE),VLOOKUP($A297,Pit!$A$4:$AZ$2261,J$2,FALSE))</f>
        <v>Very High</v>
      </c>
      <c r="K297" s="17" t="str">
        <f>IF($C297="B",VLOOKUP($A297,Bat!$A$4:$BD$2323,K$1,FALSE),VLOOKUP($A297,Pit!$A$4:$AZ$2261,K$2,FALSE))</f>
        <v>Normal</v>
      </c>
      <c r="L297" s="16">
        <f>IF($C297="B",VLOOKUP($A297,Bat!$A$4:$BD$2323,L$1,FALSE),VLOOKUP($A297,Pit!$A$4:$AZ$2261,L$2,FALSE))</f>
        <v>5</v>
      </c>
      <c r="M297" s="16">
        <f>IF($C297="B",VLOOKUP($A297,Bat!$A$4:$BD$2323,M$1,FALSE),VLOOKUP($A297,Pit!$A$4:$AZ$2261,M$2,FALSE))</f>
        <v>7</v>
      </c>
      <c r="N297" s="16">
        <f>IF($C297="B",VLOOKUP($A297,Bat!$A$4:$BD$2323,N$1,FALSE),VLOOKUP($A297,Pit!$A$4:$AZ$2261,N$2,FALSE))</f>
        <v>7</v>
      </c>
      <c r="O297" s="16" t="str">
        <f>IF($C297="B",VLOOKUP($A297,Bat!$A$4:$BD$2323,O$1,FALSE),VLOOKUP($A297,Pit!$A$4:$AZ$2261,O$2,FALSE))</f>
        <v>87-89 Mph</v>
      </c>
      <c r="P297" s="17">
        <f>IF($C297="B",VLOOKUP($A297,Bat!$A$4:$BD$2323,P$1,FALSE),VLOOKUP($A297,Pit!$A$4:$AZ$2261,P$2,FALSE))</f>
        <v>3</v>
      </c>
      <c r="Q297" s="18">
        <f>IF($C297="B",VLOOKUP($A297,Bat!$A$4:$BD$2323,Q$1,FALSE),VLOOKUP($A297,Pit!$A$4:$AZ$2261,Q$2,FALSE))</f>
        <v>55.420334837062896</v>
      </c>
      <c r="R297" s="19">
        <f>IF($C297="B",VLOOKUP($A297,Bat!$A$4:$BD$2323,R$1,FALSE),VLOOKUP($A297,Pit!$A$4:$AZ$2261,R$2,FALSE))</f>
        <v>1.7067396029074269</v>
      </c>
      <c r="S297" s="20" t="str">
        <f>IF($C297="B",VLOOKUP($A297,Bat!$A$4:$BD$2323,S$1,FALSE),VLOOKUP($A297,Pit!$A$4:$AZ$2261,S$2,FALSE))</f>
        <v>Slot</v>
      </c>
      <c r="T297" s="17" t="str">
        <f>IF(S297="Slot","",VLOOKUP(IF($C297="B",VLOOKUP($A297,Bat!$A$4:$AT$2323,T$1,FALSE),VLOOKUP($A297,Pit!$A$4:$BD$2261,T$2,FALSE)),COND!$A$34:$B$40,2,FALSE))</f>
        <v/>
      </c>
      <c r="U297" s="21">
        <f>IF($C297="B",VLOOKUP($A297,Bat!$A$4:$AR$1287,44,FALSE),VLOOKUP($A297,Pit!$A$4:$BB$1239,54,FALSE))</f>
        <v>0</v>
      </c>
      <c r="W297" s="21">
        <f t="shared" si="18"/>
        <v>0</v>
      </c>
      <c r="X297" s="22" t="e">
        <f t="shared" si="19"/>
        <v>#N/A</v>
      </c>
      <c r="Y297" s="16" t="str">
        <f>IF(ISERROR(VLOOKUP($E297&amp;$F297,Results!$A$2:$G$413,Y$1,FALSE)),"",VLOOKUP($E297&amp;$F297,Results!$A$2:$G$413,Y$1,FALSE))</f>
        <v/>
      </c>
      <c r="Z297" s="16" t="str">
        <f>IF(ISERROR(VLOOKUP($E297&amp;$F297,Results!$A$2:$G$413,Z$1,FALSE)),"",VLOOKUP($E297&amp;$F297,Results!$A$2:$G$413,Z$1,FALSE))</f>
        <v/>
      </c>
      <c r="AA297" s="16" t="str">
        <f>IF(ISERROR(VLOOKUP($E297&amp;$F297,Results!$A$2:$G$413,AA$1,FALSE)),"",VLOOKUP($E297&amp;$F297,Results!$A$2:$G$413,AA$1,FALSE))</f>
        <v/>
      </c>
      <c r="AB297" s="16" t="str">
        <f>IF(ISERROR(VLOOKUP($E297&amp;$F297,Results!$A$2:$G$413,AB$1,FALSE)),"",VLOOKUP($E297&amp;$F297,Results!$A$2:$G$413,AB$1,FALSE))</f>
        <v/>
      </c>
      <c r="AC297" s="16"/>
      <c r="AD297" s="20" t="str">
        <f>IF(ISERROR(VLOOKUP($AB297&amp;"-"&amp;$F297,Bonuses!$B$1:$G$1000,4,FALSE)),"",INT(VLOOKUP($AB297&amp;"-"&amp;$F297,Bonuses!$B$1:$G$1000,4,FALSE)))</f>
        <v/>
      </c>
      <c r="AE297" s="16" t="str">
        <f>IF(ISERROR(VLOOKUP($AB297&amp;"-"&amp;$F297,Bonuses!$B$1:$G$1000,5,FALSE)),"",IF(VLOOKUP($AB297&amp;"-"&amp;$F297,Bonuses!$B$1:$G$1000,5,FALSE)="","",VLOOKUP($AB297&amp;"-"&amp;$F297,Bonuses!$B$1:$G$1000,6,FALSE)&amp;" yrs, "&amp;VLOOKUP($AB297&amp;"-"&amp;$F297,Bonuses!$B$1:$G$1000,5,FALSE)))</f>
        <v/>
      </c>
    </row>
    <row r="298" spans="1:31" s="21" customFormat="1">
      <c r="A298" s="21" t="s">
        <v>802</v>
      </c>
      <c r="B298" s="21">
        <f t="shared" si="16"/>
        <v>1</v>
      </c>
      <c r="C298" s="21" t="str">
        <f t="shared" si="17"/>
        <v>P</v>
      </c>
      <c r="D298" s="17">
        <f>IF($C298="B",VLOOKUP($A298,Bat!$A$4:$BD$2323,D$1,FALSE),VLOOKUP($A298,Pit!$A$4:$AZ$2261,D$2,FALSE))</f>
        <v>13835</v>
      </c>
      <c r="E298" s="16" t="str">
        <f>IF($C298="B",VLOOKUP($A298,Bat!$A$4:$BD$2323,E$1,FALSE),VLOOKUP($A298,Pit!$A$4:$AZ$2261,E$2,FALSE))</f>
        <v>SP</v>
      </c>
      <c r="F298" s="16" t="str">
        <f>IF($C298="B",VLOOKUP($A298,Bat!$A$4:$BD$2323,F$1,FALSE),VLOOKUP($A298,Pit!$A$4:$AZ$2261,F$2,FALSE))</f>
        <v>Curtis Fraser</v>
      </c>
      <c r="G298" s="16">
        <f>IF($C298="B",VLOOKUP($A298,Bat!$A$4:$BD$2323,G$1,FALSE),VLOOKUP($A298,Pit!$A$4:$AZ$2261,G$2,FALSE))</f>
        <v>18</v>
      </c>
      <c r="H298" s="16" t="str">
        <f>IF($C298="B",VLOOKUP($A298,Bat!$A$4:$BD$2323,H$1,FALSE),VLOOKUP($A298,Pit!$A$4:$AZ$2261,H$2,FALSE))</f>
        <v>R</v>
      </c>
      <c r="I298" s="16" t="str">
        <f>IF($C298="B",VLOOKUP($A298,Bat!$A$4:$BD$2323,I$1,FALSE),VLOOKUP($A298,Pit!$A$4:$AZ$2261,I$2,FALSE))</f>
        <v>R</v>
      </c>
      <c r="J298" s="16" t="str">
        <f>IF($C298="B",VLOOKUP($A298,Bat!$A$4:$BD$2323,J$1,FALSE),VLOOKUP($A298,Pit!$A$4:$AZ$2261,J$2,FALSE))</f>
        <v>Very High</v>
      </c>
      <c r="K298" s="17" t="str">
        <f>IF($C298="B",VLOOKUP($A298,Bat!$A$4:$BD$2323,K$1,FALSE),VLOOKUP($A298,Pit!$A$4:$AZ$2261,K$2,FALSE))</f>
        <v>High</v>
      </c>
      <c r="L298" s="16">
        <f>IF($C298="B",VLOOKUP($A298,Bat!$A$4:$BD$2323,L$1,FALSE),VLOOKUP($A298,Pit!$A$4:$AZ$2261,L$2,FALSE))</f>
        <v>3</v>
      </c>
      <c r="M298" s="16">
        <f>IF($C298="B",VLOOKUP($A298,Bat!$A$4:$BD$2323,M$1,FALSE),VLOOKUP($A298,Pit!$A$4:$AZ$2261,M$2,FALSE))</f>
        <v>8</v>
      </c>
      <c r="N298" s="16">
        <f>IF($C298="B",VLOOKUP($A298,Bat!$A$4:$BD$2323,N$1,FALSE),VLOOKUP($A298,Pit!$A$4:$AZ$2261,N$2,FALSE))</f>
        <v>8</v>
      </c>
      <c r="O298" s="16" t="str">
        <f>IF($C298="B",VLOOKUP($A298,Bat!$A$4:$BD$2323,O$1,FALSE),VLOOKUP($A298,Pit!$A$4:$AZ$2261,O$2,FALSE))</f>
        <v>82-84 Mph</v>
      </c>
      <c r="P298" s="17">
        <f>IF($C298="B",VLOOKUP($A298,Bat!$A$4:$BD$2323,P$1,FALSE),VLOOKUP($A298,Pit!$A$4:$AZ$2261,P$2,FALSE))</f>
        <v>5</v>
      </c>
      <c r="Q298" s="18">
        <f>IF($C298="B",VLOOKUP($A298,Bat!$A$4:$BD$2323,Q$1,FALSE),VLOOKUP($A298,Pit!$A$4:$AZ$2261,Q$2,FALSE))</f>
        <v>55.508469197408459</v>
      </c>
      <c r="R298" s="19">
        <f>IF($C298="B",VLOOKUP($A298,Bat!$A$4:$BD$2323,R$1,FALSE),VLOOKUP($A298,Pit!$A$4:$AZ$2261,R$2,FALSE))</f>
        <v>1.713736284863286</v>
      </c>
      <c r="S298" s="20" t="str">
        <f>IF($C298="B",VLOOKUP($A298,Bat!$A$4:$BD$2323,S$1,FALSE),VLOOKUP($A298,Pit!$A$4:$AZ$2261,S$2,FALSE))</f>
        <v>Slot</v>
      </c>
      <c r="T298" s="17" t="str">
        <f>IF(S298="Slot","",VLOOKUP(IF($C298="B",VLOOKUP($A298,Bat!$A$4:$AT$2323,T$1,FALSE),VLOOKUP($A298,Pit!$A$4:$BD$2261,T$2,FALSE)),COND!$A$34:$B$40,2,FALSE))</f>
        <v/>
      </c>
      <c r="U298" s="21">
        <f>IF($C298="B",VLOOKUP($A298,Bat!$A$4:$AR$1287,44,FALSE),VLOOKUP($A298,Pit!$A$4:$BB$1239,54,FALSE))</f>
        <v>0</v>
      </c>
      <c r="W298" s="21">
        <f t="shared" si="18"/>
        <v>0</v>
      </c>
      <c r="X298" s="22" t="e">
        <f t="shared" si="19"/>
        <v>#N/A</v>
      </c>
      <c r="Y298" s="16" t="str">
        <f>IF(ISERROR(VLOOKUP($E298&amp;$F298,Results!$A$2:$G$413,Y$1,FALSE)),"",VLOOKUP($E298&amp;$F298,Results!$A$2:$G$413,Y$1,FALSE))</f>
        <v/>
      </c>
      <c r="Z298" s="16" t="str">
        <f>IF(ISERROR(VLOOKUP($E298&amp;$F298,Results!$A$2:$G$413,Z$1,FALSE)),"",VLOOKUP($E298&amp;$F298,Results!$A$2:$G$413,Z$1,FALSE))</f>
        <v/>
      </c>
      <c r="AA298" s="16" t="str">
        <f>IF(ISERROR(VLOOKUP($E298&amp;$F298,Results!$A$2:$G$413,AA$1,FALSE)),"",VLOOKUP($E298&amp;$F298,Results!$A$2:$G$413,AA$1,FALSE))</f>
        <v/>
      </c>
      <c r="AB298" s="16" t="str">
        <f>IF(ISERROR(VLOOKUP($E298&amp;$F298,Results!$A$2:$G$413,AB$1,FALSE)),"",VLOOKUP($E298&amp;$F298,Results!$A$2:$G$413,AB$1,FALSE))</f>
        <v/>
      </c>
      <c r="AC298" s="16"/>
      <c r="AD298" s="20" t="str">
        <f>IF(ISERROR(VLOOKUP($AB298&amp;"-"&amp;$F298,Bonuses!$B$1:$G$1000,4,FALSE)),"",INT(VLOOKUP($AB298&amp;"-"&amp;$F298,Bonuses!$B$1:$G$1000,4,FALSE)))</f>
        <v/>
      </c>
      <c r="AE298" s="16" t="str">
        <f>IF(ISERROR(VLOOKUP($AB298&amp;"-"&amp;$F298,Bonuses!$B$1:$G$1000,5,FALSE)),"",IF(VLOOKUP($AB298&amp;"-"&amp;$F298,Bonuses!$B$1:$G$1000,5,FALSE)="","",VLOOKUP($AB298&amp;"-"&amp;$F298,Bonuses!$B$1:$G$1000,6,FALSE)&amp;" yrs, "&amp;VLOOKUP($AB298&amp;"-"&amp;$F298,Bonuses!$B$1:$G$1000,5,FALSE)))</f>
        <v/>
      </c>
    </row>
    <row r="299" spans="1:31" s="21" customFormat="1">
      <c r="A299" s="21" t="s">
        <v>771</v>
      </c>
      <c r="B299" s="21">
        <f t="shared" si="16"/>
        <v>1</v>
      </c>
      <c r="C299" s="21" t="str">
        <f t="shared" si="17"/>
        <v>P</v>
      </c>
      <c r="D299" s="17">
        <f>IF($C299="B",VLOOKUP($A299,Bat!$A$4:$BD$2323,D$1,FALSE),VLOOKUP($A299,Pit!$A$4:$AZ$2261,D$2,FALSE))</f>
        <v>8688</v>
      </c>
      <c r="E299" s="16" t="str">
        <f>IF($C299="B",VLOOKUP($A299,Bat!$A$4:$BD$2323,E$1,FALSE),VLOOKUP($A299,Pit!$A$4:$AZ$2261,E$2,FALSE))</f>
        <v>SP</v>
      </c>
      <c r="F299" s="16" t="str">
        <f>IF($C299="B",VLOOKUP($A299,Bat!$A$4:$BD$2323,F$1,FALSE),VLOOKUP($A299,Pit!$A$4:$AZ$2261,F$2,FALSE))</f>
        <v>Raymond Wilson</v>
      </c>
      <c r="G299" s="16">
        <f>IF($C299="B",VLOOKUP($A299,Bat!$A$4:$BD$2323,G$1,FALSE),VLOOKUP($A299,Pit!$A$4:$AZ$2261,G$2,FALSE))</f>
        <v>21</v>
      </c>
      <c r="H299" s="16" t="str">
        <f>IF($C299="B",VLOOKUP($A299,Bat!$A$4:$BD$2323,H$1,FALSE),VLOOKUP($A299,Pit!$A$4:$AZ$2261,H$2,FALSE))</f>
        <v>L</v>
      </c>
      <c r="I299" s="16" t="str">
        <f>IF($C299="B",VLOOKUP($A299,Bat!$A$4:$BD$2323,I$1,FALSE),VLOOKUP($A299,Pit!$A$4:$AZ$2261,I$2,FALSE))</f>
        <v>L</v>
      </c>
      <c r="J299" s="16" t="str">
        <f>IF($C299="B",VLOOKUP($A299,Bat!$A$4:$BD$2323,J$1,FALSE),VLOOKUP($A299,Pit!$A$4:$AZ$2261,J$2,FALSE))</f>
        <v>Low</v>
      </c>
      <c r="K299" s="17" t="str">
        <f>IF($C299="B",VLOOKUP($A299,Bat!$A$4:$BD$2323,K$1,FALSE),VLOOKUP($A299,Pit!$A$4:$AZ$2261,K$2,FALSE))</f>
        <v>High</v>
      </c>
      <c r="L299" s="16">
        <f>IF($C299="B",VLOOKUP($A299,Bat!$A$4:$BD$2323,L$1,FALSE),VLOOKUP($A299,Pit!$A$4:$AZ$2261,L$2,FALSE))</f>
        <v>6</v>
      </c>
      <c r="M299" s="16">
        <f>IF($C299="B",VLOOKUP($A299,Bat!$A$4:$BD$2323,M$1,FALSE),VLOOKUP($A299,Pit!$A$4:$AZ$2261,M$2,FALSE))</f>
        <v>7</v>
      </c>
      <c r="N299" s="16">
        <f>IF($C299="B",VLOOKUP($A299,Bat!$A$4:$BD$2323,N$1,FALSE),VLOOKUP($A299,Pit!$A$4:$AZ$2261,N$2,FALSE))</f>
        <v>5</v>
      </c>
      <c r="O299" s="16" t="str">
        <f>IF($C299="B",VLOOKUP($A299,Bat!$A$4:$BD$2323,O$1,FALSE),VLOOKUP($A299,Pit!$A$4:$AZ$2261,O$2,FALSE))</f>
        <v>95-97 Mph</v>
      </c>
      <c r="P299" s="17">
        <f>IF($C299="B",VLOOKUP($A299,Bat!$A$4:$BD$2323,P$1,FALSE),VLOOKUP($A299,Pit!$A$4:$AZ$2261,P$2,FALSE))</f>
        <v>5</v>
      </c>
      <c r="Q299" s="18">
        <f>IF($C299="B",VLOOKUP($A299,Bat!$A$4:$BD$2323,Q$1,FALSE),VLOOKUP($A299,Pit!$A$4:$AZ$2261,Q$2,FALSE))</f>
        <v>54.697710721489557</v>
      </c>
      <c r="R299" s="19">
        <f>IF($C299="B",VLOOKUP($A299,Bat!$A$4:$BD$2323,R$1,FALSE),VLOOKUP($A299,Pit!$A$4:$AZ$2261,R$2,FALSE))</f>
        <v>1.649372974381653</v>
      </c>
      <c r="S299" s="20" t="str">
        <f>IF($C299="B",VLOOKUP($A299,Bat!$A$4:$BD$2323,S$1,FALSE),VLOOKUP($A299,Pit!$A$4:$AZ$2261,S$2,FALSE))</f>
        <v>Slot</v>
      </c>
      <c r="T299" s="17" t="str">
        <f>IF(S299="Slot","",VLOOKUP(IF($C299="B",VLOOKUP($A299,Bat!$A$4:$AT$2323,T$1,FALSE),VLOOKUP($A299,Pit!$A$4:$BD$2261,T$2,FALSE)),COND!$A$34:$B$40,2,FALSE))</f>
        <v/>
      </c>
      <c r="U299" s="21">
        <f>IF($C299="B",VLOOKUP($A299,Bat!$A$4:$AR$1287,44,FALSE),VLOOKUP($A299,Pit!$A$4:$BB$1239,54,FALSE))</f>
        <v>0</v>
      </c>
      <c r="W299" s="21">
        <f t="shared" si="18"/>
        <v>0</v>
      </c>
      <c r="X299" s="22" t="e">
        <f t="shared" si="19"/>
        <v>#N/A</v>
      </c>
      <c r="Y299" s="16" t="str">
        <f>IF(ISERROR(VLOOKUP($E299&amp;$F299,Results!$A$2:$G$413,Y$1,FALSE)),"",VLOOKUP($E299&amp;$F299,Results!$A$2:$G$413,Y$1,FALSE))</f>
        <v/>
      </c>
      <c r="Z299" s="16" t="str">
        <f>IF(ISERROR(VLOOKUP($E299&amp;$F299,Results!$A$2:$G$413,Z$1,FALSE)),"",VLOOKUP($E299&amp;$F299,Results!$A$2:$G$413,Z$1,FALSE))</f>
        <v/>
      </c>
      <c r="AA299" s="16" t="str">
        <f>IF(ISERROR(VLOOKUP($E299&amp;$F299,Results!$A$2:$G$413,AA$1,FALSE)),"",VLOOKUP($E299&amp;$F299,Results!$A$2:$G$413,AA$1,FALSE))</f>
        <v/>
      </c>
      <c r="AB299" s="16" t="str">
        <f>IF(ISERROR(VLOOKUP($E299&amp;$F299,Results!$A$2:$G$413,AB$1,FALSE)),"",VLOOKUP($E299&amp;$F299,Results!$A$2:$G$413,AB$1,FALSE))</f>
        <v/>
      </c>
      <c r="AC299" s="16"/>
      <c r="AD299" s="20" t="str">
        <f>IF(ISERROR(VLOOKUP($AB299&amp;"-"&amp;$F299,Bonuses!$B$1:$G$1000,4,FALSE)),"",INT(VLOOKUP($AB299&amp;"-"&amp;$F299,Bonuses!$B$1:$G$1000,4,FALSE)))</f>
        <v/>
      </c>
      <c r="AE299" s="16" t="str">
        <f>IF(ISERROR(VLOOKUP($AB299&amp;"-"&amp;$F299,Bonuses!$B$1:$G$1000,5,FALSE)),"",IF(VLOOKUP($AB299&amp;"-"&amp;$F299,Bonuses!$B$1:$G$1000,5,FALSE)="","",VLOOKUP($AB299&amp;"-"&amp;$F299,Bonuses!$B$1:$G$1000,6,FALSE)&amp;" yrs, "&amp;VLOOKUP($AB299&amp;"-"&amp;$F299,Bonuses!$B$1:$G$1000,5,FALSE)))</f>
        <v/>
      </c>
    </row>
    <row r="300" spans="1:31" s="21" customFormat="1">
      <c r="A300" s="21" t="s">
        <v>774</v>
      </c>
      <c r="B300" s="21">
        <f t="shared" si="16"/>
        <v>1</v>
      </c>
      <c r="C300" s="21" t="str">
        <f t="shared" si="17"/>
        <v>P</v>
      </c>
      <c r="D300" s="17">
        <f>IF($C300="B",VLOOKUP($A300,Bat!$A$4:$BD$2323,D$1,FALSE),VLOOKUP($A300,Pit!$A$4:$AZ$2261,D$2,FALSE))</f>
        <v>4284</v>
      </c>
      <c r="E300" s="16" t="str">
        <f>IF($C300="B",VLOOKUP($A300,Bat!$A$4:$BD$2323,E$1,FALSE),VLOOKUP($A300,Pit!$A$4:$AZ$2261,E$2,FALSE))</f>
        <v>SP</v>
      </c>
      <c r="F300" s="16" t="str">
        <f>IF($C300="B",VLOOKUP($A300,Bat!$A$4:$BD$2323,F$1,FALSE),VLOOKUP($A300,Pit!$A$4:$AZ$2261,F$2,FALSE))</f>
        <v>Anthony Thompson</v>
      </c>
      <c r="G300" s="16">
        <f>IF($C300="B",VLOOKUP($A300,Bat!$A$4:$BD$2323,G$1,FALSE),VLOOKUP($A300,Pit!$A$4:$AZ$2261,G$2,FALSE))</f>
        <v>21</v>
      </c>
      <c r="H300" s="16" t="str">
        <f>IF($C300="B",VLOOKUP($A300,Bat!$A$4:$BD$2323,H$1,FALSE),VLOOKUP($A300,Pit!$A$4:$AZ$2261,H$2,FALSE))</f>
        <v>R</v>
      </c>
      <c r="I300" s="16" t="str">
        <f>IF($C300="B",VLOOKUP($A300,Bat!$A$4:$BD$2323,I$1,FALSE),VLOOKUP($A300,Pit!$A$4:$AZ$2261,I$2,FALSE))</f>
        <v>R</v>
      </c>
      <c r="J300" s="16" t="str">
        <f>IF($C300="B",VLOOKUP($A300,Bat!$A$4:$BD$2323,J$1,FALSE),VLOOKUP($A300,Pit!$A$4:$AZ$2261,J$2,FALSE))</f>
        <v>Normal</v>
      </c>
      <c r="K300" s="17" t="str">
        <f>IF($C300="B",VLOOKUP($A300,Bat!$A$4:$BD$2323,K$1,FALSE),VLOOKUP($A300,Pit!$A$4:$AZ$2261,K$2,FALSE))</f>
        <v>High</v>
      </c>
      <c r="L300" s="16">
        <f>IF($C300="B",VLOOKUP($A300,Bat!$A$4:$BD$2323,L$1,FALSE),VLOOKUP($A300,Pit!$A$4:$AZ$2261,L$2,FALSE))</f>
        <v>5</v>
      </c>
      <c r="M300" s="16">
        <f>IF($C300="B",VLOOKUP($A300,Bat!$A$4:$BD$2323,M$1,FALSE),VLOOKUP($A300,Pit!$A$4:$AZ$2261,M$2,FALSE))</f>
        <v>7</v>
      </c>
      <c r="N300" s="16">
        <f>IF($C300="B",VLOOKUP($A300,Bat!$A$4:$BD$2323,N$1,FALSE),VLOOKUP($A300,Pit!$A$4:$AZ$2261,N$2,FALSE))</f>
        <v>6</v>
      </c>
      <c r="O300" s="16" t="str">
        <f>IF($C300="B",VLOOKUP($A300,Bat!$A$4:$BD$2323,O$1,FALSE),VLOOKUP($A300,Pit!$A$4:$AZ$2261,O$2,FALSE))</f>
        <v>95-97 Mph</v>
      </c>
      <c r="P300" s="17">
        <f>IF($C300="B",VLOOKUP($A300,Bat!$A$4:$BD$2323,P$1,FALSE),VLOOKUP($A300,Pit!$A$4:$AZ$2261,P$2,FALSE))</f>
        <v>10</v>
      </c>
      <c r="Q300" s="18">
        <f>IF($C300="B",VLOOKUP($A300,Bat!$A$4:$BD$2323,Q$1,FALSE),VLOOKUP($A300,Pit!$A$4:$AZ$2261,Q$2,FALSE))</f>
        <v>55.11205469540689</v>
      </c>
      <c r="R300" s="19">
        <f>IF($C300="B",VLOOKUP($A300,Bat!$A$4:$BD$2323,R$1,FALSE),VLOOKUP($A300,Pit!$A$4:$AZ$2261,R$2,FALSE))</f>
        <v>1.682266308995527</v>
      </c>
      <c r="S300" s="20" t="str">
        <f>IF($C300="B",VLOOKUP($A300,Bat!$A$4:$BD$2323,S$1,FALSE),VLOOKUP($A300,Pit!$A$4:$AZ$2261,S$2,FALSE))</f>
        <v>Slot</v>
      </c>
      <c r="T300" s="17" t="str">
        <f>IF(S300="Slot","",VLOOKUP(IF($C300="B",VLOOKUP($A300,Bat!$A$4:$AT$2323,T$1,FALSE),VLOOKUP($A300,Pit!$A$4:$BD$2261,T$2,FALSE)),COND!$A$34:$B$40,2,FALSE))</f>
        <v/>
      </c>
      <c r="U300" s="21">
        <f>IF($C300="B",VLOOKUP($A300,Bat!$A$4:$AR$1287,44,FALSE),VLOOKUP($A300,Pit!$A$4:$BB$1239,54,FALSE))</f>
        <v>0</v>
      </c>
      <c r="W300" s="21">
        <f t="shared" si="18"/>
        <v>0</v>
      </c>
      <c r="X300" s="22" t="e">
        <f t="shared" si="19"/>
        <v>#N/A</v>
      </c>
      <c r="Y300" s="16" t="str">
        <f>IF(ISERROR(VLOOKUP($E300&amp;$F300,Results!$A$2:$G$413,Y$1,FALSE)),"",VLOOKUP($E300&amp;$F300,Results!$A$2:$G$413,Y$1,FALSE))</f>
        <v/>
      </c>
      <c r="Z300" s="16" t="str">
        <f>IF(ISERROR(VLOOKUP($E300&amp;$F300,Results!$A$2:$G$413,Z$1,FALSE)),"",VLOOKUP($E300&amp;$F300,Results!$A$2:$G$413,Z$1,FALSE))</f>
        <v/>
      </c>
      <c r="AA300" s="16" t="str">
        <f>IF(ISERROR(VLOOKUP($E300&amp;$F300,Results!$A$2:$G$413,AA$1,FALSE)),"",VLOOKUP($E300&amp;$F300,Results!$A$2:$G$413,AA$1,FALSE))</f>
        <v/>
      </c>
      <c r="AB300" s="16" t="str">
        <f>IF(ISERROR(VLOOKUP($E300&amp;$F300,Results!$A$2:$G$413,AB$1,FALSE)),"",VLOOKUP($E300&amp;$F300,Results!$A$2:$G$413,AB$1,FALSE))</f>
        <v/>
      </c>
      <c r="AC300" s="16"/>
      <c r="AD300" s="20" t="str">
        <f>IF(ISERROR(VLOOKUP($AB300&amp;"-"&amp;$F300,Bonuses!$B$1:$G$1000,4,FALSE)),"",INT(VLOOKUP($AB300&amp;"-"&amp;$F300,Bonuses!$B$1:$G$1000,4,FALSE)))</f>
        <v/>
      </c>
      <c r="AE300" s="16" t="str">
        <f>IF(ISERROR(VLOOKUP($AB300&amp;"-"&amp;$F300,Bonuses!$B$1:$G$1000,5,FALSE)),"",IF(VLOOKUP($AB300&amp;"-"&amp;$F300,Bonuses!$B$1:$G$1000,5,FALSE)="","",VLOOKUP($AB300&amp;"-"&amp;$F300,Bonuses!$B$1:$G$1000,6,FALSE)&amp;" yrs, "&amp;VLOOKUP($AB300&amp;"-"&amp;$F300,Bonuses!$B$1:$G$1000,5,FALSE)))</f>
        <v/>
      </c>
    </row>
    <row r="301" spans="1:31" s="21" customFormat="1">
      <c r="A301" s="21" t="s">
        <v>81</v>
      </c>
      <c r="B301" s="21">
        <f t="shared" si="16"/>
        <v>1</v>
      </c>
      <c r="C301" s="21" t="str">
        <f t="shared" si="17"/>
        <v>P</v>
      </c>
      <c r="D301" s="17">
        <f>IF($C301="B",VLOOKUP($A301,Bat!$A$4:$BD$2323,D$1,FALSE),VLOOKUP($A301,Pit!$A$4:$AZ$2261,D$2,FALSE))</f>
        <v>7511</v>
      </c>
      <c r="E301" s="16" t="str">
        <f>IF($C301="B",VLOOKUP($A301,Bat!$A$4:$BD$2323,E$1,FALSE),VLOOKUP($A301,Pit!$A$4:$AZ$2261,E$2,FALSE))</f>
        <v>MR</v>
      </c>
      <c r="F301" s="16" t="str">
        <f>IF($C301="B",VLOOKUP($A301,Bat!$A$4:$BD$2323,F$1,FALSE),VLOOKUP($A301,Pit!$A$4:$AZ$2261,F$2,FALSE))</f>
        <v>Roy Benson</v>
      </c>
      <c r="G301" s="16">
        <f>IF($C301="B",VLOOKUP($A301,Bat!$A$4:$BD$2323,G$1,FALSE),VLOOKUP($A301,Pit!$A$4:$AZ$2261,G$2,FALSE))</f>
        <v>21</v>
      </c>
      <c r="H301" s="16" t="str">
        <f>IF($C301="B",VLOOKUP($A301,Bat!$A$4:$BD$2323,H$1,FALSE),VLOOKUP($A301,Pit!$A$4:$AZ$2261,H$2,FALSE))</f>
        <v>S</v>
      </c>
      <c r="I301" s="16" t="str">
        <f>IF($C301="B",VLOOKUP($A301,Bat!$A$4:$BD$2323,I$1,FALSE),VLOOKUP($A301,Pit!$A$4:$AZ$2261,I$2,FALSE))</f>
        <v>L</v>
      </c>
      <c r="J301" s="16" t="str">
        <f>IF($C301="B",VLOOKUP($A301,Bat!$A$4:$BD$2323,J$1,FALSE),VLOOKUP($A301,Pit!$A$4:$AZ$2261,J$2,FALSE))</f>
        <v>High</v>
      </c>
      <c r="K301" s="17" t="str">
        <f>IF($C301="B",VLOOKUP($A301,Bat!$A$4:$BD$2323,K$1,FALSE),VLOOKUP($A301,Pit!$A$4:$AZ$2261,K$2,FALSE))</f>
        <v>Normal</v>
      </c>
      <c r="L301" s="16">
        <f>IF($C301="B",VLOOKUP($A301,Bat!$A$4:$BD$2323,L$1,FALSE),VLOOKUP($A301,Pit!$A$4:$AZ$2261,L$2,FALSE))</f>
        <v>10</v>
      </c>
      <c r="M301" s="16">
        <f>IF($C301="B",VLOOKUP($A301,Bat!$A$4:$BD$2323,M$1,FALSE),VLOOKUP($A301,Pit!$A$4:$AZ$2261,M$2,FALSE))</f>
        <v>5</v>
      </c>
      <c r="N301" s="16">
        <f>IF($C301="B",VLOOKUP($A301,Bat!$A$4:$BD$2323,N$1,FALSE),VLOOKUP($A301,Pit!$A$4:$AZ$2261,N$2,FALSE))</f>
        <v>4</v>
      </c>
      <c r="O301" s="16" t="str">
        <f>IF($C301="B",VLOOKUP($A301,Bat!$A$4:$BD$2323,O$1,FALSE),VLOOKUP($A301,Pit!$A$4:$AZ$2261,O$2,FALSE))</f>
        <v>98-100 Mph</v>
      </c>
      <c r="P301" s="17">
        <f>IF($C301="B",VLOOKUP($A301,Bat!$A$4:$BD$2323,P$1,FALSE),VLOOKUP($A301,Pit!$A$4:$AZ$2261,P$2,FALSE))</f>
        <v>3</v>
      </c>
      <c r="Q301" s="18">
        <f>IF($C301="B",VLOOKUP($A301,Bat!$A$4:$BD$2323,Q$1,FALSE),VLOOKUP($A301,Pit!$A$4:$AZ$2261,Q$2,FALSE))</f>
        <v>54.696218918371088</v>
      </c>
      <c r="R301" s="19">
        <f>IF($C301="B",VLOOKUP($A301,Bat!$A$4:$BD$2323,R$1,FALSE),VLOOKUP($A301,Pit!$A$4:$AZ$2261,R$2,FALSE))</f>
        <v>1.6492545452931595</v>
      </c>
      <c r="S301" s="20" t="str">
        <f>IF($C301="B",VLOOKUP($A301,Bat!$A$4:$BD$2323,S$1,FALSE),VLOOKUP($A301,Pit!$A$4:$AZ$2261,S$2,FALSE))</f>
        <v>Slot</v>
      </c>
      <c r="T301" s="17" t="str">
        <f>IF(S301="Slot","",VLOOKUP(IF($C301="B",VLOOKUP($A301,Bat!$A$4:$AT$2323,T$1,FALSE),VLOOKUP($A301,Pit!$A$4:$BD$2261,T$2,FALSE)),COND!$A$34:$B$40,2,FALSE))</f>
        <v/>
      </c>
      <c r="U301" s="21">
        <f>IF($C301="B",VLOOKUP($A301,Bat!$A$4:$AR$1287,44,FALSE),VLOOKUP($A301,Pit!$A$4:$BB$1239,54,FALSE))</f>
        <v>0</v>
      </c>
      <c r="W301" s="21">
        <f t="shared" si="18"/>
        <v>0</v>
      </c>
      <c r="X301" s="22" t="e">
        <f t="shared" si="19"/>
        <v>#N/A</v>
      </c>
      <c r="Y301" s="16" t="str">
        <f>IF(ISERROR(VLOOKUP($E301&amp;$F301,Results!$A$2:$G$413,Y$1,FALSE)),"",VLOOKUP($E301&amp;$F301,Results!$A$2:$G$413,Y$1,FALSE))</f>
        <v/>
      </c>
      <c r="Z301" s="16" t="str">
        <f>IF(ISERROR(VLOOKUP($E301&amp;$F301,Results!$A$2:$G$413,Z$1,FALSE)),"",VLOOKUP($E301&amp;$F301,Results!$A$2:$G$413,Z$1,FALSE))</f>
        <v/>
      </c>
      <c r="AA301" s="16" t="str">
        <f>IF(ISERROR(VLOOKUP($E301&amp;$F301,Results!$A$2:$G$413,AA$1,FALSE)),"",VLOOKUP($E301&amp;$F301,Results!$A$2:$G$413,AA$1,FALSE))</f>
        <v/>
      </c>
      <c r="AB301" s="16" t="str">
        <f>IF(ISERROR(VLOOKUP($E301&amp;$F301,Results!$A$2:$G$413,AB$1,FALSE)),"",VLOOKUP($E301&amp;$F301,Results!$A$2:$G$413,AB$1,FALSE))</f>
        <v/>
      </c>
      <c r="AC301" s="16"/>
      <c r="AD301" s="20" t="str">
        <f>IF(ISERROR(VLOOKUP($AB301&amp;"-"&amp;$F301,Bonuses!$B$1:$G$1000,4,FALSE)),"",INT(VLOOKUP($AB301&amp;"-"&amp;$F301,Bonuses!$B$1:$G$1000,4,FALSE)))</f>
        <v/>
      </c>
      <c r="AE301" s="16" t="str">
        <f>IF(ISERROR(VLOOKUP($AB301&amp;"-"&amp;$F301,Bonuses!$B$1:$G$1000,5,FALSE)),"",IF(VLOOKUP($AB301&amp;"-"&amp;$F301,Bonuses!$B$1:$G$1000,5,FALSE)="","",VLOOKUP($AB301&amp;"-"&amp;$F301,Bonuses!$B$1:$G$1000,6,FALSE)&amp;" yrs, "&amp;VLOOKUP($AB301&amp;"-"&amp;$F301,Bonuses!$B$1:$G$1000,5,FALSE)))</f>
        <v/>
      </c>
    </row>
    <row r="302" spans="1:31" s="21" customFormat="1">
      <c r="A302" s="21" t="s">
        <v>791</v>
      </c>
      <c r="B302" s="21">
        <f t="shared" si="16"/>
        <v>1</v>
      </c>
      <c r="C302" s="21" t="str">
        <f t="shared" si="17"/>
        <v>P</v>
      </c>
      <c r="D302" s="17">
        <f>IF($C302="B",VLOOKUP($A302,Bat!$A$4:$BD$2323,D$1,FALSE),VLOOKUP($A302,Pit!$A$4:$AZ$2261,D$2,FALSE))</f>
        <v>7613</v>
      </c>
      <c r="E302" s="16" t="str">
        <f>IF($C302="B",VLOOKUP($A302,Bat!$A$4:$BD$2323,E$1,FALSE),VLOOKUP($A302,Pit!$A$4:$AZ$2261,E$2,FALSE))</f>
        <v>CL</v>
      </c>
      <c r="F302" s="16" t="str">
        <f>IF($C302="B",VLOOKUP($A302,Bat!$A$4:$BD$2323,F$1,FALSE),VLOOKUP($A302,Pit!$A$4:$AZ$2261,F$2,FALSE))</f>
        <v>Michael Campbell</v>
      </c>
      <c r="G302" s="16">
        <f>IF($C302="B",VLOOKUP($A302,Bat!$A$4:$BD$2323,G$1,FALSE),VLOOKUP($A302,Pit!$A$4:$AZ$2261,G$2,FALSE))</f>
        <v>21</v>
      </c>
      <c r="H302" s="16" t="str">
        <f>IF($C302="B",VLOOKUP($A302,Bat!$A$4:$BD$2323,H$1,FALSE),VLOOKUP($A302,Pit!$A$4:$AZ$2261,H$2,FALSE))</f>
        <v>L</v>
      </c>
      <c r="I302" s="16" t="str">
        <f>IF($C302="B",VLOOKUP($A302,Bat!$A$4:$BD$2323,I$1,FALSE),VLOOKUP($A302,Pit!$A$4:$AZ$2261,I$2,FALSE))</f>
        <v>R</v>
      </c>
      <c r="J302" s="16" t="str">
        <f>IF($C302="B",VLOOKUP($A302,Bat!$A$4:$BD$2323,J$1,FALSE),VLOOKUP($A302,Pit!$A$4:$AZ$2261,J$2,FALSE))</f>
        <v>High</v>
      </c>
      <c r="K302" s="17" t="str">
        <f>IF($C302="B",VLOOKUP($A302,Bat!$A$4:$BD$2323,K$1,FALSE),VLOOKUP($A302,Pit!$A$4:$AZ$2261,K$2,FALSE))</f>
        <v>Normal</v>
      </c>
      <c r="L302" s="16">
        <f>IF($C302="B",VLOOKUP($A302,Bat!$A$4:$BD$2323,L$1,FALSE),VLOOKUP($A302,Pit!$A$4:$AZ$2261,L$2,FALSE))</f>
        <v>10</v>
      </c>
      <c r="M302" s="16">
        <f>IF($C302="B",VLOOKUP($A302,Bat!$A$4:$BD$2323,M$1,FALSE),VLOOKUP($A302,Pit!$A$4:$AZ$2261,M$2,FALSE))</f>
        <v>5</v>
      </c>
      <c r="N302" s="16">
        <f>IF($C302="B",VLOOKUP($A302,Bat!$A$4:$BD$2323,N$1,FALSE),VLOOKUP($A302,Pit!$A$4:$AZ$2261,N$2,FALSE))</f>
        <v>4</v>
      </c>
      <c r="O302" s="16" t="str">
        <f>IF($C302="B",VLOOKUP($A302,Bat!$A$4:$BD$2323,O$1,FALSE),VLOOKUP($A302,Pit!$A$4:$AZ$2261,O$2,FALSE))</f>
        <v>96-98 Mph</v>
      </c>
      <c r="P302" s="17">
        <f>IF($C302="B",VLOOKUP($A302,Bat!$A$4:$BD$2323,P$1,FALSE),VLOOKUP($A302,Pit!$A$4:$AZ$2261,P$2,FALSE))</f>
        <v>3</v>
      </c>
      <c r="Q302" s="18">
        <f>IF($C302="B",VLOOKUP($A302,Bat!$A$4:$BD$2323,Q$1,FALSE),VLOOKUP($A302,Pit!$A$4:$AZ$2261,Q$2,FALSE))</f>
        <v>54.187820767431958</v>
      </c>
      <c r="R302" s="19">
        <f>IF($C302="B",VLOOKUP($A302,Bat!$A$4:$BD$2323,R$1,FALSE),VLOOKUP($A302,Pit!$A$4:$AZ$2261,R$2,FALSE))</f>
        <v>1.6088945749578554</v>
      </c>
      <c r="S302" s="20" t="str">
        <f>IF($C302="B",VLOOKUP($A302,Bat!$A$4:$BD$2323,S$1,FALSE),VLOOKUP($A302,Pit!$A$4:$AZ$2261,S$2,FALSE))</f>
        <v>Slot</v>
      </c>
      <c r="T302" s="17" t="str">
        <f>IF(S302="Slot","",VLOOKUP(IF($C302="B",VLOOKUP($A302,Bat!$A$4:$AT$2323,T$1,FALSE),VLOOKUP($A302,Pit!$A$4:$BD$2261,T$2,FALSE)),COND!$A$34:$B$40,2,FALSE))</f>
        <v/>
      </c>
      <c r="U302" s="21">
        <f>IF($C302="B",VLOOKUP($A302,Bat!$A$4:$AR$1287,44,FALSE),VLOOKUP($A302,Pit!$A$4:$BB$1239,54,FALSE))</f>
        <v>0</v>
      </c>
      <c r="W302" s="21">
        <f t="shared" si="18"/>
        <v>0</v>
      </c>
      <c r="X302" s="22" t="e">
        <f t="shared" si="19"/>
        <v>#N/A</v>
      </c>
      <c r="Y302" s="16" t="str">
        <f>IF(ISERROR(VLOOKUP($E302&amp;$F302,Results!$A$2:$G$413,Y$1,FALSE)),"",VLOOKUP($E302&amp;$F302,Results!$A$2:$G$413,Y$1,FALSE))</f>
        <v/>
      </c>
      <c r="Z302" s="16" t="str">
        <f>IF(ISERROR(VLOOKUP($E302&amp;$F302,Results!$A$2:$G$413,Z$1,FALSE)),"",VLOOKUP($E302&amp;$F302,Results!$A$2:$G$413,Z$1,FALSE))</f>
        <v/>
      </c>
      <c r="AA302" s="16" t="str">
        <f>IF(ISERROR(VLOOKUP($E302&amp;$F302,Results!$A$2:$G$413,AA$1,FALSE)),"",VLOOKUP($E302&amp;$F302,Results!$A$2:$G$413,AA$1,FALSE))</f>
        <v/>
      </c>
      <c r="AB302" s="16" t="str">
        <f>IF(ISERROR(VLOOKUP($E302&amp;$F302,Results!$A$2:$G$413,AB$1,FALSE)),"",VLOOKUP($E302&amp;$F302,Results!$A$2:$G$413,AB$1,FALSE))</f>
        <v/>
      </c>
      <c r="AC302" s="16"/>
      <c r="AD302" s="20" t="str">
        <f>IF(ISERROR(VLOOKUP($AB302&amp;"-"&amp;$F302,Bonuses!$B$1:$G$1000,4,FALSE)),"",INT(VLOOKUP($AB302&amp;"-"&amp;$F302,Bonuses!$B$1:$G$1000,4,FALSE)))</f>
        <v/>
      </c>
      <c r="AE302" s="16" t="str">
        <f>IF(ISERROR(VLOOKUP($AB302&amp;"-"&amp;$F302,Bonuses!$B$1:$G$1000,5,FALSE)),"",IF(VLOOKUP($AB302&amp;"-"&amp;$F302,Bonuses!$B$1:$G$1000,5,FALSE)="","",VLOOKUP($AB302&amp;"-"&amp;$F302,Bonuses!$B$1:$G$1000,6,FALSE)&amp;" yrs, "&amp;VLOOKUP($AB302&amp;"-"&amp;$F302,Bonuses!$B$1:$G$1000,5,FALSE)))</f>
        <v/>
      </c>
    </row>
    <row r="303" spans="1:31" s="21" customFormat="1">
      <c r="A303" s="21" t="s">
        <v>798</v>
      </c>
      <c r="B303" s="21">
        <f t="shared" si="16"/>
        <v>1</v>
      </c>
      <c r="C303" s="21" t="str">
        <f t="shared" si="17"/>
        <v>P</v>
      </c>
      <c r="D303" s="17">
        <f>IF($C303="B",VLOOKUP($A303,Bat!$A$4:$BD$2323,D$1,FALSE),VLOOKUP($A303,Pit!$A$4:$AZ$2261,D$2,FALSE))</f>
        <v>9315</v>
      </c>
      <c r="E303" s="16" t="str">
        <f>IF($C303="B",VLOOKUP($A303,Bat!$A$4:$BD$2323,E$1,FALSE),VLOOKUP($A303,Pit!$A$4:$AZ$2261,E$2,FALSE))</f>
        <v>SP</v>
      </c>
      <c r="F303" s="16" t="str">
        <f>IF($C303="B",VLOOKUP($A303,Bat!$A$4:$BD$2323,F$1,FALSE),VLOOKUP($A303,Pit!$A$4:$AZ$2261,F$2,FALSE))</f>
        <v>Will Montero</v>
      </c>
      <c r="G303" s="16">
        <f>IF($C303="B",VLOOKUP($A303,Bat!$A$4:$BD$2323,G$1,FALSE),VLOOKUP($A303,Pit!$A$4:$AZ$2261,G$2,FALSE))</f>
        <v>21</v>
      </c>
      <c r="H303" s="16" t="str">
        <f>IF($C303="B",VLOOKUP($A303,Bat!$A$4:$BD$2323,H$1,FALSE),VLOOKUP($A303,Pit!$A$4:$AZ$2261,H$2,FALSE))</f>
        <v>R</v>
      </c>
      <c r="I303" s="16" t="str">
        <f>IF($C303="B",VLOOKUP($A303,Bat!$A$4:$BD$2323,I$1,FALSE),VLOOKUP($A303,Pit!$A$4:$AZ$2261,I$2,FALSE))</f>
        <v>R</v>
      </c>
      <c r="J303" s="16" t="str">
        <f>IF($C303="B",VLOOKUP($A303,Bat!$A$4:$BD$2323,J$1,FALSE),VLOOKUP($A303,Pit!$A$4:$AZ$2261,J$2,FALSE))</f>
        <v>Very High</v>
      </c>
      <c r="K303" s="17" t="str">
        <f>IF($C303="B",VLOOKUP($A303,Bat!$A$4:$BD$2323,K$1,FALSE),VLOOKUP($A303,Pit!$A$4:$AZ$2261,K$2,FALSE))</f>
        <v>Normal</v>
      </c>
      <c r="L303" s="16">
        <f>IF($C303="B",VLOOKUP($A303,Bat!$A$4:$BD$2323,L$1,FALSE),VLOOKUP($A303,Pit!$A$4:$AZ$2261,L$2,FALSE))</f>
        <v>4</v>
      </c>
      <c r="M303" s="16">
        <f>IF($C303="B",VLOOKUP($A303,Bat!$A$4:$BD$2323,M$1,FALSE),VLOOKUP($A303,Pit!$A$4:$AZ$2261,M$2,FALSE))</f>
        <v>4</v>
      </c>
      <c r="N303" s="16">
        <f>IF($C303="B",VLOOKUP($A303,Bat!$A$4:$BD$2323,N$1,FALSE),VLOOKUP($A303,Pit!$A$4:$AZ$2261,N$2,FALSE))</f>
        <v>10</v>
      </c>
      <c r="O303" s="16" t="str">
        <f>IF($C303="B",VLOOKUP($A303,Bat!$A$4:$BD$2323,O$1,FALSE),VLOOKUP($A303,Pit!$A$4:$AZ$2261,O$2,FALSE))</f>
        <v>89-90 Mph</v>
      </c>
      <c r="P303" s="17">
        <f>IF($C303="B",VLOOKUP($A303,Bat!$A$4:$BD$2323,P$1,FALSE),VLOOKUP($A303,Pit!$A$4:$AZ$2261,P$2,FALSE))</f>
        <v>4</v>
      </c>
      <c r="Q303" s="18">
        <f>IF($C303="B",VLOOKUP($A303,Bat!$A$4:$BD$2323,Q$1,FALSE),VLOOKUP($A303,Pit!$A$4:$AZ$2261,Q$2,FALSE))</f>
        <v>53.791404352382401</v>
      </c>
      <c r="R303" s="19">
        <f>IF($C303="B",VLOOKUP($A303,Bat!$A$4:$BD$2323,R$1,FALSE),VLOOKUP($A303,Pit!$A$4:$AZ$2261,R$2,FALSE))</f>
        <v>1.5774244472198349</v>
      </c>
      <c r="S303" s="20" t="str">
        <f>IF($C303="B",VLOOKUP($A303,Bat!$A$4:$BD$2323,S$1,FALSE),VLOOKUP($A303,Pit!$A$4:$AZ$2261,S$2,FALSE))</f>
        <v>Slot</v>
      </c>
      <c r="T303" s="17" t="str">
        <f>IF(S303="Slot","",VLOOKUP(IF($C303="B",VLOOKUP($A303,Bat!$A$4:$AT$2323,T$1,FALSE),VLOOKUP($A303,Pit!$A$4:$BD$2261,T$2,FALSE)),COND!$A$34:$B$40,2,FALSE))</f>
        <v/>
      </c>
      <c r="U303" s="21">
        <f>IF($C303="B",VLOOKUP($A303,Bat!$A$4:$AR$1287,44,FALSE),VLOOKUP($A303,Pit!$A$4:$BB$1239,54,FALSE))</f>
        <v>0</v>
      </c>
      <c r="W303" s="21">
        <f t="shared" si="18"/>
        <v>0</v>
      </c>
      <c r="X303" s="22" t="e">
        <f t="shared" si="19"/>
        <v>#N/A</v>
      </c>
      <c r="Y303" s="16" t="str">
        <f>IF(ISERROR(VLOOKUP($E303&amp;$F303,Results!$A$2:$G$413,Y$1,FALSE)),"",VLOOKUP($E303&amp;$F303,Results!$A$2:$G$413,Y$1,FALSE))</f>
        <v/>
      </c>
      <c r="Z303" s="16" t="str">
        <f>IF(ISERROR(VLOOKUP($E303&amp;$F303,Results!$A$2:$G$413,Z$1,FALSE)),"",VLOOKUP($E303&amp;$F303,Results!$A$2:$G$413,Z$1,FALSE))</f>
        <v/>
      </c>
      <c r="AA303" s="16" t="str">
        <f>IF(ISERROR(VLOOKUP($E303&amp;$F303,Results!$A$2:$G$413,AA$1,FALSE)),"",VLOOKUP($E303&amp;$F303,Results!$A$2:$G$413,AA$1,FALSE))</f>
        <v/>
      </c>
      <c r="AB303" s="16" t="str">
        <f>IF(ISERROR(VLOOKUP($E303&amp;$F303,Results!$A$2:$G$413,AB$1,FALSE)),"",VLOOKUP($E303&amp;$F303,Results!$A$2:$G$413,AB$1,FALSE))</f>
        <v/>
      </c>
      <c r="AC303" s="16"/>
      <c r="AD303" s="20" t="str">
        <f>IF(ISERROR(VLOOKUP($AB303&amp;"-"&amp;$F303,Bonuses!$B$1:$G$1000,4,FALSE)),"",INT(VLOOKUP($AB303&amp;"-"&amp;$F303,Bonuses!$B$1:$G$1000,4,FALSE)))</f>
        <v/>
      </c>
      <c r="AE303" s="16" t="str">
        <f>IF(ISERROR(VLOOKUP($AB303&amp;"-"&amp;$F303,Bonuses!$B$1:$G$1000,5,FALSE)),"",IF(VLOOKUP($AB303&amp;"-"&amp;$F303,Bonuses!$B$1:$G$1000,5,FALSE)="","",VLOOKUP($AB303&amp;"-"&amp;$F303,Bonuses!$B$1:$G$1000,6,FALSE)&amp;" yrs, "&amp;VLOOKUP($AB303&amp;"-"&amp;$F303,Bonuses!$B$1:$G$1000,5,FALSE)))</f>
        <v/>
      </c>
    </row>
    <row r="304" spans="1:31" s="21" customFormat="1">
      <c r="A304" s="21" t="s">
        <v>780</v>
      </c>
      <c r="B304" s="21">
        <f t="shared" si="16"/>
        <v>1</v>
      </c>
      <c r="C304" s="21" t="str">
        <f t="shared" si="17"/>
        <v>P</v>
      </c>
      <c r="D304" s="17">
        <f>IF($C304="B",VLOOKUP($A304,Bat!$A$4:$BD$2323,D$1,FALSE),VLOOKUP($A304,Pit!$A$4:$AZ$2261,D$2,FALSE))</f>
        <v>13777</v>
      </c>
      <c r="E304" s="16" t="str">
        <f>IF($C304="B",VLOOKUP($A304,Bat!$A$4:$BD$2323,E$1,FALSE),VLOOKUP($A304,Pit!$A$4:$AZ$2261,E$2,FALSE))</f>
        <v>SP</v>
      </c>
      <c r="F304" s="16" t="str">
        <f>IF($C304="B",VLOOKUP($A304,Bat!$A$4:$BD$2323,F$1,FALSE),VLOOKUP($A304,Pit!$A$4:$AZ$2261,F$2,FALSE))</f>
        <v>Dan Boorman</v>
      </c>
      <c r="G304" s="16">
        <f>IF($C304="B",VLOOKUP($A304,Bat!$A$4:$BD$2323,G$1,FALSE),VLOOKUP($A304,Pit!$A$4:$AZ$2261,G$2,FALSE))</f>
        <v>18</v>
      </c>
      <c r="H304" s="16" t="str">
        <f>IF($C304="B",VLOOKUP($A304,Bat!$A$4:$BD$2323,H$1,FALSE),VLOOKUP($A304,Pit!$A$4:$AZ$2261,H$2,FALSE))</f>
        <v>R</v>
      </c>
      <c r="I304" s="16" t="str">
        <f>IF($C304="B",VLOOKUP($A304,Bat!$A$4:$BD$2323,I$1,FALSE),VLOOKUP($A304,Pit!$A$4:$AZ$2261,I$2,FALSE))</f>
        <v>R</v>
      </c>
      <c r="J304" s="16" t="str">
        <f>IF($C304="B",VLOOKUP($A304,Bat!$A$4:$BD$2323,J$1,FALSE),VLOOKUP($A304,Pit!$A$4:$AZ$2261,J$2,FALSE))</f>
        <v>Normal</v>
      </c>
      <c r="K304" s="17" t="str">
        <f>IF($C304="B",VLOOKUP($A304,Bat!$A$4:$BD$2323,K$1,FALSE),VLOOKUP($A304,Pit!$A$4:$AZ$2261,K$2,FALSE))</f>
        <v>Very High</v>
      </c>
      <c r="L304" s="16">
        <f>IF($C304="B",VLOOKUP($A304,Bat!$A$4:$BD$2323,L$1,FALSE),VLOOKUP($A304,Pit!$A$4:$AZ$2261,L$2,FALSE))</f>
        <v>6</v>
      </c>
      <c r="M304" s="16">
        <f>IF($C304="B",VLOOKUP($A304,Bat!$A$4:$BD$2323,M$1,FALSE),VLOOKUP($A304,Pit!$A$4:$AZ$2261,M$2,FALSE))</f>
        <v>7</v>
      </c>
      <c r="N304" s="16">
        <f>IF($C304="B",VLOOKUP($A304,Bat!$A$4:$BD$2323,N$1,FALSE),VLOOKUP($A304,Pit!$A$4:$AZ$2261,N$2,FALSE))</f>
        <v>5</v>
      </c>
      <c r="O304" s="16" t="str">
        <f>IF($C304="B",VLOOKUP($A304,Bat!$A$4:$BD$2323,O$1,FALSE),VLOOKUP($A304,Pit!$A$4:$AZ$2261,O$2,FALSE))</f>
        <v>94-96 Mph</v>
      </c>
      <c r="P304" s="17">
        <f>IF($C304="B",VLOOKUP($A304,Bat!$A$4:$BD$2323,P$1,FALSE),VLOOKUP($A304,Pit!$A$4:$AZ$2261,P$2,FALSE))</f>
        <v>7</v>
      </c>
      <c r="Q304" s="18">
        <f>IF($C304="B",VLOOKUP($A304,Bat!$A$4:$BD$2323,Q$1,FALSE),VLOOKUP($A304,Pit!$A$4:$AZ$2261,Q$2,FALSE))</f>
        <v>53.644075271512023</v>
      </c>
      <c r="R304" s="19">
        <f>IF($C304="B",VLOOKUP($A304,Bat!$A$4:$BD$2323,R$1,FALSE),VLOOKUP($A304,Pit!$A$4:$AZ$2261,R$2,FALSE))</f>
        <v>1.565728501193139</v>
      </c>
      <c r="S304" s="20" t="str">
        <f>IF($C304="B",VLOOKUP($A304,Bat!$A$4:$BD$2323,S$1,FALSE),VLOOKUP($A304,Pit!$A$4:$AZ$2261,S$2,FALSE))</f>
        <v>Slot</v>
      </c>
      <c r="T304" s="17" t="str">
        <f>IF(S304="Slot","",VLOOKUP(IF($C304="B",VLOOKUP($A304,Bat!$A$4:$AT$2323,T$1,FALSE),VLOOKUP($A304,Pit!$A$4:$BD$2261,T$2,FALSE)),COND!$A$34:$B$40,2,FALSE))</f>
        <v/>
      </c>
      <c r="U304" s="21">
        <f>IF($C304="B",VLOOKUP($A304,Bat!$A$4:$AR$1287,44,FALSE),VLOOKUP($A304,Pit!$A$4:$BB$1239,54,FALSE))</f>
        <v>0</v>
      </c>
      <c r="W304" s="21">
        <f t="shared" si="18"/>
        <v>0</v>
      </c>
      <c r="X304" s="22" t="e">
        <f t="shared" si="19"/>
        <v>#N/A</v>
      </c>
      <c r="Y304" s="16" t="str">
        <f>IF(ISERROR(VLOOKUP($E304&amp;$F304,Results!$A$2:$G$413,Y$1,FALSE)),"",VLOOKUP($E304&amp;$F304,Results!$A$2:$G$413,Y$1,FALSE))</f>
        <v/>
      </c>
      <c r="Z304" s="16" t="str">
        <f>IF(ISERROR(VLOOKUP($E304&amp;$F304,Results!$A$2:$G$413,Z$1,FALSE)),"",VLOOKUP($E304&amp;$F304,Results!$A$2:$G$413,Z$1,FALSE))</f>
        <v/>
      </c>
      <c r="AA304" s="16" t="str">
        <f>IF(ISERROR(VLOOKUP($E304&amp;$F304,Results!$A$2:$G$413,AA$1,FALSE)),"",VLOOKUP($E304&amp;$F304,Results!$A$2:$G$413,AA$1,FALSE))</f>
        <v/>
      </c>
      <c r="AB304" s="16" t="str">
        <f>IF(ISERROR(VLOOKUP($E304&amp;$F304,Results!$A$2:$G$413,AB$1,FALSE)),"",VLOOKUP($E304&amp;$F304,Results!$A$2:$G$413,AB$1,FALSE))</f>
        <v/>
      </c>
      <c r="AC304" s="16"/>
      <c r="AD304" s="20" t="str">
        <f>IF(ISERROR(VLOOKUP($AB304&amp;"-"&amp;$F304,Bonuses!$B$1:$G$1000,4,FALSE)),"",INT(VLOOKUP($AB304&amp;"-"&amp;$F304,Bonuses!$B$1:$G$1000,4,FALSE)))</f>
        <v/>
      </c>
      <c r="AE304" s="16" t="str">
        <f>IF(ISERROR(VLOOKUP($AB304&amp;"-"&amp;$F304,Bonuses!$B$1:$G$1000,5,FALSE)),"",IF(VLOOKUP($AB304&amp;"-"&amp;$F304,Bonuses!$B$1:$G$1000,5,FALSE)="","",VLOOKUP($AB304&amp;"-"&amp;$F304,Bonuses!$B$1:$G$1000,6,FALSE)&amp;" yrs, "&amp;VLOOKUP($AB304&amp;"-"&amp;$F304,Bonuses!$B$1:$G$1000,5,FALSE)))</f>
        <v/>
      </c>
    </row>
    <row r="305" spans="1:31" s="21" customFormat="1">
      <c r="A305" s="21" t="s">
        <v>669</v>
      </c>
      <c r="B305" s="21">
        <f t="shared" si="16"/>
        <v>1</v>
      </c>
      <c r="C305" s="21" t="str">
        <f t="shared" si="17"/>
        <v>P</v>
      </c>
      <c r="D305" s="17">
        <f>IF($C305="B",VLOOKUP($A305,Bat!$A$4:$BD$2323,D$1,FALSE),VLOOKUP($A305,Pit!$A$4:$AZ$2261,D$2,FALSE))</f>
        <v>13828</v>
      </c>
      <c r="E305" s="16" t="str">
        <f>IF($C305="B",VLOOKUP($A305,Bat!$A$4:$BD$2323,E$1,FALSE),VLOOKUP($A305,Pit!$A$4:$AZ$2261,E$2,FALSE))</f>
        <v>SP</v>
      </c>
      <c r="F305" s="16" t="str">
        <f>IF($C305="B",VLOOKUP($A305,Bat!$A$4:$BD$2323,F$1,FALSE),VLOOKUP($A305,Pit!$A$4:$AZ$2261,F$2,FALSE))</f>
        <v>Markus Cameron</v>
      </c>
      <c r="G305" s="16">
        <f>IF($C305="B",VLOOKUP($A305,Bat!$A$4:$BD$2323,G$1,FALSE),VLOOKUP($A305,Pit!$A$4:$AZ$2261,G$2,FALSE))</f>
        <v>18</v>
      </c>
      <c r="H305" s="16" t="str">
        <f>IF($C305="B",VLOOKUP($A305,Bat!$A$4:$BD$2323,H$1,FALSE),VLOOKUP($A305,Pit!$A$4:$AZ$2261,H$2,FALSE))</f>
        <v>L</v>
      </c>
      <c r="I305" s="16" t="str">
        <f>IF($C305="B",VLOOKUP($A305,Bat!$A$4:$BD$2323,I$1,FALSE),VLOOKUP($A305,Pit!$A$4:$AZ$2261,I$2,FALSE))</f>
        <v>R</v>
      </c>
      <c r="J305" s="16" t="str">
        <f>IF($C305="B",VLOOKUP($A305,Bat!$A$4:$BD$2323,J$1,FALSE),VLOOKUP($A305,Pit!$A$4:$AZ$2261,J$2,FALSE))</f>
        <v>Normal</v>
      </c>
      <c r="K305" s="17" t="str">
        <f>IF($C305="B",VLOOKUP($A305,Bat!$A$4:$BD$2323,K$1,FALSE),VLOOKUP($A305,Pit!$A$4:$AZ$2261,K$2,FALSE))</f>
        <v>High</v>
      </c>
      <c r="L305" s="16">
        <f>IF($C305="B",VLOOKUP($A305,Bat!$A$4:$BD$2323,L$1,FALSE),VLOOKUP($A305,Pit!$A$4:$AZ$2261,L$2,FALSE))</f>
        <v>3</v>
      </c>
      <c r="M305" s="16">
        <f>IF($C305="B",VLOOKUP($A305,Bat!$A$4:$BD$2323,M$1,FALSE),VLOOKUP($A305,Pit!$A$4:$AZ$2261,M$2,FALSE))</f>
        <v>7</v>
      </c>
      <c r="N305" s="16">
        <f>IF($C305="B",VLOOKUP($A305,Bat!$A$4:$BD$2323,N$1,FALSE),VLOOKUP($A305,Pit!$A$4:$AZ$2261,N$2,FALSE))</f>
        <v>9</v>
      </c>
      <c r="O305" s="16" t="str">
        <f>IF($C305="B",VLOOKUP($A305,Bat!$A$4:$BD$2323,O$1,FALSE),VLOOKUP($A305,Pit!$A$4:$AZ$2261,O$2,FALSE))</f>
        <v>82-84 Mph</v>
      </c>
      <c r="P305" s="17">
        <f>IF($C305="B",VLOOKUP($A305,Bat!$A$4:$BD$2323,P$1,FALSE),VLOOKUP($A305,Pit!$A$4:$AZ$2261,P$2,FALSE))</f>
        <v>7</v>
      </c>
      <c r="Q305" s="18">
        <f>IF($C305="B",VLOOKUP($A305,Bat!$A$4:$BD$2323,Q$1,FALSE),VLOOKUP($A305,Pit!$A$4:$AZ$2261,Q$2,FALSE))</f>
        <v>52.962207056335558</v>
      </c>
      <c r="R305" s="19">
        <f>IF($C305="B",VLOOKUP($A305,Bat!$A$4:$BD$2323,R$1,FALSE),VLOOKUP($A305,Pit!$A$4:$AZ$2261,R$2,FALSE))</f>
        <v>1.5115973425996767</v>
      </c>
      <c r="S305" s="20" t="str">
        <f>IF($C305="B",VLOOKUP($A305,Bat!$A$4:$BD$2323,S$1,FALSE),VLOOKUP($A305,Pit!$A$4:$AZ$2261,S$2,FALSE))</f>
        <v>Slot</v>
      </c>
      <c r="T305" s="17" t="str">
        <f>IF(S305="Slot","",VLOOKUP(IF($C305="B",VLOOKUP($A305,Bat!$A$4:$AT$2323,T$1,FALSE),VLOOKUP($A305,Pit!$A$4:$BD$2261,T$2,FALSE)),COND!$A$34:$B$40,2,FALSE))</f>
        <v/>
      </c>
      <c r="U305" s="21">
        <f>IF($C305="B",VLOOKUP($A305,Bat!$A$4:$AR$1287,44,FALSE),VLOOKUP($A305,Pit!$A$4:$BB$1239,54,FALSE))</f>
        <v>0</v>
      </c>
      <c r="W305" s="21">
        <f t="shared" si="18"/>
        <v>0</v>
      </c>
      <c r="X305" s="22" t="e">
        <f t="shared" si="19"/>
        <v>#N/A</v>
      </c>
      <c r="Y305" s="16" t="str">
        <f>IF(ISERROR(VLOOKUP($E305&amp;$F305,Results!$A$2:$G$413,Y$1,FALSE)),"",VLOOKUP($E305&amp;$F305,Results!$A$2:$G$413,Y$1,FALSE))</f>
        <v/>
      </c>
      <c r="Z305" s="16" t="str">
        <f>IF(ISERROR(VLOOKUP($E305&amp;$F305,Results!$A$2:$G$413,Z$1,FALSE)),"",VLOOKUP($E305&amp;$F305,Results!$A$2:$G$413,Z$1,FALSE))</f>
        <v/>
      </c>
      <c r="AA305" s="16" t="str">
        <f>IF(ISERROR(VLOOKUP($E305&amp;$F305,Results!$A$2:$G$413,AA$1,FALSE)),"",VLOOKUP($E305&amp;$F305,Results!$A$2:$G$413,AA$1,FALSE))</f>
        <v/>
      </c>
      <c r="AB305" s="16" t="str">
        <f>IF(ISERROR(VLOOKUP($E305&amp;$F305,Results!$A$2:$G$413,AB$1,FALSE)),"",VLOOKUP($E305&amp;$F305,Results!$A$2:$G$413,AB$1,FALSE))</f>
        <v/>
      </c>
      <c r="AC305" s="16"/>
      <c r="AD305" s="20" t="str">
        <f>IF(ISERROR(VLOOKUP($AB305&amp;"-"&amp;$F305,Bonuses!$B$1:$G$1000,4,FALSE)),"",INT(VLOOKUP($AB305&amp;"-"&amp;$F305,Bonuses!$B$1:$G$1000,4,FALSE)))</f>
        <v/>
      </c>
      <c r="AE305" s="16" t="str">
        <f>IF(ISERROR(VLOOKUP($AB305&amp;"-"&amp;$F305,Bonuses!$B$1:$G$1000,5,FALSE)),"",IF(VLOOKUP($AB305&amp;"-"&amp;$F305,Bonuses!$B$1:$G$1000,5,FALSE)="","",VLOOKUP($AB305&amp;"-"&amp;$F305,Bonuses!$B$1:$G$1000,6,FALSE)&amp;" yrs, "&amp;VLOOKUP($AB305&amp;"-"&amp;$F305,Bonuses!$B$1:$G$1000,5,FALSE)))</f>
        <v/>
      </c>
    </row>
    <row r="306" spans="1:31" s="21" customFormat="1">
      <c r="A306" s="21" t="s">
        <v>783</v>
      </c>
      <c r="B306" s="21">
        <f t="shared" si="16"/>
        <v>1</v>
      </c>
      <c r="C306" s="21" t="str">
        <f t="shared" si="17"/>
        <v>P</v>
      </c>
      <c r="D306" s="17">
        <f>IF($C306="B",VLOOKUP($A306,Bat!$A$4:$BD$2323,D$1,FALSE),VLOOKUP($A306,Pit!$A$4:$AZ$2261,D$2,FALSE))</f>
        <v>9224</v>
      </c>
      <c r="E306" s="16" t="str">
        <f>IF($C306="B",VLOOKUP($A306,Bat!$A$4:$BD$2323,E$1,FALSE),VLOOKUP($A306,Pit!$A$4:$AZ$2261,E$2,FALSE))</f>
        <v>SP</v>
      </c>
      <c r="F306" s="16" t="str">
        <f>IF($C306="B",VLOOKUP($A306,Bat!$A$4:$BD$2323,F$1,FALSE),VLOOKUP($A306,Pit!$A$4:$AZ$2261,F$2,FALSE))</f>
        <v>Jin-hyun Chon</v>
      </c>
      <c r="G306" s="16">
        <f>IF($C306="B",VLOOKUP($A306,Bat!$A$4:$BD$2323,G$1,FALSE),VLOOKUP($A306,Pit!$A$4:$AZ$2261,G$2,FALSE))</f>
        <v>21</v>
      </c>
      <c r="H306" s="16" t="str">
        <f>IF($C306="B",VLOOKUP($A306,Bat!$A$4:$BD$2323,H$1,FALSE),VLOOKUP($A306,Pit!$A$4:$AZ$2261,H$2,FALSE))</f>
        <v>L</v>
      </c>
      <c r="I306" s="16" t="str">
        <f>IF($C306="B",VLOOKUP($A306,Bat!$A$4:$BD$2323,I$1,FALSE),VLOOKUP($A306,Pit!$A$4:$AZ$2261,I$2,FALSE))</f>
        <v>L</v>
      </c>
      <c r="J306" s="16" t="str">
        <f>IF($C306="B",VLOOKUP($A306,Bat!$A$4:$BD$2323,J$1,FALSE),VLOOKUP($A306,Pit!$A$4:$AZ$2261,J$2,FALSE))</f>
        <v>Low</v>
      </c>
      <c r="K306" s="17" t="str">
        <f>IF($C306="B",VLOOKUP($A306,Bat!$A$4:$BD$2323,K$1,FALSE),VLOOKUP($A306,Pit!$A$4:$AZ$2261,K$2,FALSE))</f>
        <v>Normal</v>
      </c>
      <c r="L306" s="16">
        <f>IF($C306="B",VLOOKUP($A306,Bat!$A$4:$BD$2323,L$1,FALSE),VLOOKUP($A306,Pit!$A$4:$AZ$2261,L$2,FALSE))</f>
        <v>9</v>
      </c>
      <c r="M306" s="16">
        <f>IF($C306="B",VLOOKUP($A306,Bat!$A$4:$BD$2323,M$1,FALSE),VLOOKUP($A306,Pit!$A$4:$AZ$2261,M$2,FALSE))</f>
        <v>4</v>
      </c>
      <c r="N306" s="16">
        <f>IF($C306="B",VLOOKUP($A306,Bat!$A$4:$BD$2323,N$1,FALSE),VLOOKUP($A306,Pit!$A$4:$AZ$2261,N$2,FALSE))</f>
        <v>5</v>
      </c>
      <c r="O306" s="16" t="str">
        <f>IF($C306="B",VLOOKUP($A306,Bat!$A$4:$BD$2323,O$1,FALSE),VLOOKUP($A306,Pit!$A$4:$AZ$2261,O$2,FALSE))</f>
        <v>97-99 Mph</v>
      </c>
      <c r="P306" s="17">
        <f>IF($C306="B",VLOOKUP($A306,Bat!$A$4:$BD$2323,P$1,FALSE),VLOOKUP($A306,Pit!$A$4:$AZ$2261,P$2,FALSE))</f>
        <v>8</v>
      </c>
      <c r="Q306" s="18">
        <f>IF($C306="B",VLOOKUP($A306,Bat!$A$4:$BD$2323,Q$1,FALSE),VLOOKUP($A306,Pit!$A$4:$AZ$2261,Q$2,FALSE))</f>
        <v>52.038477292175671</v>
      </c>
      <c r="R306" s="19">
        <f>IF($C306="B",VLOOKUP($A306,Bat!$A$4:$BD$2323,R$1,FALSE),VLOOKUP($A306,Pit!$A$4:$AZ$2261,R$2,FALSE))</f>
        <v>1.4382656323830629</v>
      </c>
      <c r="S306" s="20" t="str">
        <f>IF($C306="B",VLOOKUP($A306,Bat!$A$4:$BD$2323,S$1,FALSE),VLOOKUP($A306,Pit!$A$4:$AZ$2261,S$2,FALSE))</f>
        <v>Slot</v>
      </c>
      <c r="T306" s="17" t="str">
        <f>IF(S306="Slot","",VLOOKUP(IF($C306="B",VLOOKUP($A306,Bat!$A$4:$AT$2323,T$1,FALSE),VLOOKUP($A306,Pit!$A$4:$BD$2261,T$2,FALSE)),COND!$A$34:$B$40,2,FALSE))</f>
        <v/>
      </c>
      <c r="U306" s="21">
        <f>IF($C306="B",VLOOKUP($A306,Bat!$A$4:$AR$1287,44,FALSE),VLOOKUP($A306,Pit!$A$4:$BB$1239,54,FALSE))</f>
        <v>0</v>
      </c>
      <c r="W306" s="21">
        <f t="shared" si="18"/>
        <v>0</v>
      </c>
      <c r="X306" s="22" t="e">
        <f t="shared" si="19"/>
        <v>#N/A</v>
      </c>
      <c r="Y306" s="16" t="str">
        <f>IF(ISERROR(VLOOKUP($E306&amp;$F306,Results!$A$2:$G$413,Y$1,FALSE)),"",VLOOKUP($E306&amp;$F306,Results!$A$2:$G$413,Y$1,FALSE))</f>
        <v/>
      </c>
      <c r="Z306" s="16" t="str">
        <f>IF(ISERROR(VLOOKUP($E306&amp;$F306,Results!$A$2:$G$413,Z$1,FALSE)),"",VLOOKUP($E306&amp;$F306,Results!$A$2:$G$413,Z$1,FALSE))</f>
        <v/>
      </c>
      <c r="AA306" s="16" t="str">
        <f>IF(ISERROR(VLOOKUP($E306&amp;$F306,Results!$A$2:$G$413,AA$1,FALSE)),"",VLOOKUP($E306&amp;$F306,Results!$A$2:$G$413,AA$1,FALSE))</f>
        <v/>
      </c>
      <c r="AB306" s="16" t="str">
        <f>IF(ISERROR(VLOOKUP($E306&amp;$F306,Results!$A$2:$G$413,AB$1,FALSE)),"",VLOOKUP($E306&amp;$F306,Results!$A$2:$G$413,AB$1,FALSE))</f>
        <v/>
      </c>
      <c r="AC306" s="16"/>
      <c r="AD306" s="20" t="str">
        <f>IF(ISERROR(VLOOKUP($AB306&amp;"-"&amp;$F306,Bonuses!$B$1:$G$1000,4,FALSE)),"",INT(VLOOKUP($AB306&amp;"-"&amp;$F306,Bonuses!$B$1:$G$1000,4,FALSE)))</f>
        <v/>
      </c>
      <c r="AE306" s="16" t="str">
        <f>IF(ISERROR(VLOOKUP($AB306&amp;"-"&amp;$F306,Bonuses!$B$1:$G$1000,5,FALSE)),"",IF(VLOOKUP($AB306&amp;"-"&amp;$F306,Bonuses!$B$1:$G$1000,5,FALSE)="","",VLOOKUP($AB306&amp;"-"&amp;$F306,Bonuses!$B$1:$G$1000,6,FALSE)&amp;" yrs, "&amp;VLOOKUP($AB306&amp;"-"&amp;$F306,Bonuses!$B$1:$G$1000,5,FALSE)))</f>
        <v/>
      </c>
    </row>
    <row r="307" spans="1:31" s="21" customFormat="1">
      <c r="A307" s="21" t="s">
        <v>655</v>
      </c>
      <c r="B307" s="21">
        <f t="shared" si="16"/>
        <v>1</v>
      </c>
      <c r="C307" s="21" t="str">
        <f t="shared" si="17"/>
        <v>P</v>
      </c>
      <c r="D307" s="17">
        <f>IF($C307="B",VLOOKUP($A307,Bat!$A$4:$BD$2323,D$1,FALSE),VLOOKUP($A307,Pit!$A$4:$AZ$2261,D$2,FALSE))</f>
        <v>13919</v>
      </c>
      <c r="E307" s="16" t="str">
        <f>IF($C307="B",VLOOKUP($A307,Bat!$A$4:$BD$2323,E$1,FALSE),VLOOKUP($A307,Pit!$A$4:$AZ$2261,E$2,FALSE))</f>
        <v>SP</v>
      </c>
      <c r="F307" s="16" t="str">
        <f>IF($C307="B",VLOOKUP($A307,Bat!$A$4:$BD$2323,F$1,FALSE),VLOOKUP($A307,Pit!$A$4:$AZ$2261,F$2,FALSE))</f>
        <v>Ben Cunningham</v>
      </c>
      <c r="G307" s="16">
        <f>IF($C307="B",VLOOKUP($A307,Bat!$A$4:$BD$2323,G$1,FALSE),VLOOKUP($A307,Pit!$A$4:$AZ$2261,G$2,FALSE))</f>
        <v>18</v>
      </c>
      <c r="H307" s="16" t="str">
        <f>IF($C307="B",VLOOKUP($A307,Bat!$A$4:$BD$2323,H$1,FALSE),VLOOKUP($A307,Pit!$A$4:$AZ$2261,H$2,FALSE))</f>
        <v>S</v>
      </c>
      <c r="I307" s="16" t="str">
        <f>IF($C307="B",VLOOKUP($A307,Bat!$A$4:$BD$2323,I$1,FALSE),VLOOKUP($A307,Pit!$A$4:$AZ$2261,I$2,FALSE))</f>
        <v>R</v>
      </c>
      <c r="J307" s="16" t="str">
        <f>IF($C307="B",VLOOKUP($A307,Bat!$A$4:$BD$2323,J$1,FALSE),VLOOKUP($A307,Pit!$A$4:$AZ$2261,J$2,FALSE))</f>
        <v>High</v>
      </c>
      <c r="K307" s="17" t="str">
        <f>IF($C307="B",VLOOKUP($A307,Bat!$A$4:$BD$2323,K$1,FALSE),VLOOKUP($A307,Pit!$A$4:$AZ$2261,K$2,FALSE))</f>
        <v>Very High</v>
      </c>
      <c r="L307" s="16">
        <f>IF($C307="B",VLOOKUP($A307,Bat!$A$4:$BD$2323,L$1,FALSE),VLOOKUP($A307,Pit!$A$4:$AZ$2261,L$2,FALSE))</f>
        <v>4</v>
      </c>
      <c r="M307" s="16">
        <f>IF($C307="B",VLOOKUP($A307,Bat!$A$4:$BD$2323,M$1,FALSE),VLOOKUP($A307,Pit!$A$4:$AZ$2261,M$2,FALSE))</f>
        <v>8</v>
      </c>
      <c r="N307" s="16">
        <f>IF($C307="B",VLOOKUP($A307,Bat!$A$4:$BD$2323,N$1,FALSE),VLOOKUP($A307,Pit!$A$4:$AZ$2261,N$2,FALSE))</f>
        <v>7</v>
      </c>
      <c r="O307" s="16" t="str">
        <f>IF($C307="B",VLOOKUP($A307,Bat!$A$4:$BD$2323,O$1,FALSE),VLOOKUP($A307,Pit!$A$4:$AZ$2261,O$2,FALSE))</f>
        <v>83-85 Mph</v>
      </c>
      <c r="P307" s="17">
        <f>IF($C307="B",VLOOKUP($A307,Bat!$A$4:$BD$2323,P$1,FALSE),VLOOKUP($A307,Pit!$A$4:$AZ$2261,P$2,FALSE))</f>
        <v>4</v>
      </c>
      <c r="Q307" s="18">
        <f>IF($C307="B",VLOOKUP($A307,Bat!$A$4:$BD$2323,Q$1,FALSE),VLOOKUP($A307,Pit!$A$4:$AZ$2261,Q$2,FALSE))</f>
        <v>52.954107738853651</v>
      </c>
      <c r="R307" s="19">
        <f>IF($C307="B",VLOOKUP($A307,Bat!$A$4:$BD$2323,R$1,FALSE),VLOOKUP($A307,Pit!$A$4:$AZ$2261,R$2,FALSE))</f>
        <v>1.5109543658054021</v>
      </c>
      <c r="S307" s="20" t="str">
        <f>IF($C307="B",VLOOKUP($A307,Bat!$A$4:$BD$2323,S$1,FALSE),VLOOKUP($A307,Pit!$A$4:$AZ$2261,S$2,FALSE))</f>
        <v>Slot</v>
      </c>
      <c r="T307" s="17" t="str">
        <f>IF(S307="Slot","",VLOOKUP(IF($C307="B",VLOOKUP($A307,Bat!$A$4:$AT$2323,T$1,FALSE),VLOOKUP($A307,Pit!$A$4:$BD$2261,T$2,FALSE)),COND!$A$34:$B$40,2,FALSE))</f>
        <v/>
      </c>
      <c r="U307" s="21">
        <f>IF($C307="B",VLOOKUP($A307,Bat!$A$4:$AR$1287,44,FALSE),VLOOKUP($A307,Pit!$A$4:$BB$1239,54,FALSE))</f>
        <v>0</v>
      </c>
      <c r="W307" s="21">
        <f t="shared" si="18"/>
        <v>0</v>
      </c>
      <c r="X307" s="22" t="e">
        <f t="shared" si="19"/>
        <v>#N/A</v>
      </c>
      <c r="Y307" s="16" t="str">
        <f>IF(ISERROR(VLOOKUP($E307&amp;$F307,Results!$A$2:$G$413,Y$1,FALSE)),"",VLOOKUP($E307&amp;$F307,Results!$A$2:$G$413,Y$1,FALSE))</f>
        <v/>
      </c>
      <c r="Z307" s="16" t="str">
        <f>IF(ISERROR(VLOOKUP($E307&amp;$F307,Results!$A$2:$G$413,Z$1,FALSE)),"",VLOOKUP($E307&amp;$F307,Results!$A$2:$G$413,Z$1,FALSE))</f>
        <v/>
      </c>
      <c r="AA307" s="16" t="str">
        <f>IF(ISERROR(VLOOKUP($E307&amp;$F307,Results!$A$2:$G$413,AA$1,FALSE)),"",VLOOKUP($E307&amp;$F307,Results!$A$2:$G$413,AA$1,FALSE))</f>
        <v/>
      </c>
      <c r="AB307" s="16" t="str">
        <f>IF(ISERROR(VLOOKUP($E307&amp;$F307,Results!$A$2:$G$413,AB$1,FALSE)),"",VLOOKUP($E307&amp;$F307,Results!$A$2:$G$413,AB$1,FALSE))</f>
        <v/>
      </c>
      <c r="AC307" s="16"/>
      <c r="AD307" s="20" t="str">
        <f>IF(ISERROR(VLOOKUP($AB307&amp;"-"&amp;$F307,Bonuses!$B$1:$G$1000,4,FALSE)),"",INT(VLOOKUP($AB307&amp;"-"&amp;$F307,Bonuses!$B$1:$G$1000,4,FALSE)))</f>
        <v/>
      </c>
      <c r="AE307" s="16" t="str">
        <f>IF(ISERROR(VLOOKUP($AB307&amp;"-"&amp;$F307,Bonuses!$B$1:$G$1000,5,FALSE)),"",IF(VLOOKUP($AB307&amp;"-"&amp;$F307,Bonuses!$B$1:$G$1000,5,FALSE)="","",VLOOKUP($AB307&amp;"-"&amp;$F307,Bonuses!$B$1:$G$1000,6,FALSE)&amp;" yrs, "&amp;VLOOKUP($AB307&amp;"-"&amp;$F307,Bonuses!$B$1:$G$1000,5,FALSE)))</f>
        <v/>
      </c>
    </row>
    <row r="308" spans="1:31" s="21" customFormat="1">
      <c r="A308" s="21" t="s">
        <v>264</v>
      </c>
      <c r="B308" s="21">
        <f t="shared" si="16"/>
        <v>1</v>
      </c>
      <c r="C308" s="21" t="str">
        <f t="shared" si="17"/>
        <v>P</v>
      </c>
      <c r="D308" s="17">
        <f>IF($C308="B",VLOOKUP($A308,Bat!$A$4:$BD$2323,D$1,FALSE),VLOOKUP($A308,Pit!$A$4:$AZ$2261,D$2,FALSE))</f>
        <v>176</v>
      </c>
      <c r="E308" s="16" t="str">
        <f>IF($C308="B",VLOOKUP($A308,Bat!$A$4:$BD$2323,E$1,FALSE),VLOOKUP($A308,Pit!$A$4:$AZ$2261,E$2,FALSE))</f>
        <v>SP</v>
      </c>
      <c r="F308" s="16" t="str">
        <f>IF($C308="B",VLOOKUP($A308,Bat!$A$4:$BD$2323,F$1,FALSE),VLOOKUP($A308,Pit!$A$4:$AZ$2261,F$2,FALSE))</f>
        <v>Fred Washington</v>
      </c>
      <c r="G308" s="16">
        <f>IF($C308="B",VLOOKUP($A308,Bat!$A$4:$BD$2323,G$1,FALSE),VLOOKUP($A308,Pit!$A$4:$AZ$2261,G$2,FALSE))</f>
        <v>18</v>
      </c>
      <c r="H308" s="16" t="str">
        <f>IF($C308="B",VLOOKUP($A308,Bat!$A$4:$BD$2323,H$1,FALSE),VLOOKUP($A308,Pit!$A$4:$AZ$2261,H$2,FALSE))</f>
        <v>L</v>
      </c>
      <c r="I308" s="16" t="str">
        <f>IF($C308="B",VLOOKUP($A308,Bat!$A$4:$BD$2323,I$1,FALSE),VLOOKUP($A308,Pit!$A$4:$AZ$2261,I$2,FALSE))</f>
        <v>L</v>
      </c>
      <c r="J308" s="16" t="str">
        <f>IF($C308="B",VLOOKUP($A308,Bat!$A$4:$BD$2323,J$1,FALSE),VLOOKUP($A308,Pit!$A$4:$AZ$2261,J$2,FALSE))</f>
        <v>Low</v>
      </c>
      <c r="K308" s="17" t="str">
        <f>IF($C308="B",VLOOKUP($A308,Bat!$A$4:$BD$2323,K$1,FALSE),VLOOKUP($A308,Pit!$A$4:$AZ$2261,K$2,FALSE))</f>
        <v>High</v>
      </c>
      <c r="L308" s="16">
        <f>IF($C308="B",VLOOKUP($A308,Bat!$A$4:$BD$2323,L$1,FALSE),VLOOKUP($A308,Pit!$A$4:$AZ$2261,L$2,FALSE))</f>
        <v>6</v>
      </c>
      <c r="M308" s="16">
        <f>IF($C308="B",VLOOKUP($A308,Bat!$A$4:$BD$2323,M$1,FALSE),VLOOKUP($A308,Pit!$A$4:$AZ$2261,M$2,FALSE))</f>
        <v>7</v>
      </c>
      <c r="N308" s="16">
        <f>IF($C308="B",VLOOKUP($A308,Bat!$A$4:$BD$2323,N$1,FALSE),VLOOKUP($A308,Pit!$A$4:$AZ$2261,N$2,FALSE))</f>
        <v>5</v>
      </c>
      <c r="O308" s="16" t="str">
        <f>IF($C308="B",VLOOKUP($A308,Bat!$A$4:$BD$2323,O$1,FALSE),VLOOKUP($A308,Pit!$A$4:$AZ$2261,O$2,FALSE))</f>
        <v>92-94 Mph</v>
      </c>
      <c r="P308" s="17">
        <f>IF($C308="B",VLOOKUP($A308,Bat!$A$4:$BD$2323,P$1,FALSE),VLOOKUP($A308,Pit!$A$4:$AZ$2261,P$2,FALSE))</f>
        <v>5</v>
      </c>
      <c r="Q308" s="18">
        <f>IF($C308="B",VLOOKUP($A308,Bat!$A$4:$BD$2323,Q$1,FALSE),VLOOKUP($A308,Pit!$A$4:$AZ$2261,Q$2,FALSE))</f>
        <v>51.551377049173439</v>
      </c>
      <c r="R308" s="19">
        <f>IF($C308="B",VLOOKUP($A308,Bat!$A$4:$BD$2323,R$1,FALSE),VLOOKUP($A308,Pit!$A$4:$AZ$2261,R$2,FALSE))</f>
        <v>1.3995964292760608</v>
      </c>
      <c r="S308" s="20" t="str">
        <f>IF($C308="B",VLOOKUP($A308,Bat!$A$4:$BD$2323,S$1,FALSE),VLOOKUP($A308,Pit!$A$4:$AZ$2261,S$2,FALSE))</f>
        <v>Slot</v>
      </c>
      <c r="T308" s="17" t="str">
        <f>IF(S308="Slot","",VLOOKUP(IF($C308="B",VLOOKUP($A308,Bat!$A$4:$AT$2323,T$1,FALSE),VLOOKUP($A308,Pit!$A$4:$BD$2261,T$2,FALSE)),COND!$A$34:$B$40,2,FALSE))</f>
        <v/>
      </c>
      <c r="U308" s="21">
        <f>IF($C308="B",VLOOKUP($A308,Bat!$A$4:$AR$1287,44,FALSE),VLOOKUP($A308,Pit!$A$4:$BB$1239,54,FALSE))</f>
        <v>0</v>
      </c>
      <c r="W308" s="21">
        <f t="shared" si="18"/>
        <v>0</v>
      </c>
      <c r="X308" s="22" t="e">
        <f t="shared" si="19"/>
        <v>#N/A</v>
      </c>
      <c r="Y308" s="16" t="str">
        <f>IF(ISERROR(VLOOKUP($E308&amp;$F308,Results!$A$2:$G$413,Y$1,FALSE)),"",VLOOKUP($E308&amp;$F308,Results!$A$2:$G$413,Y$1,FALSE))</f>
        <v/>
      </c>
      <c r="Z308" s="16" t="str">
        <f>IF(ISERROR(VLOOKUP($E308&amp;$F308,Results!$A$2:$G$413,Z$1,FALSE)),"",VLOOKUP($E308&amp;$F308,Results!$A$2:$G$413,Z$1,FALSE))</f>
        <v/>
      </c>
      <c r="AA308" s="16" t="str">
        <f>IF(ISERROR(VLOOKUP($E308&amp;$F308,Results!$A$2:$G$413,AA$1,FALSE)),"",VLOOKUP($E308&amp;$F308,Results!$A$2:$G$413,AA$1,FALSE))</f>
        <v/>
      </c>
      <c r="AB308" s="16" t="str">
        <f>IF(ISERROR(VLOOKUP($E308&amp;$F308,Results!$A$2:$G$413,AB$1,FALSE)),"",VLOOKUP($E308&amp;$F308,Results!$A$2:$G$413,AB$1,FALSE))</f>
        <v/>
      </c>
      <c r="AC308" s="16"/>
      <c r="AD308" s="20" t="str">
        <f>IF(ISERROR(VLOOKUP($AB308&amp;"-"&amp;$F308,Bonuses!$B$1:$G$1000,4,FALSE)),"",INT(VLOOKUP($AB308&amp;"-"&amp;$F308,Bonuses!$B$1:$G$1000,4,FALSE)))</f>
        <v/>
      </c>
      <c r="AE308" s="16" t="str">
        <f>IF(ISERROR(VLOOKUP($AB308&amp;"-"&amp;$F308,Bonuses!$B$1:$G$1000,5,FALSE)),"",IF(VLOOKUP($AB308&amp;"-"&amp;$F308,Bonuses!$B$1:$G$1000,5,FALSE)="","",VLOOKUP($AB308&amp;"-"&amp;$F308,Bonuses!$B$1:$G$1000,6,FALSE)&amp;" yrs, "&amp;VLOOKUP($AB308&amp;"-"&amp;$F308,Bonuses!$B$1:$G$1000,5,FALSE)))</f>
        <v/>
      </c>
    </row>
    <row r="309" spans="1:31" s="21" customFormat="1">
      <c r="A309" s="21" t="s">
        <v>657</v>
      </c>
      <c r="B309" s="21">
        <f t="shared" si="16"/>
        <v>1</v>
      </c>
      <c r="C309" s="21" t="str">
        <f t="shared" si="17"/>
        <v>P</v>
      </c>
      <c r="D309" s="17">
        <f>IF($C309="B",VLOOKUP($A309,Bat!$A$4:$BD$2323,D$1,FALSE),VLOOKUP($A309,Pit!$A$4:$AZ$2261,D$2,FALSE))</f>
        <v>1627</v>
      </c>
      <c r="E309" s="16" t="str">
        <f>IF($C309="B",VLOOKUP($A309,Bat!$A$4:$BD$2323,E$1,FALSE),VLOOKUP($A309,Pit!$A$4:$AZ$2261,E$2,FALSE))</f>
        <v>SP</v>
      </c>
      <c r="F309" s="16" t="str">
        <f>IF($C309="B",VLOOKUP($A309,Bat!$A$4:$BD$2323,F$1,FALSE),VLOOKUP($A309,Pit!$A$4:$AZ$2261,F$2,FALSE))</f>
        <v>Joshua Hall</v>
      </c>
      <c r="G309" s="16">
        <f>IF($C309="B",VLOOKUP($A309,Bat!$A$4:$BD$2323,G$1,FALSE),VLOOKUP($A309,Pit!$A$4:$AZ$2261,G$2,FALSE))</f>
        <v>18</v>
      </c>
      <c r="H309" s="16" t="str">
        <f>IF($C309="B",VLOOKUP($A309,Bat!$A$4:$BD$2323,H$1,FALSE),VLOOKUP($A309,Pit!$A$4:$AZ$2261,H$2,FALSE))</f>
        <v>R</v>
      </c>
      <c r="I309" s="16" t="str">
        <f>IF($C309="B",VLOOKUP($A309,Bat!$A$4:$BD$2323,I$1,FALSE),VLOOKUP($A309,Pit!$A$4:$AZ$2261,I$2,FALSE))</f>
        <v>R</v>
      </c>
      <c r="J309" s="16" t="str">
        <f>IF($C309="B",VLOOKUP($A309,Bat!$A$4:$BD$2323,J$1,FALSE),VLOOKUP($A309,Pit!$A$4:$AZ$2261,J$2,FALSE))</f>
        <v>Normal</v>
      </c>
      <c r="K309" s="17" t="str">
        <f>IF($C309="B",VLOOKUP($A309,Bat!$A$4:$BD$2323,K$1,FALSE),VLOOKUP($A309,Pit!$A$4:$AZ$2261,K$2,FALSE))</f>
        <v>Very Low</v>
      </c>
      <c r="L309" s="16">
        <f>IF($C309="B",VLOOKUP($A309,Bat!$A$4:$BD$2323,L$1,FALSE),VLOOKUP($A309,Pit!$A$4:$AZ$2261,L$2,FALSE))</f>
        <v>6</v>
      </c>
      <c r="M309" s="16">
        <f>IF($C309="B",VLOOKUP($A309,Bat!$A$4:$BD$2323,M$1,FALSE),VLOOKUP($A309,Pit!$A$4:$AZ$2261,M$2,FALSE))</f>
        <v>8</v>
      </c>
      <c r="N309" s="16">
        <f>IF($C309="B",VLOOKUP($A309,Bat!$A$4:$BD$2323,N$1,FALSE),VLOOKUP($A309,Pit!$A$4:$AZ$2261,N$2,FALSE))</f>
        <v>5</v>
      </c>
      <c r="O309" s="16" t="str">
        <f>IF($C309="B",VLOOKUP($A309,Bat!$A$4:$BD$2323,O$1,FALSE),VLOOKUP($A309,Pit!$A$4:$AZ$2261,O$2,FALSE))</f>
        <v>92-94 Mph</v>
      </c>
      <c r="P309" s="17">
        <f>IF($C309="B",VLOOKUP($A309,Bat!$A$4:$BD$2323,P$1,FALSE),VLOOKUP($A309,Pit!$A$4:$AZ$2261,P$2,FALSE))</f>
        <v>9</v>
      </c>
      <c r="Q309" s="18">
        <f>IF($C309="B",VLOOKUP($A309,Bat!$A$4:$BD$2323,Q$1,FALSE),VLOOKUP($A309,Pit!$A$4:$AZ$2261,Q$2,FALSE))</f>
        <v>50.039353346197601</v>
      </c>
      <c r="R309" s="19">
        <f>IF($C309="B",VLOOKUP($A309,Bat!$A$4:$BD$2323,R$1,FALSE),VLOOKUP($A309,Pit!$A$4:$AZ$2261,R$2,FALSE))</f>
        <v>1.2795620985341929</v>
      </c>
      <c r="S309" s="20">
        <f>IF($C309="B",VLOOKUP($A309,Bat!$A$4:$BD$2323,S$1,FALSE),VLOOKUP($A309,Pit!$A$4:$AZ$2261,S$2,FALSE))</f>
        <v>2000000</v>
      </c>
      <c r="T309" s="17" t="str">
        <f>IF(S309="Slot","",VLOOKUP(IF($C309="B",VLOOKUP($A309,Bat!$A$4:$AT$2323,T$1,FALSE),VLOOKUP($A309,Pit!$A$4:$BD$2261,T$2,FALSE)),COND!$A$34:$B$40,2,FALSE))</f>
        <v>EH</v>
      </c>
      <c r="U309" s="21">
        <f>IF($C309="B",VLOOKUP($A309,Bat!$A$4:$AR$1287,44,FALSE),VLOOKUP($A309,Pit!$A$4:$BB$1239,54,FALSE))</f>
        <v>6</v>
      </c>
      <c r="W309" s="21">
        <f t="shared" si="18"/>
        <v>6</v>
      </c>
      <c r="X309" s="22" t="e">
        <f t="shared" si="19"/>
        <v>#N/A</v>
      </c>
      <c r="Y309" s="16" t="str">
        <f>IF(ISERROR(VLOOKUP($E309&amp;$F309,Results!$A$2:$G$413,Y$1,FALSE)),"",VLOOKUP($E309&amp;$F309,Results!$A$2:$G$413,Y$1,FALSE))</f>
        <v/>
      </c>
      <c r="Z309" s="16" t="str">
        <f>IF(ISERROR(VLOOKUP($E309&amp;$F309,Results!$A$2:$G$413,Z$1,FALSE)),"",VLOOKUP($E309&amp;$F309,Results!$A$2:$G$413,Z$1,FALSE))</f>
        <v/>
      </c>
      <c r="AA309" s="16" t="str">
        <f>IF(ISERROR(VLOOKUP($E309&amp;$F309,Results!$A$2:$G$413,AA$1,FALSE)),"",VLOOKUP($E309&amp;$F309,Results!$A$2:$G$413,AA$1,FALSE))</f>
        <v/>
      </c>
      <c r="AB309" s="16" t="str">
        <f>IF(ISERROR(VLOOKUP($E309&amp;$F309,Results!$A$2:$G$413,AB$1,FALSE)),"",VLOOKUP($E309&amp;$F309,Results!$A$2:$G$413,AB$1,FALSE))</f>
        <v/>
      </c>
      <c r="AC309" s="16"/>
      <c r="AD309" s="20" t="str">
        <f>IF(ISERROR(VLOOKUP($AB309&amp;"-"&amp;$F309,Bonuses!$B$1:$G$1000,4,FALSE)),"",INT(VLOOKUP($AB309&amp;"-"&amp;$F309,Bonuses!$B$1:$G$1000,4,FALSE)))</f>
        <v/>
      </c>
      <c r="AE309" s="16" t="str">
        <f>IF(ISERROR(VLOOKUP($AB309&amp;"-"&amp;$F309,Bonuses!$B$1:$G$1000,5,FALSE)),"",IF(VLOOKUP($AB309&amp;"-"&amp;$F309,Bonuses!$B$1:$G$1000,5,FALSE)="","",VLOOKUP($AB309&amp;"-"&amp;$F309,Bonuses!$B$1:$G$1000,6,FALSE)&amp;" yrs, "&amp;VLOOKUP($AB309&amp;"-"&amp;$F309,Bonuses!$B$1:$G$1000,5,FALSE)))</f>
        <v/>
      </c>
    </row>
    <row r="310" spans="1:31" s="21" customFormat="1">
      <c r="A310" s="21" t="s">
        <v>796</v>
      </c>
      <c r="B310" s="21">
        <f t="shared" si="16"/>
        <v>1</v>
      </c>
      <c r="C310" s="21" t="str">
        <f t="shared" si="17"/>
        <v>P</v>
      </c>
      <c r="D310" s="17">
        <f>IF($C310="B",VLOOKUP($A310,Bat!$A$4:$BD$2323,D$1,FALSE),VLOOKUP($A310,Pit!$A$4:$AZ$2261,D$2,FALSE))</f>
        <v>1104</v>
      </c>
      <c r="E310" s="16" t="str">
        <f>IF($C310="B",VLOOKUP($A310,Bat!$A$4:$BD$2323,E$1,FALSE),VLOOKUP($A310,Pit!$A$4:$AZ$2261,E$2,FALSE))</f>
        <v>SP</v>
      </c>
      <c r="F310" s="16" t="str">
        <f>IF($C310="B",VLOOKUP($A310,Bat!$A$4:$BD$2323,F$1,FALSE),VLOOKUP($A310,Pit!$A$4:$AZ$2261,F$2,FALSE))</f>
        <v>Dan McClain</v>
      </c>
      <c r="G310" s="16">
        <f>IF($C310="B",VLOOKUP($A310,Bat!$A$4:$BD$2323,G$1,FALSE),VLOOKUP($A310,Pit!$A$4:$AZ$2261,G$2,FALSE))</f>
        <v>18</v>
      </c>
      <c r="H310" s="16" t="str">
        <f>IF($C310="B",VLOOKUP($A310,Bat!$A$4:$BD$2323,H$1,FALSE),VLOOKUP($A310,Pit!$A$4:$AZ$2261,H$2,FALSE))</f>
        <v>S</v>
      </c>
      <c r="I310" s="16" t="str">
        <f>IF($C310="B",VLOOKUP($A310,Bat!$A$4:$BD$2323,I$1,FALSE),VLOOKUP($A310,Pit!$A$4:$AZ$2261,I$2,FALSE))</f>
        <v>R</v>
      </c>
      <c r="J310" s="16" t="str">
        <f>IF($C310="B",VLOOKUP($A310,Bat!$A$4:$BD$2323,J$1,FALSE),VLOOKUP($A310,Pit!$A$4:$AZ$2261,J$2,FALSE))</f>
        <v>Very High</v>
      </c>
      <c r="K310" s="17" t="str">
        <f>IF($C310="B",VLOOKUP($A310,Bat!$A$4:$BD$2323,K$1,FALSE),VLOOKUP($A310,Pit!$A$4:$AZ$2261,K$2,FALSE))</f>
        <v>High</v>
      </c>
      <c r="L310" s="16">
        <f>IF($C310="B",VLOOKUP($A310,Bat!$A$4:$BD$2323,L$1,FALSE),VLOOKUP($A310,Pit!$A$4:$AZ$2261,L$2,FALSE))</f>
        <v>4</v>
      </c>
      <c r="M310" s="16">
        <f>IF($C310="B",VLOOKUP($A310,Bat!$A$4:$BD$2323,M$1,FALSE),VLOOKUP($A310,Pit!$A$4:$AZ$2261,M$2,FALSE))</f>
        <v>4</v>
      </c>
      <c r="N310" s="16">
        <f>IF($C310="B",VLOOKUP($A310,Bat!$A$4:$BD$2323,N$1,FALSE),VLOOKUP($A310,Pit!$A$4:$AZ$2261,N$2,FALSE))</f>
        <v>9</v>
      </c>
      <c r="O310" s="16" t="str">
        <f>IF($C310="B",VLOOKUP($A310,Bat!$A$4:$BD$2323,O$1,FALSE),VLOOKUP($A310,Pit!$A$4:$AZ$2261,O$2,FALSE))</f>
        <v>83-85 Mph</v>
      </c>
      <c r="P310" s="17">
        <f>IF($C310="B",VLOOKUP($A310,Bat!$A$4:$BD$2323,P$1,FALSE),VLOOKUP($A310,Pit!$A$4:$AZ$2261,P$2,FALSE))</f>
        <v>7</v>
      </c>
      <c r="Q310" s="18">
        <f>IF($C310="B",VLOOKUP($A310,Bat!$A$4:$BD$2323,Q$1,FALSE),VLOOKUP($A310,Pit!$A$4:$AZ$2261,Q$2,FALSE))</f>
        <v>51.169805354810492</v>
      </c>
      <c r="R310" s="19">
        <f>IF($C310="B",VLOOKUP($A310,Bat!$A$4:$BD$2323,R$1,FALSE),VLOOKUP($A310,Pit!$A$4:$AZ$2261,R$2,FALSE))</f>
        <v>1.3693047725561602</v>
      </c>
      <c r="S310" s="20" t="str">
        <f>IF($C310="B",VLOOKUP($A310,Bat!$A$4:$BD$2323,S$1,FALSE),VLOOKUP($A310,Pit!$A$4:$AZ$2261,S$2,FALSE))</f>
        <v>Slot</v>
      </c>
      <c r="T310" s="17" t="str">
        <f>IF(S310="Slot","",VLOOKUP(IF($C310="B",VLOOKUP($A310,Bat!$A$4:$AT$2323,T$1,FALSE),VLOOKUP($A310,Pit!$A$4:$BD$2261,T$2,FALSE)),COND!$A$34:$B$40,2,FALSE))</f>
        <v/>
      </c>
      <c r="U310" s="21">
        <f>IF($C310="B",VLOOKUP($A310,Bat!$A$4:$AR$1287,44,FALSE),VLOOKUP($A310,Pit!$A$4:$BB$1239,54,FALSE))</f>
        <v>0</v>
      </c>
      <c r="W310" s="21">
        <f t="shared" si="18"/>
        <v>0</v>
      </c>
      <c r="X310" s="22" t="e">
        <f t="shared" si="19"/>
        <v>#N/A</v>
      </c>
      <c r="Y310" s="16" t="str">
        <f>IF(ISERROR(VLOOKUP($E310&amp;$F310,Results!$A$2:$G$413,Y$1,FALSE)),"",VLOOKUP($E310&amp;$F310,Results!$A$2:$G$413,Y$1,FALSE))</f>
        <v/>
      </c>
      <c r="Z310" s="16" t="str">
        <f>IF(ISERROR(VLOOKUP($E310&amp;$F310,Results!$A$2:$G$413,Z$1,FALSE)),"",VLOOKUP($E310&amp;$F310,Results!$A$2:$G$413,Z$1,FALSE))</f>
        <v/>
      </c>
      <c r="AA310" s="16" t="str">
        <f>IF(ISERROR(VLOOKUP($E310&amp;$F310,Results!$A$2:$G$413,AA$1,FALSE)),"",VLOOKUP($E310&amp;$F310,Results!$A$2:$G$413,AA$1,FALSE))</f>
        <v/>
      </c>
      <c r="AB310" s="16" t="str">
        <f>IF(ISERROR(VLOOKUP($E310&amp;$F310,Results!$A$2:$G$413,AB$1,FALSE)),"",VLOOKUP($E310&amp;$F310,Results!$A$2:$G$413,AB$1,FALSE))</f>
        <v/>
      </c>
      <c r="AC310" s="16"/>
      <c r="AD310" s="20" t="str">
        <f>IF(ISERROR(VLOOKUP($AB310&amp;"-"&amp;$F310,Bonuses!$B$1:$G$1000,4,FALSE)),"",INT(VLOOKUP($AB310&amp;"-"&amp;$F310,Bonuses!$B$1:$G$1000,4,FALSE)))</f>
        <v/>
      </c>
      <c r="AE310" s="16" t="str">
        <f>IF(ISERROR(VLOOKUP($AB310&amp;"-"&amp;$F310,Bonuses!$B$1:$G$1000,5,FALSE)),"",IF(VLOOKUP($AB310&amp;"-"&amp;$F310,Bonuses!$B$1:$G$1000,5,FALSE)="","",VLOOKUP($AB310&amp;"-"&amp;$F310,Bonuses!$B$1:$G$1000,6,FALSE)&amp;" yrs, "&amp;VLOOKUP($AB310&amp;"-"&amp;$F310,Bonuses!$B$1:$G$1000,5,FALSE)))</f>
        <v/>
      </c>
    </row>
    <row r="311" spans="1:31" s="21" customFormat="1">
      <c r="A311" s="21" t="s">
        <v>98</v>
      </c>
      <c r="B311" s="21">
        <f t="shared" si="16"/>
        <v>1</v>
      </c>
      <c r="C311" s="21" t="str">
        <f t="shared" si="17"/>
        <v>P</v>
      </c>
      <c r="D311" s="17">
        <f>IF($C311="B",VLOOKUP($A311,Bat!$A$4:$BD$2323,D$1,FALSE),VLOOKUP($A311,Pit!$A$4:$AZ$2261,D$2,FALSE))</f>
        <v>1809</v>
      </c>
      <c r="E311" s="16" t="str">
        <f>IF($C311="B",VLOOKUP($A311,Bat!$A$4:$BD$2323,E$1,FALSE),VLOOKUP($A311,Pit!$A$4:$AZ$2261,E$2,FALSE))</f>
        <v>MR</v>
      </c>
      <c r="F311" s="16" t="str">
        <f>IF($C311="B",VLOOKUP($A311,Bat!$A$4:$BD$2323,F$1,FALSE),VLOOKUP($A311,Pit!$A$4:$AZ$2261,F$2,FALSE))</f>
        <v>Gregg Williams</v>
      </c>
      <c r="G311" s="16">
        <f>IF($C311="B",VLOOKUP($A311,Bat!$A$4:$BD$2323,G$1,FALSE),VLOOKUP($A311,Pit!$A$4:$AZ$2261,G$2,FALSE))</f>
        <v>18</v>
      </c>
      <c r="H311" s="16" t="str">
        <f>IF($C311="B",VLOOKUP($A311,Bat!$A$4:$BD$2323,H$1,FALSE),VLOOKUP($A311,Pit!$A$4:$AZ$2261,H$2,FALSE))</f>
        <v>L</v>
      </c>
      <c r="I311" s="16" t="str">
        <f>IF($C311="B",VLOOKUP($A311,Bat!$A$4:$BD$2323,I$1,FALSE),VLOOKUP($A311,Pit!$A$4:$AZ$2261,I$2,FALSE))</f>
        <v>L</v>
      </c>
      <c r="J311" s="16" t="str">
        <f>IF($C311="B",VLOOKUP($A311,Bat!$A$4:$BD$2323,J$1,FALSE),VLOOKUP($A311,Pit!$A$4:$AZ$2261,J$2,FALSE))</f>
        <v>Normal</v>
      </c>
      <c r="K311" s="17" t="str">
        <f>IF($C311="B",VLOOKUP($A311,Bat!$A$4:$BD$2323,K$1,FALSE),VLOOKUP($A311,Pit!$A$4:$AZ$2261,K$2,FALSE))</f>
        <v>Normal</v>
      </c>
      <c r="L311" s="16">
        <f>IF($C311="B",VLOOKUP($A311,Bat!$A$4:$BD$2323,L$1,FALSE),VLOOKUP($A311,Pit!$A$4:$AZ$2261,L$2,FALSE))</f>
        <v>5</v>
      </c>
      <c r="M311" s="16">
        <f>IF($C311="B",VLOOKUP($A311,Bat!$A$4:$BD$2323,M$1,FALSE),VLOOKUP($A311,Pit!$A$4:$AZ$2261,M$2,FALSE))</f>
        <v>6</v>
      </c>
      <c r="N311" s="16">
        <f>IF($C311="B",VLOOKUP($A311,Bat!$A$4:$BD$2323,N$1,FALSE),VLOOKUP($A311,Pit!$A$4:$AZ$2261,N$2,FALSE))</f>
        <v>7</v>
      </c>
      <c r="O311" s="16" t="str">
        <f>IF($C311="B",VLOOKUP($A311,Bat!$A$4:$BD$2323,O$1,FALSE),VLOOKUP($A311,Pit!$A$4:$AZ$2261,O$2,FALSE))</f>
        <v>87-89 Mph</v>
      </c>
      <c r="P311" s="17">
        <f>IF($C311="B",VLOOKUP($A311,Bat!$A$4:$BD$2323,P$1,FALSE),VLOOKUP($A311,Pit!$A$4:$AZ$2261,P$2,FALSE))</f>
        <v>8</v>
      </c>
      <c r="Q311" s="18">
        <f>IF($C311="B",VLOOKUP($A311,Bat!$A$4:$BD$2323,Q$1,FALSE),VLOOKUP($A311,Pit!$A$4:$AZ$2261,Q$2,FALSE))</f>
        <v>30</v>
      </c>
      <c r="R311" s="19">
        <f>IF($C311="B",VLOOKUP($A311,Bat!$A$4:$BD$2323,R$1,FALSE),VLOOKUP($A311,Pit!$A$4:$AZ$2261,R$2,FALSE))</f>
        <v>-0.31129283494106624</v>
      </c>
      <c r="S311" s="20">
        <f>IF($C311="B",VLOOKUP($A311,Bat!$A$4:$BD$2323,S$1,FALSE),VLOOKUP($A311,Pit!$A$4:$AZ$2261,S$2,FALSE))</f>
        <v>2100000</v>
      </c>
      <c r="T311" s="17" t="str">
        <f>IF(S311="Slot","",VLOOKUP(IF($C311="B",VLOOKUP($A311,Bat!$A$4:$AT$2323,T$1,FALSE),VLOOKUP($A311,Pit!$A$4:$BD$2261,T$2,FALSE)),COND!$A$34:$B$40,2,FALSE))</f>
        <v>EH</v>
      </c>
      <c r="U311" s="21">
        <f>IF($C311="B",VLOOKUP($A311,Bat!$A$4:$AR$1287,44,FALSE),VLOOKUP($A311,Pit!$A$4:$BB$1239,54,FALSE))</f>
        <v>0</v>
      </c>
      <c r="W311" s="21">
        <f t="shared" si="18"/>
        <v>0</v>
      </c>
      <c r="X311" s="22" t="e">
        <f t="shared" si="19"/>
        <v>#N/A</v>
      </c>
      <c r="Y311" s="16" t="str">
        <f>IF(ISERROR(VLOOKUP($E311&amp;$F311,Results!$A$2:$G$413,Y$1,FALSE)),"",VLOOKUP($E311&amp;$F311,Results!$A$2:$G$413,Y$1,FALSE))</f>
        <v/>
      </c>
      <c r="Z311" s="16" t="str">
        <f>IF(ISERROR(VLOOKUP($E311&amp;$F311,Results!$A$2:$G$413,Z$1,FALSE)),"",VLOOKUP($E311&amp;$F311,Results!$A$2:$G$413,Z$1,FALSE))</f>
        <v/>
      </c>
      <c r="AA311" s="16" t="str">
        <f>IF(ISERROR(VLOOKUP($E311&amp;$F311,Results!$A$2:$G$413,AA$1,FALSE)),"",VLOOKUP($E311&amp;$F311,Results!$A$2:$G$413,AA$1,FALSE))</f>
        <v/>
      </c>
      <c r="AB311" s="16" t="str">
        <f>IF(ISERROR(VLOOKUP($E311&amp;$F311,Results!$A$2:$G$413,AB$1,FALSE)),"",VLOOKUP($E311&amp;$F311,Results!$A$2:$G$413,AB$1,FALSE))</f>
        <v/>
      </c>
      <c r="AC311" s="16"/>
      <c r="AD311" s="20" t="str">
        <f>IF(ISERROR(VLOOKUP($AB311&amp;"-"&amp;$F311,Bonuses!$B$1:$G$1000,4,FALSE)),"",INT(VLOOKUP($AB311&amp;"-"&amp;$F311,Bonuses!$B$1:$G$1000,4,FALSE)))</f>
        <v/>
      </c>
      <c r="AE311" s="16" t="str">
        <f>IF(ISERROR(VLOOKUP($AB311&amp;"-"&amp;$F311,Bonuses!$B$1:$G$1000,5,FALSE)),"",IF(VLOOKUP($AB311&amp;"-"&amp;$F311,Bonuses!$B$1:$G$1000,5,FALSE)="","",VLOOKUP($AB311&amp;"-"&amp;$F311,Bonuses!$B$1:$G$1000,6,FALSE)&amp;" yrs, "&amp;VLOOKUP($AB311&amp;"-"&amp;$F311,Bonuses!$B$1:$G$1000,5,FALSE)))</f>
        <v/>
      </c>
    </row>
    <row r="312" spans="1:31" s="21" customFormat="1">
      <c r="A312" s="21" t="s">
        <v>646</v>
      </c>
      <c r="B312" s="21">
        <f t="shared" si="16"/>
        <v>1</v>
      </c>
      <c r="C312" s="21" t="str">
        <f t="shared" si="17"/>
        <v>P</v>
      </c>
      <c r="D312" s="17">
        <f>IF($C312="B",VLOOKUP($A312,Bat!$A$4:$BD$2323,D$1,FALSE),VLOOKUP($A312,Pit!$A$4:$AZ$2261,D$2,FALSE))</f>
        <v>2836</v>
      </c>
      <c r="E312" s="16" t="str">
        <f>IF($C312="B",VLOOKUP($A312,Bat!$A$4:$BD$2323,E$1,FALSE),VLOOKUP($A312,Pit!$A$4:$AZ$2261,E$2,FALSE))</f>
        <v>MR</v>
      </c>
      <c r="F312" s="16" t="str">
        <f>IF($C312="B",VLOOKUP($A312,Bat!$A$4:$BD$2323,F$1,FALSE),VLOOKUP($A312,Pit!$A$4:$AZ$2261,F$2,FALSE))</f>
        <v>Michael Hill</v>
      </c>
      <c r="G312" s="16">
        <f>IF($C312="B",VLOOKUP($A312,Bat!$A$4:$BD$2323,G$1,FALSE),VLOOKUP($A312,Pit!$A$4:$AZ$2261,G$2,FALSE))</f>
        <v>21</v>
      </c>
      <c r="H312" s="16" t="str">
        <f>IF($C312="B",VLOOKUP($A312,Bat!$A$4:$BD$2323,H$1,FALSE),VLOOKUP($A312,Pit!$A$4:$AZ$2261,H$2,FALSE))</f>
        <v>L</v>
      </c>
      <c r="I312" s="16" t="str">
        <f>IF($C312="B",VLOOKUP($A312,Bat!$A$4:$BD$2323,I$1,FALSE),VLOOKUP($A312,Pit!$A$4:$AZ$2261,I$2,FALSE))</f>
        <v>L</v>
      </c>
      <c r="J312" s="16" t="str">
        <f>IF($C312="B",VLOOKUP($A312,Bat!$A$4:$BD$2323,J$1,FALSE),VLOOKUP($A312,Pit!$A$4:$AZ$2261,J$2,FALSE))</f>
        <v>Normal</v>
      </c>
      <c r="K312" s="17" t="str">
        <f>IF($C312="B",VLOOKUP($A312,Bat!$A$4:$BD$2323,K$1,FALSE),VLOOKUP($A312,Pit!$A$4:$AZ$2261,K$2,FALSE))</f>
        <v>High</v>
      </c>
      <c r="L312" s="16">
        <f>IF($C312="B",VLOOKUP($A312,Bat!$A$4:$BD$2323,L$1,FALSE),VLOOKUP($A312,Pit!$A$4:$AZ$2261,L$2,FALSE))</f>
        <v>8</v>
      </c>
      <c r="M312" s="16">
        <f>IF($C312="B",VLOOKUP($A312,Bat!$A$4:$BD$2323,M$1,FALSE),VLOOKUP($A312,Pit!$A$4:$AZ$2261,M$2,FALSE))</f>
        <v>4</v>
      </c>
      <c r="N312" s="16">
        <f>IF($C312="B",VLOOKUP($A312,Bat!$A$4:$BD$2323,N$1,FALSE),VLOOKUP($A312,Pit!$A$4:$AZ$2261,N$2,FALSE))</f>
        <v>6</v>
      </c>
      <c r="O312" s="16" t="str">
        <f>IF($C312="B",VLOOKUP($A312,Bat!$A$4:$BD$2323,O$1,FALSE),VLOOKUP($A312,Pit!$A$4:$AZ$2261,O$2,FALSE))</f>
        <v>92-94 Mph</v>
      </c>
      <c r="P312" s="17">
        <f>IF($C312="B",VLOOKUP($A312,Bat!$A$4:$BD$2323,P$1,FALSE),VLOOKUP($A312,Pit!$A$4:$AZ$2261,P$2,FALSE))</f>
        <v>1</v>
      </c>
      <c r="Q312" s="18">
        <f>IF($C312="B",VLOOKUP($A312,Bat!$A$4:$BD$2323,Q$1,FALSE),VLOOKUP($A312,Pit!$A$4:$AZ$2261,Q$2,FALSE))</f>
        <v>50.509618808872546</v>
      </c>
      <c r="R312" s="19">
        <f>IF($C312="B",VLOOKUP($A312,Bat!$A$4:$BD$2323,R$1,FALSE),VLOOKUP($A312,Pit!$A$4:$AZ$2261,R$2,FALSE))</f>
        <v>1.316894846673065</v>
      </c>
      <c r="S312" s="20" t="str">
        <f>IF($C312="B",VLOOKUP($A312,Bat!$A$4:$BD$2323,S$1,FALSE),VLOOKUP($A312,Pit!$A$4:$AZ$2261,S$2,FALSE))</f>
        <v>Slot</v>
      </c>
      <c r="T312" s="17" t="str">
        <f>IF(S312="Slot","",VLOOKUP(IF($C312="B",VLOOKUP($A312,Bat!$A$4:$AT$2323,T$1,FALSE),VLOOKUP($A312,Pit!$A$4:$BD$2261,T$2,FALSE)),COND!$A$34:$B$40,2,FALSE))</f>
        <v/>
      </c>
      <c r="U312" s="21">
        <f>IF($C312="B",VLOOKUP($A312,Bat!$A$4:$AR$1287,44,FALSE),VLOOKUP($A312,Pit!$A$4:$BB$1239,54,FALSE))</f>
        <v>0</v>
      </c>
      <c r="W312" s="21">
        <f t="shared" si="18"/>
        <v>0</v>
      </c>
      <c r="X312" s="22" t="e">
        <f t="shared" si="19"/>
        <v>#N/A</v>
      </c>
      <c r="Y312" s="16" t="str">
        <f>IF(ISERROR(VLOOKUP($E312&amp;$F312,Results!$A$2:$G$413,Y$1,FALSE)),"",VLOOKUP($E312&amp;$F312,Results!$A$2:$G$413,Y$1,FALSE))</f>
        <v/>
      </c>
      <c r="Z312" s="16" t="str">
        <f>IF(ISERROR(VLOOKUP($E312&amp;$F312,Results!$A$2:$G$413,Z$1,FALSE)),"",VLOOKUP($E312&amp;$F312,Results!$A$2:$G$413,Z$1,FALSE))</f>
        <v/>
      </c>
      <c r="AA312" s="16" t="str">
        <f>IF(ISERROR(VLOOKUP($E312&amp;$F312,Results!$A$2:$G$413,AA$1,FALSE)),"",VLOOKUP($E312&amp;$F312,Results!$A$2:$G$413,AA$1,FALSE))</f>
        <v/>
      </c>
      <c r="AB312" s="16" t="str">
        <f>IF(ISERROR(VLOOKUP($E312&amp;$F312,Results!$A$2:$G$413,AB$1,FALSE)),"",VLOOKUP($E312&amp;$F312,Results!$A$2:$G$413,AB$1,FALSE))</f>
        <v/>
      </c>
      <c r="AC312" s="16"/>
      <c r="AD312" s="20" t="str">
        <f>IF(ISERROR(VLOOKUP($AB312&amp;"-"&amp;$F312,Bonuses!$B$1:$G$1000,4,FALSE)),"",INT(VLOOKUP($AB312&amp;"-"&amp;$F312,Bonuses!$B$1:$G$1000,4,FALSE)))</f>
        <v/>
      </c>
      <c r="AE312" s="16" t="str">
        <f>IF(ISERROR(VLOOKUP($AB312&amp;"-"&amp;$F312,Bonuses!$B$1:$G$1000,5,FALSE)),"",IF(VLOOKUP($AB312&amp;"-"&amp;$F312,Bonuses!$B$1:$G$1000,5,FALSE)="","",VLOOKUP($AB312&amp;"-"&amp;$F312,Bonuses!$B$1:$G$1000,6,FALSE)&amp;" yrs, "&amp;VLOOKUP($AB312&amp;"-"&amp;$F312,Bonuses!$B$1:$G$1000,5,FALSE)))</f>
        <v/>
      </c>
    </row>
    <row r="313" spans="1:31" s="21" customFormat="1">
      <c r="A313" s="21" t="s">
        <v>794</v>
      </c>
      <c r="B313" s="21">
        <f t="shared" si="16"/>
        <v>1</v>
      </c>
      <c r="C313" s="21" t="str">
        <f t="shared" si="17"/>
        <v>P</v>
      </c>
      <c r="D313" s="17">
        <f>IF($C313="B",VLOOKUP($A313,Bat!$A$4:$BD$2323,D$1,FALSE),VLOOKUP($A313,Pit!$A$4:$AZ$2261,D$2,FALSE))</f>
        <v>2198</v>
      </c>
      <c r="E313" s="16" t="str">
        <f>IF($C313="B",VLOOKUP($A313,Bat!$A$4:$BD$2323,E$1,FALSE),VLOOKUP($A313,Pit!$A$4:$AZ$2261,E$2,FALSE))</f>
        <v>SP</v>
      </c>
      <c r="F313" s="16" t="str">
        <f>IF($C313="B",VLOOKUP($A313,Bat!$A$4:$BD$2323,F$1,FALSE),VLOOKUP($A313,Pit!$A$4:$AZ$2261,F$2,FALSE))</f>
        <v>James Jordan</v>
      </c>
      <c r="G313" s="16">
        <f>IF($C313="B",VLOOKUP($A313,Bat!$A$4:$BD$2323,G$1,FALSE),VLOOKUP($A313,Pit!$A$4:$AZ$2261,G$2,FALSE))</f>
        <v>22</v>
      </c>
      <c r="H313" s="16" t="str">
        <f>IF($C313="B",VLOOKUP($A313,Bat!$A$4:$BD$2323,H$1,FALSE),VLOOKUP($A313,Pit!$A$4:$AZ$2261,H$2,FALSE))</f>
        <v>R</v>
      </c>
      <c r="I313" s="16" t="str">
        <f>IF($C313="B",VLOOKUP($A313,Bat!$A$4:$BD$2323,I$1,FALSE),VLOOKUP($A313,Pit!$A$4:$AZ$2261,I$2,FALSE))</f>
        <v>R</v>
      </c>
      <c r="J313" s="16" t="str">
        <f>IF($C313="B",VLOOKUP($A313,Bat!$A$4:$BD$2323,J$1,FALSE),VLOOKUP($A313,Pit!$A$4:$AZ$2261,J$2,FALSE))</f>
        <v>Very Low</v>
      </c>
      <c r="K313" s="17" t="str">
        <f>IF($C313="B",VLOOKUP($A313,Bat!$A$4:$BD$2323,K$1,FALSE),VLOOKUP($A313,Pit!$A$4:$AZ$2261,K$2,FALSE))</f>
        <v>Very High</v>
      </c>
      <c r="L313" s="16">
        <f>IF($C313="B",VLOOKUP($A313,Bat!$A$4:$BD$2323,L$1,FALSE),VLOOKUP($A313,Pit!$A$4:$AZ$2261,L$2,FALSE))</f>
        <v>6</v>
      </c>
      <c r="M313" s="16">
        <f>IF($C313="B",VLOOKUP($A313,Bat!$A$4:$BD$2323,M$1,FALSE),VLOOKUP($A313,Pit!$A$4:$AZ$2261,M$2,FALSE))</f>
        <v>5</v>
      </c>
      <c r="N313" s="16">
        <f>IF($C313="B",VLOOKUP($A313,Bat!$A$4:$BD$2323,N$1,FALSE),VLOOKUP($A313,Pit!$A$4:$AZ$2261,N$2,FALSE))</f>
        <v>6</v>
      </c>
      <c r="O313" s="16" t="str">
        <f>IF($C313="B",VLOOKUP($A313,Bat!$A$4:$BD$2323,O$1,FALSE),VLOOKUP($A313,Pit!$A$4:$AZ$2261,O$2,FALSE))</f>
        <v>93-95 Mph</v>
      </c>
      <c r="P313" s="17">
        <f>IF($C313="B",VLOOKUP($A313,Bat!$A$4:$BD$2323,P$1,FALSE),VLOOKUP($A313,Pit!$A$4:$AZ$2261,P$2,FALSE))</f>
        <v>4</v>
      </c>
      <c r="Q313" s="18">
        <f>IF($C313="B",VLOOKUP($A313,Bat!$A$4:$BD$2323,Q$1,FALSE),VLOOKUP($A313,Pit!$A$4:$AZ$2261,Q$2,FALSE))</f>
        <v>47.325946116937374</v>
      </c>
      <c r="R313" s="19">
        <f>IF($C313="B",VLOOKUP($A313,Bat!$A$4:$BD$2323,R$1,FALSE),VLOOKUP($A313,Pit!$A$4:$AZ$2261,R$2,FALSE))</f>
        <v>1.0641540859789806</v>
      </c>
      <c r="S313" s="20" t="str">
        <f>IF($C313="B",VLOOKUP($A313,Bat!$A$4:$BD$2323,S$1,FALSE),VLOOKUP($A313,Pit!$A$4:$AZ$2261,S$2,FALSE))</f>
        <v>Slot</v>
      </c>
      <c r="T313" s="17" t="str">
        <f>IF(S313="Slot","",VLOOKUP(IF($C313="B",VLOOKUP($A313,Bat!$A$4:$AT$2323,T$1,FALSE),VLOOKUP($A313,Pit!$A$4:$BD$2261,T$2,FALSE)),COND!$A$34:$B$40,2,FALSE))</f>
        <v/>
      </c>
      <c r="U313" s="21">
        <f>IF($C313="B",VLOOKUP($A313,Bat!$A$4:$AR$1287,44,FALSE),VLOOKUP($A313,Pit!$A$4:$BB$1239,54,FALSE))</f>
        <v>0</v>
      </c>
      <c r="W313" s="21">
        <f t="shared" si="18"/>
        <v>0</v>
      </c>
      <c r="X313" s="22" t="e">
        <f t="shared" si="19"/>
        <v>#N/A</v>
      </c>
      <c r="Y313" s="16" t="str">
        <f>IF(ISERROR(VLOOKUP($E313&amp;$F313,Results!$A$2:$G$413,Y$1,FALSE)),"",VLOOKUP($E313&amp;$F313,Results!$A$2:$G$413,Y$1,FALSE))</f>
        <v/>
      </c>
      <c r="Z313" s="16" t="str">
        <f>IF(ISERROR(VLOOKUP($E313&amp;$F313,Results!$A$2:$G$413,Z$1,FALSE)),"",VLOOKUP($E313&amp;$F313,Results!$A$2:$G$413,Z$1,FALSE))</f>
        <v/>
      </c>
      <c r="AA313" s="16" t="str">
        <f>IF(ISERROR(VLOOKUP($E313&amp;$F313,Results!$A$2:$G$413,AA$1,FALSE)),"",VLOOKUP($E313&amp;$F313,Results!$A$2:$G$413,AA$1,FALSE))</f>
        <v/>
      </c>
      <c r="AB313" s="16" t="str">
        <f>IF(ISERROR(VLOOKUP($E313&amp;$F313,Results!$A$2:$G$413,AB$1,FALSE)),"",VLOOKUP($E313&amp;$F313,Results!$A$2:$G$413,AB$1,FALSE))</f>
        <v/>
      </c>
      <c r="AC313" s="16"/>
      <c r="AD313" s="20" t="str">
        <f>IF(ISERROR(VLOOKUP($AB313&amp;"-"&amp;$F313,Bonuses!$B$1:$G$1000,4,FALSE)),"",INT(VLOOKUP($AB313&amp;"-"&amp;$F313,Bonuses!$B$1:$G$1000,4,FALSE)))</f>
        <v/>
      </c>
      <c r="AE313" s="16" t="str">
        <f>IF(ISERROR(VLOOKUP($AB313&amp;"-"&amp;$F313,Bonuses!$B$1:$G$1000,5,FALSE)),"",IF(VLOOKUP($AB313&amp;"-"&amp;$F313,Bonuses!$B$1:$G$1000,5,FALSE)="","",VLOOKUP($AB313&amp;"-"&amp;$F313,Bonuses!$B$1:$G$1000,6,FALSE)&amp;" yrs, "&amp;VLOOKUP($AB313&amp;"-"&amp;$F313,Bonuses!$B$1:$G$1000,5,FALSE)))</f>
        <v/>
      </c>
    </row>
    <row r="314" spans="1:31" s="21" customFormat="1">
      <c r="A314" s="21" t="s">
        <v>654</v>
      </c>
      <c r="B314" s="21">
        <f t="shared" si="16"/>
        <v>1</v>
      </c>
      <c r="C314" s="21" t="str">
        <f t="shared" si="17"/>
        <v>P</v>
      </c>
      <c r="D314" s="17">
        <f>IF($C314="B",VLOOKUP($A314,Bat!$A$4:$BD$2323,D$1,FALSE),VLOOKUP($A314,Pit!$A$4:$AZ$2261,D$2,FALSE))</f>
        <v>2546</v>
      </c>
      <c r="E314" s="16" t="str">
        <f>IF($C314="B",VLOOKUP($A314,Bat!$A$4:$BD$2323,E$1,FALSE),VLOOKUP($A314,Pit!$A$4:$AZ$2261,E$2,FALSE))</f>
        <v>SP</v>
      </c>
      <c r="F314" s="16" t="str">
        <f>IF($C314="B",VLOOKUP($A314,Bat!$A$4:$BD$2323,F$1,FALSE),VLOOKUP($A314,Pit!$A$4:$AZ$2261,F$2,FALSE))</f>
        <v>César León</v>
      </c>
      <c r="G314" s="16">
        <f>IF($C314="B",VLOOKUP($A314,Bat!$A$4:$BD$2323,G$1,FALSE),VLOOKUP($A314,Pit!$A$4:$AZ$2261,G$2,FALSE))</f>
        <v>21</v>
      </c>
      <c r="H314" s="16" t="str">
        <f>IF($C314="B",VLOOKUP($A314,Bat!$A$4:$BD$2323,H$1,FALSE),VLOOKUP($A314,Pit!$A$4:$AZ$2261,H$2,FALSE))</f>
        <v>L</v>
      </c>
      <c r="I314" s="16" t="str">
        <f>IF($C314="B",VLOOKUP($A314,Bat!$A$4:$BD$2323,I$1,FALSE),VLOOKUP($A314,Pit!$A$4:$AZ$2261,I$2,FALSE))</f>
        <v>L</v>
      </c>
      <c r="J314" s="16" t="str">
        <f>IF($C314="B",VLOOKUP($A314,Bat!$A$4:$BD$2323,J$1,FALSE),VLOOKUP($A314,Pit!$A$4:$AZ$2261,J$2,FALSE))</f>
        <v>Normal</v>
      </c>
      <c r="K314" s="17" t="str">
        <f>IF($C314="B",VLOOKUP($A314,Bat!$A$4:$BD$2323,K$1,FALSE),VLOOKUP($A314,Pit!$A$4:$AZ$2261,K$2,FALSE))</f>
        <v>High</v>
      </c>
      <c r="L314" s="16">
        <f>IF($C314="B",VLOOKUP($A314,Bat!$A$4:$BD$2323,L$1,FALSE),VLOOKUP($A314,Pit!$A$4:$AZ$2261,L$2,FALSE))</f>
        <v>5</v>
      </c>
      <c r="M314" s="16">
        <f>IF($C314="B",VLOOKUP($A314,Bat!$A$4:$BD$2323,M$1,FALSE),VLOOKUP($A314,Pit!$A$4:$AZ$2261,M$2,FALSE))</f>
        <v>8</v>
      </c>
      <c r="N314" s="16">
        <f>IF($C314="B",VLOOKUP($A314,Bat!$A$4:$BD$2323,N$1,FALSE),VLOOKUP($A314,Pit!$A$4:$AZ$2261,N$2,FALSE))</f>
        <v>5</v>
      </c>
      <c r="O314" s="16" t="str">
        <f>IF($C314="B",VLOOKUP($A314,Bat!$A$4:$BD$2323,O$1,FALSE),VLOOKUP($A314,Pit!$A$4:$AZ$2261,O$2,FALSE))</f>
        <v>92-94 Mph</v>
      </c>
      <c r="P314" s="17">
        <f>IF($C314="B",VLOOKUP($A314,Bat!$A$4:$BD$2323,P$1,FALSE),VLOOKUP($A314,Pit!$A$4:$AZ$2261,P$2,FALSE))</f>
        <v>2</v>
      </c>
      <c r="Q314" s="18">
        <f>IF($C314="B",VLOOKUP($A314,Bat!$A$4:$BD$2323,Q$1,FALSE),VLOOKUP($A314,Pit!$A$4:$AZ$2261,Q$2,FALSE))</f>
        <v>48.939805473007134</v>
      </c>
      <c r="R314" s="19">
        <f>IF($C314="B",VLOOKUP($A314,Bat!$A$4:$BD$2323,R$1,FALSE),VLOOKUP($A314,Pit!$A$4:$AZ$2261,R$2,FALSE))</f>
        <v>1.1922727969066433</v>
      </c>
      <c r="S314" s="20" t="str">
        <f>IF($C314="B",VLOOKUP($A314,Bat!$A$4:$BD$2323,S$1,FALSE),VLOOKUP($A314,Pit!$A$4:$AZ$2261,S$2,FALSE))</f>
        <v>Slot</v>
      </c>
      <c r="T314" s="17" t="str">
        <f>IF(S314="Slot","",VLOOKUP(IF($C314="B",VLOOKUP($A314,Bat!$A$4:$AT$2323,T$1,FALSE),VLOOKUP($A314,Pit!$A$4:$BD$2261,T$2,FALSE)),COND!$A$34:$B$40,2,FALSE))</f>
        <v/>
      </c>
      <c r="U314" s="21">
        <f>IF($C314="B",VLOOKUP($A314,Bat!$A$4:$AR$1287,44,FALSE),VLOOKUP($A314,Pit!$A$4:$BB$1239,54,FALSE))</f>
        <v>0</v>
      </c>
      <c r="W314" s="21">
        <f t="shared" si="18"/>
        <v>0</v>
      </c>
      <c r="X314" s="22" t="e">
        <f t="shared" si="19"/>
        <v>#N/A</v>
      </c>
      <c r="Y314" s="16" t="str">
        <f>IF(ISERROR(VLOOKUP($E314&amp;$F314,Results!$A$2:$G$413,Y$1,FALSE)),"",VLOOKUP($E314&amp;$F314,Results!$A$2:$G$413,Y$1,FALSE))</f>
        <v/>
      </c>
      <c r="Z314" s="16" t="str">
        <f>IF(ISERROR(VLOOKUP($E314&amp;$F314,Results!$A$2:$G$413,Z$1,FALSE)),"",VLOOKUP($E314&amp;$F314,Results!$A$2:$G$413,Z$1,FALSE))</f>
        <v/>
      </c>
      <c r="AA314" s="16" t="str">
        <f>IF(ISERROR(VLOOKUP($E314&amp;$F314,Results!$A$2:$G$413,AA$1,FALSE)),"",VLOOKUP($E314&amp;$F314,Results!$A$2:$G$413,AA$1,FALSE))</f>
        <v/>
      </c>
      <c r="AB314" s="16" t="str">
        <f>IF(ISERROR(VLOOKUP($E314&amp;$F314,Results!$A$2:$G$413,AB$1,FALSE)),"",VLOOKUP($E314&amp;$F314,Results!$A$2:$G$413,AB$1,FALSE))</f>
        <v/>
      </c>
      <c r="AC314" s="16"/>
      <c r="AD314" s="20" t="str">
        <f>IF(ISERROR(VLOOKUP($AB314&amp;"-"&amp;$F314,Bonuses!$B$1:$G$1000,4,FALSE)),"",INT(VLOOKUP($AB314&amp;"-"&amp;$F314,Bonuses!$B$1:$G$1000,4,FALSE)))</f>
        <v/>
      </c>
      <c r="AE314" s="16" t="str">
        <f>IF(ISERROR(VLOOKUP($AB314&amp;"-"&amp;$F314,Bonuses!$B$1:$G$1000,5,FALSE)),"",IF(VLOOKUP($AB314&amp;"-"&amp;$F314,Bonuses!$B$1:$G$1000,5,FALSE)="","",VLOOKUP($AB314&amp;"-"&amp;$F314,Bonuses!$B$1:$G$1000,6,FALSE)&amp;" yrs, "&amp;VLOOKUP($AB314&amp;"-"&amp;$F314,Bonuses!$B$1:$G$1000,5,FALSE)))</f>
        <v/>
      </c>
    </row>
    <row r="315" spans="1:31" s="21" customFormat="1">
      <c r="A315" s="21" t="s">
        <v>660</v>
      </c>
      <c r="B315" s="21">
        <f t="shared" si="16"/>
        <v>1</v>
      </c>
      <c r="C315" s="21" t="str">
        <f t="shared" si="17"/>
        <v>P</v>
      </c>
      <c r="D315" s="17">
        <f>IF($C315="B",VLOOKUP($A315,Bat!$A$4:$BD$2323,D$1,FALSE),VLOOKUP($A315,Pit!$A$4:$AZ$2261,D$2,FALSE))</f>
        <v>1807</v>
      </c>
      <c r="E315" s="16" t="str">
        <f>IF($C315="B",VLOOKUP($A315,Bat!$A$4:$BD$2323,E$1,FALSE),VLOOKUP($A315,Pit!$A$4:$AZ$2261,E$2,FALSE))</f>
        <v>CL</v>
      </c>
      <c r="F315" s="16" t="str">
        <f>IF($C315="B",VLOOKUP($A315,Bat!$A$4:$BD$2323,F$1,FALSE),VLOOKUP($A315,Pit!$A$4:$AZ$2261,F$2,FALSE))</f>
        <v>Eddie Deringer</v>
      </c>
      <c r="G315" s="16">
        <f>IF($C315="B",VLOOKUP($A315,Bat!$A$4:$BD$2323,G$1,FALSE),VLOOKUP($A315,Pit!$A$4:$AZ$2261,G$2,FALSE))</f>
        <v>18</v>
      </c>
      <c r="H315" s="16" t="str">
        <f>IF($C315="B",VLOOKUP($A315,Bat!$A$4:$BD$2323,H$1,FALSE),VLOOKUP($A315,Pit!$A$4:$AZ$2261,H$2,FALSE))</f>
        <v>R</v>
      </c>
      <c r="I315" s="16" t="str">
        <f>IF($C315="B",VLOOKUP($A315,Bat!$A$4:$BD$2323,I$1,FALSE),VLOOKUP($A315,Pit!$A$4:$AZ$2261,I$2,FALSE))</f>
        <v>R</v>
      </c>
      <c r="J315" s="16" t="str">
        <f>IF($C315="B",VLOOKUP($A315,Bat!$A$4:$BD$2323,J$1,FALSE),VLOOKUP($A315,Pit!$A$4:$AZ$2261,J$2,FALSE))</f>
        <v>High</v>
      </c>
      <c r="K315" s="17" t="str">
        <f>IF($C315="B",VLOOKUP($A315,Bat!$A$4:$BD$2323,K$1,FALSE),VLOOKUP($A315,Pit!$A$4:$AZ$2261,K$2,FALSE))</f>
        <v>Normal</v>
      </c>
      <c r="L315" s="16">
        <f>IF($C315="B",VLOOKUP($A315,Bat!$A$4:$BD$2323,L$1,FALSE),VLOOKUP($A315,Pit!$A$4:$AZ$2261,L$2,FALSE))</f>
        <v>6</v>
      </c>
      <c r="M315" s="16">
        <f>IF($C315="B",VLOOKUP($A315,Bat!$A$4:$BD$2323,M$1,FALSE),VLOOKUP($A315,Pit!$A$4:$AZ$2261,M$2,FALSE))</f>
        <v>7</v>
      </c>
      <c r="N315" s="16">
        <f>IF($C315="B",VLOOKUP($A315,Bat!$A$4:$BD$2323,N$1,FALSE),VLOOKUP($A315,Pit!$A$4:$AZ$2261,N$2,FALSE))</f>
        <v>5</v>
      </c>
      <c r="O315" s="16" t="str">
        <f>IF($C315="B",VLOOKUP($A315,Bat!$A$4:$BD$2323,O$1,FALSE),VLOOKUP($A315,Pit!$A$4:$AZ$2261,O$2,FALSE))</f>
        <v>92-94 Mph</v>
      </c>
      <c r="P315" s="17">
        <f>IF($C315="B",VLOOKUP($A315,Bat!$A$4:$BD$2323,P$1,FALSE),VLOOKUP($A315,Pit!$A$4:$AZ$2261,P$2,FALSE))</f>
        <v>2</v>
      </c>
      <c r="Q315" s="18">
        <f>IF($C315="B",VLOOKUP($A315,Bat!$A$4:$BD$2323,Q$1,FALSE),VLOOKUP($A315,Pit!$A$4:$AZ$2261,Q$2,FALSE))</f>
        <v>48.887051040594969</v>
      </c>
      <c r="R315" s="19">
        <f>IF($C315="B",VLOOKUP($A315,Bat!$A$4:$BD$2323,R$1,FALSE),VLOOKUP($A315,Pit!$A$4:$AZ$2261,R$2,FALSE))</f>
        <v>1.1880848050280779</v>
      </c>
      <c r="S315" s="20" t="str">
        <f>IF($C315="B",VLOOKUP($A315,Bat!$A$4:$BD$2323,S$1,FALSE),VLOOKUP($A315,Pit!$A$4:$AZ$2261,S$2,FALSE))</f>
        <v>Slot</v>
      </c>
      <c r="T315" s="17" t="str">
        <f>IF(S315="Slot","",VLOOKUP(IF($C315="B",VLOOKUP($A315,Bat!$A$4:$AT$2323,T$1,FALSE),VLOOKUP($A315,Pit!$A$4:$BD$2261,T$2,FALSE)),COND!$A$34:$B$40,2,FALSE))</f>
        <v/>
      </c>
      <c r="U315" s="21">
        <f>IF($C315="B",VLOOKUP($A315,Bat!$A$4:$AR$1287,44,FALSE),VLOOKUP($A315,Pit!$A$4:$BB$1239,54,FALSE))</f>
        <v>0</v>
      </c>
      <c r="W315" s="21">
        <f t="shared" si="18"/>
        <v>0</v>
      </c>
      <c r="X315" s="22" t="e">
        <f t="shared" si="19"/>
        <v>#N/A</v>
      </c>
      <c r="Y315" s="16" t="str">
        <f>IF(ISERROR(VLOOKUP($E315&amp;$F315,Results!$A$2:$G$413,Y$1,FALSE)),"",VLOOKUP($E315&amp;$F315,Results!$A$2:$G$413,Y$1,FALSE))</f>
        <v/>
      </c>
      <c r="Z315" s="16" t="str">
        <f>IF(ISERROR(VLOOKUP($E315&amp;$F315,Results!$A$2:$G$413,Z$1,FALSE)),"",VLOOKUP($E315&amp;$F315,Results!$A$2:$G$413,Z$1,FALSE))</f>
        <v/>
      </c>
      <c r="AA315" s="16" t="str">
        <f>IF(ISERROR(VLOOKUP($E315&amp;$F315,Results!$A$2:$G$413,AA$1,FALSE)),"",VLOOKUP($E315&amp;$F315,Results!$A$2:$G$413,AA$1,FALSE))</f>
        <v/>
      </c>
      <c r="AB315" s="16" t="str">
        <f>IF(ISERROR(VLOOKUP($E315&amp;$F315,Results!$A$2:$G$413,AB$1,FALSE)),"",VLOOKUP($E315&amp;$F315,Results!$A$2:$G$413,AB$1,FALSE))</f>
        <v/>
      </c>
      <c r="AC315" s="16"/>
      <c r="AD315" s="20" t="str">
        <f>IF(ISERROR(VLOOKUP($AB315&amp;"-"&amp;$F315,Bonuses!$B$1:$G$1000,4,FALSE)),"",INT(VLOOKUP($AB315&amp;"-"&amp;$F315,Bonuses!$B$1:$G$1000,4,FALSE)))</f>
        <v/>
      </c>
      <c r="AE315" s="16" t="str">
        <f>IF(ISERROR(VLOOKUP($AB315&amp;"-"&amp;$F315,Bonuses!$B$1:$G$1000,5,FALSE)),"",IF(VLOOKUP($AB315&amp;"-"&amp;$F315,Bonuses!$B$1:$G$1000,5,FALSE)="","",VLOOKUP($AB315&amp;"-"&amp;$F315,Bonuses!$B$1:$G$1000,6,FALSE)&amp;" yrs, "&amp;VLOOKUP($AB315&amp;"-"&amp;$F315,Bonuses!$B$1:$G$1000,5,FALSE)))</f>
        <v/>
      </c>
    </row>
    <row r="316" spans="1:31" s="21" customFormat="1">
      <c r="A316" s="21" t="s">
        <v>809</v>
      </c>
      <c r="B316" s="21">
        <f t="shared" si="16"/>
        <v>1</v>
      </c>
      <c r="C316" s="21" t="str">
        <f t="shared" si="17"/>
        <v>P</v>
      </c>
      <c r="D316" s="17">
        <f>IF($C316="B",VLOOKUP($A316,Bat!$A$4:$BD$2323,D$1,FALSE),VLOOKUP($A316,Pit!$A$4:$AZ$2261,D$2,FALSE))</f>
        <v>1973</v>
      </c>
      <c r="E316" s="16" t="str">
        <f>IF($C316="B",VLOOKUP($A316,Bat!$A$4:$BD$2323,E$1,FALSE),VLOOKUP($A316,Pit!$A$4:$AZ$2261,E$2,FALSE))</f>
        <v>SP</v>
      </c>
      <c r="F316" s="16" t="str">
        <f>IF($C316="B",VLOOKUP($A316,Bat!$A$4:$BD$2323,F$1,FALSE),VLOOKUP($A316,Pit!$A$4:$AZ$2261,F$2,FALSE))</f>
        <v>Marvin Lilly</v>
      </c>
      <c r="G316" s="16">
        <f>IF($C316="B",VLOOKUP($A316,Bat!$A$4:$BD$2323,G$1,FALSE),VLOOKUP($A316,Pit!$A$4:$AZ$2261,G$2,FALSE))</f>
        <v>21</v>
      </c>
      <c r="H316" s="16" t="str">
        <f>IF($C316="B",VLOOKUP($A316,Bat!$A$4:$BD$2323,H$1,FALSE),VLOOKUP($A316,Pit!$A$4:$AZ$2261,H$2,FALSE))</f>
        <v>R</v>
      </c>
      <c r="I316" s="16" t="str">
        <f>IF($C316="B",VLOOKUP($A316,Bat!$A$4:$BD$2323,I$1,FALSE),VLOOKUP($A316,Pit!$A$4:$AZ$2261,I$2,FALSE))</f>
        <v>R</v>
      </c>
      <c r="J316" s="16" t="str">
        <f>IF($C316="B",VLOOKUP($A316,Bat!$A$4:$BD$2323,J$1,FALSE),VLOOKUP($A316,Pit!$A$4:$AZ$2261,J$2,FALSE))</f>
        <v>High</v>
      </c>
      <c r="K316" s="17" t="str">
        <f>IF($C316="B",VLOOKUP($A316,Bat!$A$4:$BD$2323,K$1,FALSE),VLOOKUP($A316,Pit!$A$4:$AZ$2261,K$2,FALSE))</f>
        <v>Normal</v>
      </c>
      <c r="L316" s="16">
        <f>IF($C316="B",VLOOKUP($A316,Bat!$A$4:$BD$2323,L$1,FALSE),VLOOKUP($A316,Pit!$A$4:$AZ$2261,L$2,FALSE))</f>
        <v>4</v>
      </c>
      <c r="M316" s="16">
        <f>IF($C316="B",VLOOKUP($A316,Bat!$A$4:$BD$2323,M$1,FALSE),VLOOKUP($A316,Pit!$A$4:$AZ$2261,M$2,FALSE))</f>
        <v>6</v>
      </c>
      <c r="N316" s="16">
        <f>IF($C316="B",VLOOKUP($A316,Bat!$A$4:$BD$2323,N$1,FALSE),VLOOKUP($A316,Pit!$A$4:$AZ$2261,N$2,FALSE))</f>
        <v>7</v>
      </c>
      <c r="O316" s="16" t="str">
        <f>IF($C316="B",VLOOKUP($A316,Bat!$A$4:$BD$2323,O$1,FALSE),VLOOKUP($A316,Pit!$A$4:$AZ$2261,O$2,FALSE))</f>
        <v>90-92 Mph</v>
      </c>
      <c r="P316" s="17">
        <f>IF($C316="B",VLOOKUP($A316,Bat!$A$4:$BD$2323,P$1,FALSE),VLOOKUP($A316,Pit!$A$4:$AZ$2261,P$2,FALSE))</f>
        <v>6</v>
      </c>
      <c r="Q316" s="18">
        <f>IF($C316="B",VLOOKUP($A316,Bat!$A$4:$BD$2323,Q$1,FALSE),VLOOKUP($A316,Pit!$A$4:$AZ$2261,Q$2,FALSE))</f>
        <v>48.850292821063434</v>
      </c>
      <c r="R316" s="19">
        <f>IF($C316="B",VLOOKUP($A316,Bat!$A$4:$BD$2323,R$1,FALSE),VLOOKUP($A316,Pit!$A$4:$AZ$2261,R$2,FALSE))</f>
        <v>1.1851666971491825</v>
      </c>
      <c r="S316" s="20" t="str">
        <f>IF($C316="B",VLOOKUP($A316,Bat!$A$4:$BD$2323,S$1,FALSE),VLOOKUP($A316,Pit!$A$4:$AZ$2261,S$2,FALSE))</f>
        <v>Slot</v>
      </c>
      <c r="T316" s="17" t="str">
        <f>IF(S316="Slot","",VLOOKUP(IF($C316="B",VLOOKUP($A316,Bat!$A$4:$AT$2323,T$1,FALSE),VLOOKUP($A316,Pit!$A$4:$BD$2261,T$2,FALSE)),COND!$A$34:$B$40,2,FALSE))</f>
        <v/>
      </c>
      <c r="U316" s="21">
        <f>IF($C316="B",VLOOKUP($A316,Bat!$A$4:$AR$1287,44,FALSE),VLOOKUP($A316,Pit!$A$4:$BB$1239,54,FALSE))</f>
        <v>0</v>
      </c>
      <c r="W316" s="21">
        <f t="shared" si="18"/>
        <v>0</v>
      </c>
      <c r="X316" s="22" t="e">
        <f t="shared" si="19"/>
        <v>#N/A</v>
      </c>
      <c r="Y316" s="16" t="str">
        <f>IF(ISERROR(VLOOKUP($E316&amp;$F316,Results!$A$2:$G$413,Y$1,FALSE)),"",VLOOKUP($E316&amp;$F316,Results!$A$2:$G$413,Y$1,FALSE))</f>
        <v/>
      </c>
      <c r="Z316" s="16" t="str">
        <f>IF(ISERROR(VLOOKUP($E316&amp;$F316,Results!$A$2:$G$413,Z$1,FALSE)),"",VLOOKUP($E316&amp;$F316,Results!$A$2:$G$413,Z$1,FALSE))</f>
        <v/>
      </c>
      <c r="AA316" s="16" t="str">
        <f>IF(ISERROR(VLOOKUP($E316&amp;$F316,Results!$A$2:$G$413,AA$1,FALSE)),"",VLOOKUP($E316&amp;$F316,Results!$A$2:$G$413,AA$1,FALSE))</f>
        <v/>
      </c>
      <c r="AB316" s="16" t="str">
        <f>IF(ISERROR(VLOOKUP($E316&amp;$F316,Results!$A$2:$G$413,AB$1,FALSE)),"",VLOOKUP($E316&amp;$F316,Results!$A$2:$G$413,AB$1,FALSE))</f>
        <v/>
      </c>
      <c r="AC316" s="16"/>
      <c r="AD316" s="20" t="str">
        <f>IF(ISERROR(VLOOKUP($AB316&amp;"-"&amp;$F316,Bonuses!$B$1:$G$1000,4,FALSE)),"",INT(VLOOKUP($AB316&amp;"-"&amp;$F316,Bonuses!$B$1:$G$1000,4,FALSE)))</f>
        <v/>
      </c>
      <c r="AE316" s="16" t="str">
        <f>IF(ISERROR(VLOOKUP($AB316&amp;"-"&amp;$F316,Bonuses!$B$1:$G$1000,5,FALSE)),"",IF(VLOOKUP($AB316&amp;"-"&amp;$F316,Bonuses!$B$1:$G$1000,5,FALSE)="","",VLOOKUP($AB316&amp;"-"&amp;$F316,Bonuses!$B$1:$G$1000,6,FALSE)&amp;" yrs, "&amp;VLOOKUP($AB316&amp;"-"&amp;$F316,Bonuses!$B$1:$G$1000,5,FALSE)))</f>
        <v/>
      </c>
    </row>
    <row r="317" spans="1:31" s="21" customFormat="1">
      <c r="A317" s="21" t="s">
        <v>89</v>
      </c>
      <c r="B317" s="21">
        <f t="shared" si="16"/>
        <v>1</v>
      </c>
      <c r="C317" s="21" t="str">
        <f t="shared" si="17"/>
        <v>P</v>
      </c>
      <c r="D317" s="17" t="e">
        <f>IF($C317="B",VLOOKUP($A317,Bat!$A$4:$BD$2323,D$1,FALSE),VLOOKUP($A317,Pit!$A$4:$AZ$2261,D$2,FALSE))</f>
        <v>#N/A</v>
      </c>
      <c r="E317" s="16" t="e">
        <f>IF($C317="B",VLOOKUP($A317,Bat!$A$4:$BD$2323,E$1,FALSE),VLOOKUP($A317,Pit!$A$4:$AZ$2261,E$2,FALSE))</f>
        <v>#N/A</v>
      </c>
      <c r="F317" s="16" t="e">
        <f>IF($C317="B",VLOOKUP($A317,Bat!$A$4:$BD$2323,F$1,FALSE),VLOOKUP($A317,Pit!$A$4:$AZ$2261,F$2,FALSE))</f>
        <v>#N/A</v>
      </c>
      <c r="G317" s="16" t="e">
        <f>IF($C317="B",VLOOKUP($A317,Bat!$A$4:$BD$2323,G$1,FALSE),VLOOKUP($A317,Pit!$A$4:$AZ$2261,G$2,FALSE))</f>
        <v>#N/A</v>
      </c>
      <c r="H317" s="16" t="e">
        <f>IF($C317="B",VLOOKUP($A317,Bat!$A$4:$BD$2323,H$1,FALSE),VLOOKUP($A317,Pit!$A$4:$AZ$2261,H$2,FALSE))</f>
        <v>#N/A</v>
      </c>
      <c r="I317" s="16" t="e">
        <f>IF($C317="B",VLOOKUP($A317,Bat!$A$4:$BD$2323,I$1,FALSE),VLOOKUP($A317,Pit!$A$4:$AZ$2261,I$2,FALSE))</f>
        <v>#N/A</v>
      </c>
      <c r="J317" s="16" t="e">
        <f>IF($C317="B",VLOOKUP($A317,Bat!$A$4:$BD$2323,J$1,FALSE),VLOOKUP($A317,Pit!$A$4:$AZ$2261,J$2,FALSE))</f>
        <v>#N/A</v>
      </c>
      <c r="K317" s="17" t="e">
        <f>IF($C317="B",VLOOKUP($A317,Bat!$A$4:$BD$2323,K$1,FALSE),VLOOKUP($A317,Pit!$A$4:$AZ$2261,K$2,FALSE))</f>
        <v>#N/A</v>
      </c>
      <c r="L317" s="16" t="e">
        <f>IF($C317="B",VLOOKUP($A317,Bat!$A$4:$BD$2323,L$1,FALSE),VLOOKUP($A317,Pit!$A$4:$AZ$2261,L$2,FALSE))</f>
        <v>#N/A</v>
      </c>
      <c r="M317" s="16" t="e">
        <f>IF($C317="B",VLOOKUP($A317,Bat!$A$4:$BD$2323,M$1,FALSE),VLOOKUP($A317,Pit!$A$4:$AZ$2261,M$2,FALSE))</f>
        <v>#N/A</v>
      </c>
      <c r="N317" s="16" t="e">
        <f>IF($C317="B",VLOOKUP($A317,Bat!$A$4:$BD$2323,N$1,FALSE),VLOOKUP($A317,Pit!$A$4:$AZ$2261,N$2,FALSE))</f>
        <v>#N/A</v>
      </c>
      <c r="O317" s="16" t="e">
        <f>IF($C317="B",VLOOKUP($A317,Bat!$A$4:$BD$2323,O$1,FALSE),VLOOKUP($A317,Pit!$A$4:$AZ$2261,O$2,FALSE))</f>
        <v>#N/A</v>
      </c>
      <c r="P317" s="17" t="e">
        <f>IF($C317="B",VLOOKUP($A317,Bat!$A$4:$BD$2323,P$1,FALSE),VLOOKUP($A317,Pit!$A$4:$AZ$2261,P$2,FALSE))</f>
        <v>#N/A</v>
      </c>
      <c r="Q317" s="18" t="e">
        <f>IF($C317="B",VLOOKUP($A317,Bat!$A$4:$BD$2323,Q$1,FALSE),VLOOKUP($A317,Pit!$A$4:$AZ$2261,Q$2,FALSE))</f>
        <v>#N/A</v>
      </c>
      <c r="R317" s="19" t="e">
        <f>IF($C317="B",VLOOKUP($A317,Bat!$A$4:$BD$2323,R$1,FALSE),VLOOKUP($A317,Pit!$A$4:$AZ$2261,R$2,FALSE))</f>
        <v>#N/A</v>
      </c>
      <c r="S317" s="20" t="e">
        <f>IF($C317="B",VLOOKUP($A317,Bat!$A$4:$BD$2323,S$1,FALSE),VLOOKUP($A317,Pit!$A$4:$AZ$2261,S$2,FALSE))</f>
        <v>#N/A</v>
      </c>
      <c r="T317" s="17" t="e">
        <f>IF(S317="Slot","",VLOOKUP(IF($C317="B",VLOOKUP($A317,Bat!$A$4:$AT$2323,T$1,FALSE),VLOOKUP($A317,Pit!$A$4:$BD$2261,T$2,FALSE)),COND!$A$34:$B$40,2,FALSE))</f>
        <v>#N/A</v>
      </c>
      <c r="U317" s="21" t="e">
        <f>IF($C317="B",VLOOKUP($A317,Bat!$A$4:$AR$1287,44,FALSE),VLOOKUP($A317,Pit!$A$4:$BB$1239,54,FALSE))</f>
        <v>#N/A</v>
      </c>
      <c r="W317" s="21" t="e">
        <f t="shared" si="18"/>
        <v>#N/A</v>
      </c>
      <c r="X317" s="22" t="e">
        <f t="shared" si="19"/>
        <v>#N/A</v>
      </c>
      <c r="Y317" s="16" t="str">
        <f>IF(ISERROR(VLOOKUP($E317&amp;$F317,Results!$A$2:$G$413,Y$1,FALSE)),"",VLOOKUP($E317&amp;$F317,Results!$A$2:$G$413,Y$1,FALSE))</f>
        <v/>
      </c>
      <c r="Z317" s="16" t="str">
        <f>IF(ISERROR(VLOOKUP($E317&amp;$F317,Results!$A$2:$G$413,Z$1,FALSE)),"",VLOOKUP($E317&amp;$F317,Results!$A$2:$G$413,Z$1,FALSE))</f>
        <v/>
      </c>
      <c r="AA317" s="16" t="str">
        <f>IF(ISERROR(VLOOKUP($E317&amp;$F317,Results!$A$2:$G$413,AA$1,FALSE)),"",VLOOKUP($E317&amp;$F317,Results!$A$2:$G$413,AA$1,FALSE))</f>
        <v/>
      </c>
      <c r="AB317" s="16" t="str">
        <f>IF(ISERROR(VLOOKUP($E317&amp;$F317,Results!$A$2:$G$413,AB$1,FALSE)),"",VLOOKUP($E317&amp;$F317,Results!$A$2:$G$413,AB$1,FALSE))</f>
        <v/>
      </c>
      <c r="AC317" s="16"/>
      <c r="AD317" s="20" t="str">
        <f>IF(ISERROR(VLOOKUP($AB317&amp;"-"&amp;$F317,Bonuses!$B$1:$G$1000,4,FALSE)),"",INT(VLOOKUP($AB317&amp;"-"&amp;$F317,Bonuses!$B$1:$G$1000,4,FALSE)))</f>
        <v/>
      </c>
      <c r="AE317" s="16" t="str">
        <f>IF(ISERROR(VLOOKUP($AB317&amp;"-"&amp;$F317,Bonuses!$B$1:$G$1000,5,FALSE)),"",IF(VLOOKUP($AB317&amp;"-"&amp;$F317,Bonuses!$B$1:$G$1000,5,FALSE)="","",VLOOKUP($AB317&amp;"-"&amp;$F317,Bonuses!$B$1:$G$1000,6,FALSE)&amp;" yrs, "&amp;VLOOKUP($AB317&amp;"-"&amp;$F317,Bonuses!$B$1:$G$1000,5,FALSE)))</f>
        <v/>
      </c>
    </row>
    <row r="318" spans="1:31" s="21" customFormat="1">
      <c r="A318" s="21" t="s">
        <v>99</v>
      </c>
      <c r="B318" s="21">
        <f t="shared" si="16"/>
        <v>1</v>
      </c>
      <c r="C318" s="21" t="str">
        <f t="shared" si="17"/>
        <v>P</v>
      </c>
      <c r="D318" s="17">
        <f>IF($C318="B",VLOOKUP($A318,Bat!$A$4:$BD$2323,D$1,FALSE),VLOOKUP($A318,Pit!$A$4:$AZ$2261,D$2,FALSE))</f>
        <v>3456</v>
      </c>
      <c r="E318" s="16" t="str">
        <f>IF($C318="B",VLOOKUP($A318,Bat!$A$4:$BD$2323,E$1,FALSE),VLOOKUP($A318,Pit!$A$4:$AZ$2261,E$2,FALSE))</f>
        <v>MR</v>
      </c>
      <c r="F318" s="16" t="str">
        <f>IF($C318="B",VLOOKUP($A318,Bat!$A$4:$BD$2323,F$1,FALSE),VLOOKUP($A318,Pit!$A$4:$AZ$2261,F$2,FALSE))</f>
        <v>Sean Greene</v>
      </c>
      <c r="G318" s="16">
        <f>IF($C318="B",VLOOKUP($A318,Bat!$A$4:$BD$2323,G$1,FALSE),VLOOKUP($A318,Pit!$A$4:$AZ$2261,G$2,FALSE))</f>
        <v>21</v>
      </c>
      <c r="H318" s="16" t="str">
        <f>IF($C318="B",VLOOKUP($A318,Bat!$A$4:$BD$2323,H$1,FALSE),VLOOKUP($A318,Pit!$A$4:$AZ$2261,H$2,FALSE))</f>
        <v>R</v>
      </c>
      <c r="I318" s="16" t="str">
        <f>IF($C318="B",VLOOKUP($A318,Bat!$A$4:$BD$2323,I$1,FALSE),VLOOKUP($A318,Pit!$A$4:$AZ$2261,I$2,FALSE))</f>
        <v>R</v>
      </c>
      <c r="J318" s="16" t="str">
        <f>IF($C318="B",VLOOKUP($A318,Bat!$A$4:$BD$2323,J$1,FALSE),VLOOKUP($A318,Pit!$A$4:$AZ$2261,J$2,FALSE))</f>
        <v>Low</v>
      </c>
      <c r="K318" s="17" t="str">
        <f>IF($C318="B",VLOOKUP($A318,Bat!$A$4:$BD$2323,K$1,FALSE),VLOOKUP($A318,Pit!$A$4:$AZ$2261,K$2,FALSE))</f>
        <v>Normal</v>
      </c>
      <c r="L318" s="16">
        <f>IF($C318="B",VLOOKUP($A318,Bat!$A$4:$BD$2323,L$1,FALSE),VLOOKUP($A318,Pit!$A$4:$AZ$2261,L$2,FALSE))</f>
        <v>6</v>
      </c>
      <c r="M318" s="16">
        <f>IF($C318="B",VLOOKUP($A318,Bat!$A$4:$BD$2323,M$1,FALSE),VLOOKUP($A318,Pit!$A$4:$AZ$2261,M$2,FALSE))</f>
        <v>8</v>
      </c>
      <c r="N318" s="16">
        <f>IF($C318="B",VLOOKUP($A318,Bat!$A$4:$BD$2323,N$1,FALSE),VLOOKUP($A318,Pit!$A$4:$AZ$2261,N$2,FALSE))</f>
        <v>4</v>
      </c>
      <c r="O318" s="16" t="str">
        <f>IF($C318="B",VLOOKUP($A318,Bat!$A$4:$BD$2323,O$1,FALSE),VLOOKUP($A318,Pit!$A$4:$AZ$2261,O$2,FALSE))</f>
        <v>89-90 Mph</v>
      </c>
      <c r="P318" s="17">
        <f>IF($C318="B",VLOOKUP($A318,Bat!$A$4:$BD$2323,P$1,FALSE),VLOOKUP($A318,Pit!$A$4:$AZ$2261,P$2,FALSE))</f>
        <v>1</v>
      </c>
      <c r="Q318" s="18">
        <f>IF($C318="B",VLOOKUP($A318,Bat!$A$4:$BD$2323,Q$1,FALSE),VLOOKUP($A318,Pit!$A$4:$AZ$2261,Q$2,FALSE))</f>
        <v>29.25</v>
      </c>
      <c r="R318" s="19">
        <f>IF($C318="B",VLOOKUP($A318,Bat!$A$4:$BD$2323,R$1,FALSE),VLOOKUP($A318,Pit!$A$4:$AZ$2261,R$2,FALSE))</f>
        <v>-0.37083274022113549</v>
      </c>
      <c r="S318" s="20" t="str">
        <f>IF($C318="B",VLOOKUP($A318,Bat!$A$4:$BD$2323,S$1,FALSE),VLOOKUP($A318,Pit!$A$4:$AZ$2261,S$2,FALSE))</f>
        <v>Slot</v>
      </c>
      <c r="T318" s="17" t="str">
        <f>IF(S318="Slot","",VLOOKUP(IF($C318="B",VLOOKUP($A318,Bat!$A$4:$AT$2323,T$1,FALSE),VLOOKUP($A318,Pit!$A$4:$BD$2261,T$2,FALSE)),COND!$A$34:$B$40,2,FALSE))</f>
        <v/>
      </c>
      <c r="U318" s="21">
        <f>IF($C318="B",VLOOKUP($A318,Bat!$A$4:$AR$1287,44,FALSE),VLOOKUP($A318,Pit!$A$4:$BB$1239,54,FALSE))</f>
        <v>0</v>
      </c>
      <c r="W318" s="21">
        <f t="shared" si="18"/>
        <v>0</v>
      </c>
      <c r="X318" s="22" t="e">
        <f t="shared" si="19"/>
        <v>#N/A</v>
      </c>
      <c r="Y318" s="16" t="str">
        <f>IF(ISERROR(VLOOKUP($E318&amp;$F318,Results!$A$2:$G$413,Y$1,FALSE)),"",VLOOKUP($E318&amp;$F318,Results!$A$2:$G$413,Y$1,FALSE))</f>
        <v/>
      </c>
      <c r="Z318" s="16" t="str">
        <f>IF(ISERROR(VLOOKUP($E318&amp;$F318,Results!$A$2:$G$413,Z$1,FALSE)),"",VLOOKUP($E318&amp;$F318,Results!$A$2:$G$413,Z$1,FALSE))</f>
        <v/>
      </c>
      <c r="AA318" s="16" t="str">
        <f>IF(ISERROR(VLOOKUP($E318&amp;$F318,Results!$A$2:$G$413,AA$1,FALSE)),"",VLOOKUP($E318&amp;$F318,Results!$A$2:$G$413,AA$1,FALSE))</f>
        <v/>
      </c>
      <c r="AB318" s="16" t="str">
        <f>IF(ISERROR(VLOOKUP($E318&amp;$F318,Results!$A$2:$G$413,AB$1,FALSE)),"",VLOOKUP($E318&amp;$F318,Results!$A$2:$G$413,AB$1,FALSE))</f>
        <v/>
      </c>
      <c r="AC318" s="16"/>
      <c r="AD318" s="20" t="str">
        <f>IF(ISERROR(VLOOKUP($AB318&amp;"-"&amp;$F318,Bonuses!$B$1:$G$1000,4,FALSE)),"",INT(VLOOKUP($AB318&amp;"-"&amp;$F318,Bonuses!$B$1:$G$1000,4,FALSE)))</f>
        <v/>
      </c>
      <c r="AE318" s="16" t="str">
        <f>IF(ISERROR(VLOOKUP($AB318&amp;"-"&amp;$F318,Bonuses!$B$1:$G$1000,5,FALSE)),"",IF(VLOOKUP($AB318&amp;"-"&amp;$F318,Bonuses!$B$1:$G$1000,5,FALSE)="","",VLOOKUP($AB318&amp;"-"&amp;$F318,Bonuses!$B$1:$G$1000,6,FALSE)&amp;" yrs, "&amp;VLOOKUP($AB318&amp;"-"&amp;$F318,Bonuses!$B$1:$G$1000,5,FALSE)))</f>
        <v/>
      </c>
    </row>
    <row r="319" spans="1:31" s="21" customFormat="1">
      <c r="A319" s="21" t="s">
        <v>805</v>
      </c>
      <c r="B319" s="21">
        <f t="shared" si="16"/>
        <v>1</v>
      </c>
      <c r="C319" s="21" t="str">
        <f t="shared" si="17"/>
        <v>P</v>
      </c>
      <c r="D319" s="17">
        <f>IF($C319="B",VLOOKUP($A319,Bat!$A$4:$BD$2323,D$1,FALSE),VLOOKUP($A319,Pit!$A$4:$AZ$2261,D$2,FALSE))</f>
        <v>1316</v>
      </c>
      <c r="E319" s="16" t="str">
        <f>IF($C319="B",VLOOKUP($A319,Bat!$A$4:$BD$2323,E$1,FALSE),VLOOKUP($A319,Pit!$A$4:$AZ$2261,E$2,FALSE))</f>
        <v>SP</v>
      </c>
      <c r="F319" s="16" t="str">
        <f>IF($C319="B",VLOOKUP($A319,Bat!$A$4:$BD$2323,F$1,FALSE),VLOOKUP($A319,Pit!$A$4:$AZ$2261,F$2,FALSE))</f>
        <v>Quinton Field</v>
      </c>
      <c r="G319" s="16">
        <f>IF($C319="B",VLOOKUP($A319,Bat!$A$4:$BD$2323,G$1,FALSE),VLOOKUP($A319,Pit!$A$4:$AZ$2261,G$2,FALSE))</f>
        <v>22</v>
      </c>
      <c r="H319" s="16" t="str">
        <f>IF($C319="B",VLOOKUP($A319,Bat!$A$4:$BD$2323,H$1,FALSE),VLOOKUP($A319,Pit!$A$4:$AZ$2261,H$2,FALSE))</f>
        <v>R</v>
      </c>
      <c r="I319" s="16" t="str">
        <f>IF($C319="B",VLOOKUP($A319,Bat!$A$4:$BD$2323,I$1,FALSE),VLOOKUP($A319,Pit!$A$4:$AZ$2261,I$2,FALSE))</f>
        <v>R</v>
      </c>
      <c r="J319" s="16" t="str">
        <f>IF($C319="B",VLOOKUP($A319,Bat!$A$4:$BD$2323,J$1,FALSE),VLOOKUP($A319,Pit!$A$4:$AZ$2261,J$2,FALSE))</f>
        <v>Very Low</v>
      </c>
      <c r="K319" s="17" t="str">
        <f>IF($C319="B",VLOOKUP($A319,Bat!$A$4:$BD$2323,K$1,FALSE),VLOOKUP($A319,Pit!$A$4:$AZ$2261,K$2,FALSE))</f>
        <v>Very Low</v>
      </c>
      <c r="L319" s="16">
        <f>IF($C319="B",VLOOKUP($A319,Bat!$A$4:$BD$2323,L$1,FALSE),VLOOKUP($A319,Pit!$A$4:$AZ$2261,L$2,FALSE))</f>
        <v>7</v>
      </c>
      <c r="M319" s="16">
        <f>IF($C319="B",VLOOKUP($A319,Bat!$A$4:$BD$2323,M$1,FALSE),VLOOKUP($A319,Pit!$A$4:$AZ$2261,M$2,FALSE))</f>
        <v>4</v>
      </c>
      <c r="N319" s="16">
        <f>IF($C319="B",VLOOKUP($A319,Bat!$A$4:$BD$2323,N$1,FALSE),VLOOKUP($A319,Pit!$A$4:$AZ$2261,N$2,FALSE))</f>
        <v>6</v>
      </c>
      <c r="O319" s="16" t="str">
        <f>IF($C319="B",VLOOKUP($A319,Bat!$A$4:$BD$2323,O$1,FALSE),VLOOKUP($A319,Pit!$A$4:$AZ$2261,O$2,FALSE))</f>
        <v>94-96 Mph</v>
      </c>
      <c r="P319" s="17">
        <f>IF($C319="B",VLOOKUP($A319,Bat!$A$4:$BD$2323,P$1,FALSE),VLOOKUP($A319,Pit!$A$4:$AZ$2261,P$2,FALSE))</f>
        <v>6</v>
      </c>
      <c r="Q319" s="18">
        <f>IF($C319="B",VLOOKUP($A319,Bat!$A$4:$BD$2323,Q$1,FALSE),VLOOKUP($A319,Pit!$A$4:$AZ$2261,Q$2,FALSE))</f>
        <v>44.009983128684354</v>
      </c>
      <c r="R319" s="19">
        <f>IF($C319="B",VLOOKUP($A319,Bat!$A$4:$BD$2323,R$1,FALSE),VLOOKUP($A319,Pit!$A$4:$AZ$2261,R$2,FALSE))</f>
        <v>0.80091125633524696</v>
      </c>
      <c r="S319" s="20" t="str">
        <f>IF($C319="B",VLOOKUP($A319,Bat!$A$4:$BD$2323,S$1,FALSE),VLOOKUP($A319,Pit!$A$4:$AZ$2261,S$2,FALSE))</f>
        <v>Slot</v>
      </c>
      <c r="T319" s="17" t="str">
        <f>IF(S319="Slot","",VLOOKUP(IF($C319="B",VLOOKUP($A319,Bat!$A$4:$AT$2323,T$1,FALSE),VLOOKUP($A319,Pit!$A$4:$BD$2261,T$2,FALSE)),COND!$A$34:$B$40,2,FALSE))</f>
        <v/>
      </c>
      <c r="U319" s="21">
        <f>IF($C319="B",VLOOKUP($A319,Bat!$A$4:$AR$1287,44,FALSE),VLOOKUP($A319,Pit!$A$4:$BB$1239,54,FALSE))</f>
        <v>0</v>
      </c>
      <c r="W319" s="21">
        <f t="shared" si="18"/>
        <v>0</v>
      </c>
      <c r="X319" s="22" t="e">
        <f t="shared" si="19"/>
        <v>#N/A</v>
      </c>
      <c r="Y319" s="16" t="str">
        <f>IF(ISERROR(VLOOKUP($E319&amp;$F319,Results!$A$2:$G$413,Y$1,FALSE)),"",VLOOKUP($E319&amp;$F319,Results!$A$2:$G$413,Y$1,FALSE))</f>
        <v/>
      </c>
      <c r="Z319" s="16" t="str">
        <f>IF(ISERROR(VLOOKUP($E319&amp;$F319,Results!$A$2:$G$413,Z$1,FALSE)),"",VLOOKUP($E319&amp;$F319,Results!$A$2:$G$413,Z$1,FALSE))</f>
        <v/>
      </c>
      <c r="AA319" s="16" t="str">
        <f>IF(ISERROR(VLOOKUP($E319&amp;$F319,Results!$A$2:$G$413,AA$1,FALSE)),"",VLOOKUP($E319&amp;$F319,Results!$A$2:$G$413,AA$1,FALSE))</f>
        <v/>
      </c>
      <c r="AB319" s="16" t="str">
        <f>IF(ISERROR(VLOOKUP($E319&amp;$F319,Results!$A$2:$G$413,AB$1,FALSE)),"",VLOOKUP($E319&amp;$F319,Results!$A$2:$G$413,AB$1,FALSE))</f>
        <v/>
      </c>
      <c r="AC319" s="16"/>
      <c r="AD319" s="20" t="str">
        <f>IF(ISERROR(VLOOKUP($AB319&amp;"-"&amp;$F319,Bonuses!$B$1:$G$1000,4,FALSE)),"",INT(VLOOKUP($AB319&amp;"-"&amp;$F319,Bonuses!$B$1:$G$1000,4,FALSE)))</f>
        <v/>
      </c>
      <c r="AE319" s="16" t="str">
        <f>IF(ISERROR(VLOOKUP($AB319&amp;"-"&amp;$F319,Bonuses!$B$1:$G$1000,5,FALSE)),"",IF(VLOOKUP($AB319&amp;"-"&amp;$F319,Bonuses!$B$1:$G$1000,5,FALSE)="","",VLOOKUP($AB319&amp;"-"&amp;$F319,Bonuses!$B$1:$G$1000,6,FALSE)&amp;" yrs, "&amp;VLOOKUP($AB319&amp;"-"&amp;$F319,Bonuses!$B$1:$G$1000,5,FALSE)))</f>
        <v/>
      </c>
    </row>
    <row r="320" spans="1:31" s="21" customFormat="1">
      <c r="A320" s="21" t="s">
        <v>814</v>
      </c>
      <c r="B320" s="21">
        <f t="shared" si="16"/>
        <v>1</v>
      </c>
      <c r="C320" s="21" t="str">
        <f t="shared" si="17"/>
        <v>P</v>
      </c>
      <c r="D320" s="17">
        <f>IF($C320="B",VLOOKUP($A320,Bat!$A$4:$BD$2323,D$1,FALSE),VLOOKUP($A320,Pit!$A$4:$AZ$2261,D$2,FALSE))</f>
        <v>13801</v>
      </c>
      <c r="E320" s="16" t="str">
        <f>IF($C320="B",VLOOKUP($A320,Bat!$A$4:$BD$2323,E$1,FALSE),VLOOKUP($A320,Pit!$A$4:$AZ$2261,E$2,FALSE))</f>
        <v>SP</v>
      </c>
      <c r="F320" s="16" t="str">
        <f>IF($C320="B",VLOOKUP($A320,Bat!$A$4:$BD$2323,F$1,FALSE),VLOOKUP($A320,Pit!$A$4:$AZ$2261,F$2,FALSE))</f>
        <v>Aaron Green</v>
      </c>
      <c r="G320" s="16">
        <f>IF($C320="B",VLOOKUP($A320,Bat!$A$4:$BD$2323,G$1,FALSE),VLOOKUP($A320,Pit!$A$4:$AZ$2261,G$2,FALSE))</f>
        <v>18</v>
      </c>
      <c r="H320" s="16" t="str">
        <f>IF($C320="B",VLOOKUP($A320,Bat!$A$4:$BD$2323,H$1,FALSE),VLOOKUP($A320,Pit!$A$4:$AZ$2261,H$2,FALSE))</f>
        <v>L</v>
      </c>
      <c r="I320" s="16" t="str">
        <f>IF($C320="B",VLOOKUP($A320,Bat!$A$4:$BD$2323,I$1,FALSE),VLOOKUP($A320,Pit!$A$4:$AZ$2261,I$2,FALSE))</f>
        <v>L</v>
      </c>
      <c r="J320" s="16" t="str">
        <f>IF($C320="B",VLOOKUP($A320,Bat!$A$4:$BD$2323,J$1,FALSE),VLOOKUP($A320,Pit!$A$4:$AZ$2261,J$2,FALSE))</f>
        <v>Very Low</v>
      </c>
      <c r="K320" s="17" t="str">
        <f>IF($C320="B",VLOOKUP($A320,Bat!$A$4:$BD$2323,K$1,FALSE),VLOOKUP($A320,Pit!$A$4:$AZ$2261,K$2,FALSE))</f>
        <v>Very High</v>
      </c>
      <c r="L320" s="16">
        <f>IF($C320="B",VLOOKUP($A320,Bat!$A$4:$BD$2323,L$1,FALSE),VLOOKUP($A320,Pit!$A$4:$AZ$2261,L$2,FALSE))</f>
        <v>4</v>
      </c>
      <c r="M320" s="16">
        <f>IF($C320="B",VLOOKUP($A320,Bat!$A$4:$BD$2323,M$1,FALSE),VLOOKUP($A320,Pit!$A$4:$AZ$2261,M$2,FALSE))</f>
        <v>7</v>
      </c>
      <c r="N320" s="16">
        <f>IF($C320="B",VLOOKUP($A320,Bat!$A$4:$BD$2323,N$1,FALSE),VLOOKUP($A320,Pit!$A$4:$AZ$2261,N$2,FALSE))</f>
        <v>6</v>
      </c>
      <c r="O320" s="16" t="str">
        <f>IF($C320="B",VLOOKUP($A320,Bat!$A$4:$BD$2323,O$1,FALSE),VLOOKUP($A320,Pit!$A$4:$AZ$2261,O$2,FALSE))</f>
        <v>89-90 Mph</v>
      </c>
      <c r="P320" s="17">
        <f>IF($C320="B",VLOOKUP($A320,Bat!$A$4:$BD$2323,P$1,FALSE),VLOOKUP($A320,Pit!$A$4:$AZ$2261,P$2,FALSE))</f>
        <v>6</v>
      </c>
      <c r="Q320" s="18">
        <f>IF($C320="B",VLOOKUP($A320,Bat!$A$4:$BD$2323,Q$1,FALSE),VLOOKUP($A320,Pit!$A$4:$AZ$2261,Q$2,FALSE))</f>
        <v>45.553025616074677</v>
      </c>
      <c r="R320" s="19">
        <f>IF($C320="B",VLOOKUP($A320,Bat!$A$4:$BD$2323,R$1,FALSE),VLOOKUP($A320,Pit!$A$4:$AZ$2261,R$2,FALSE))</f>
        <v>0.92340806105837014</v>
      </c>
      <c r="S320" s="20" t="str">
        <f>IF($C320="B",VLOOKUP($A320,Bat!$A$4:$BD$2323,S$1,FALSE),VLOOKUP($A320,Pit!$A$4:$AZ$2261,S$2,FALSE))</f>
        <v>Slot</v>
      </c>
      <c r="T320" s="17" t="str">
        <f>IF(S320="Slot","",VLOOKUP(IF($C320="B",VLOOKUP($A320,Bat!$A$4:$AT$2323,T$1,FALSE),VLOOKUP($A320,Pit!$A$4:$BD$2261,T$2,FALSE)),COND!$A$34:$B$40,2,FALSE))</f>
        <v/>
      </c>
      <c r="U320" s="21">
        <f>IF($C320="B",VLOOKUP($A320,Bat!$A$4:$AR$1287,44,FALSE),VLOOKUP($A320,Pit!$A$4:$BB$1239,54,FALSE))</f>
        <v>0</v>
      </c>
      <c r="W320" s="21">
        <f t="shared" si="18"/>
        <v>0</v>
      </c>
      <c r="X320" s="22" t="e">
        <f t="shared" si="19"/>
        <v>#N/A</v>
      </c>
      <c r="Y320" s="16" t="str">
        <f>IF(ISERROR(VLOOKUP($E320&amp;$F320,Results!$A$2:$G$413,Y$1,FALSE)),"",VLOOKUP($E320&amp;$F320,Results!$A$2:$G$413,Y$1,FALSE))</f>
        <v/>
      </c>
      <c r="Z320" s="16" t="str">
        <f>IF(ISERROR(VLOOKUP($E320&amp;$F320,Results!$A$2:$G$413,Z$1,FALSE)),"",VLOOKUP($E320&amp;$F320,Results!$A$2:$G$413,Z$1,FALSE))</f>
        <v/>
      </c>
      <c r="AA320" s="16" t="str">
        <f>IF(ISERROR(VLOOKUP($E320&amp;$F320,Results!$A$2:$G$413,AA$1,FALSE)),"",VLOOKUP($E320&amp;$F320,Results!$A$2:$G$413,AA$1,FALSE))</f>
        <v/>
      </c>
      <c r="AB320" s="16" t="str">
        <f>IF(ISERROR(VLOOKUP($E320&amp;$F320,Results!$A$2:$G$413,AB$1,FALSE)),"",VLOOKUP($E320&amp;$F320,Results!$A$2:$G$413,AB$1,FALSE))</f>
        <v/>
      </c>
      <c r="AC320" s="16"/>
      <c r="AD320" s="20" t="str">
        <f>IF(ISERROR(VLOOKUP($AB320&amp;"-"&amp;$F320,Bonuses!$B$1:$G$1000,4,FALSE)),"",INT(VLOOKUP($AB320&amp;"-"&amp;$F320,Bonuses!$B$1:$G$1000,4,FALSE)))</f>
        <v/>
      </c>
      <c r="AE320" s="16" t="str">
        <f>IF(ISERROR(VLOOKUP($AB320&amp;"-"&amp;$F320,Bonuses!$B$1:$G$1000,5,FALSE)),"",IF(VLOOKUP($AB320&amp;"-"&amp;$F320,Bonuses!$B$1:$G$1000,5,FALSE)="","",VLOOKUP($AB320&amp;"-"&amp;$F320,Bonuses!$B$1:$G$1000,6,FALSE)&amp;" yrs, "&amp;VLOOKUP($AB320&amp;"-"&amp;$F320,Bonuses!$B$1:$G$1000,5,FALSE)))</f>
        <v/>
      </c>
    </row>
    <row r="321" spans="1:31" s="21" customFormat="1">
      <c r="A321" s="21" t="s">
        <v>786</v>
      </c>
      <c r="B321" s="21">
        <f t="shared" si="16"/>
        <v>1</v>
      </c>
      <c r="C321" s="21" t="str">
        <f t="shared" si="17"/>
        <v>P</v>
      </c>
      <c r="D321" s="17">
        <f>IF($C321="B",VLOOKUP($A321,Bat!$A$4:$BD$2323,D$1,FALSE),VLOOKUP($A321,Pit!$A$4:$AZ$2261,D$2,FALSE))</f>
        <v>13847</v>
      </c>
      <c r="E321" s="16" t="str">
        <f>IF($C321="B",VLOOKUP($A321,Bat!$A$4:$BD$2323,E$1,FALSE),VLOOKUP($A321,Pit!$A$4:$AZ$2261,E$2,FALSE))</f>
        <v>SP</v>
      </c>
      <c r="F321" s="16" t="str">
        <f>IF($C321="B",VLOOKUP($A321,Bat!$A$4:$BD$2323,F$1,FALSE),VLOOKUP($A321,Pit!$A$4:$AZ$2261,F$2,FALSE))</f>
        <v>Drake Sackett</v>
      </c>
      <c r="G321" s="16">
        <f>IF($C321="B",VLOOKUP($A321,Bat!$A$4:$BD$2323,G$1,FALSE),VLOOKUP($A321,Pit!$A$4:$AZ$2261,G$2,FALSE))</f>
        <v>18</v>
      </c>
      <c r="H321" s="16" t="str">
        <f>IF($C321="B",VLOOKUP($A321,Bat!$A$4:$BD$2323,H$1,FALSE),VLOOKUP($A321,Pit!$A$4:$AZ$2261,H$2,FALSE))</f>
        <v>R</v>
      </c>
      <c r="I321" s="16" t="str">
        <f>IF($C321="B",VLOOKUP($A321,Bat!$A$4:$BD$2323,I$1,FALSE),VLOOKUP($A321,Pit!$A$4:$AZ$2261,I$2,FALSE))</f>
        <v>R</v>
      </c>
      <c r="J321" s="16" t="str">
        <f>IF($C321="B",VLOOKUP($A321,Bat!$A$4:$BD$2323,J$1,FALSE),VLOOKUP($A321,Pit!$A$4:$AZ$2261,J$2,FALSE))</f>
        <v>High</v>
      </c>
      <c r="K321" s="17" t="str">
        <f>IF($C321="B",VLOOKUP($A321,Bat!$A$4:$BD$2323,K$1,FALSE),VLOOKUP($A321,Pit!$A$4:$AZ$2261,K$2,FALSE))</f>
        <v>High</v>
      </c>
      <c r="L321" s="16">
        <f>IF($C321="B",VLOOKUP($A321,Bat!$A$4:$BD$2323,L$1,FALSE),VLOOKUP($A321,Pit!$A$4:$AZ$2261,L$2,FALSE))</f>
        <v>5</v>
      </c>
      <c r="M321" s="16">
        <f>IF($C321="B",VLOOKUP($A321,Bat!$A$4:$BD$2323,M$1,FALSE),VLOOKUP($A321,Pit!$A$4:$AZ$2261,M$2,FALSE))</f>
        <v>4</v>
      </c>
      <c r="N321" s="16">
        <f>IF($C321="B",VLOOKUP($A321,Bat!$A$4:$BD$2323,N$1,FALSE),VLOOKUP($A321,Pit!$A$4:$AZ$2261,N$2,FALSE))</f>
        <v>7</v>
      </c>
      <c r="O321" s="16" t="str">
        <f>IF($C321="B",VLOOKUP($A321,Bat!$A$4:$BD$2323,O$1,FALSE),VLOOKUP($A321,Pit!$A$4:$AZ$2261,O$2,FALSE))</f>
        <v>90-92 Mph</v>
      </c>
      <c r="P321" s="17">
        <f>IF($C321="B",VLOOKUP($A321,Bat!$A$4:$BD$2323,P$1,FALSE),VLOOKUP($A321,Pit!$A$4:$AZ$2261,P$2,FALSE))</f>
        <v>7</v>
      </c>
      <c r="Q321" s="18">
        <f>IF($C321="B",VLOOKUP($A321,Bat!$A$4:$BD$2323,Q$1,FALSE),VLOOKUP($A321,Pit!$A$4:$AZ$2261,Q$2,FALSE))</f>
        <v>47.414725840488103</v>
      </c>
      <c r="R321" s="19">
        <f>IF($C321="B",VLOOKUP($A321,Bat!$A$4:$BD$2323,R$1,FALSE),VLOOKUP($A321,Pit!$A$4:$AZ$2261,R$2,FALSE))</f>
        <v>1.0712020010869823</v>
      </c>
      <c r="S321" s="20" t="str">
        <f>IF($C321="B",VLOOKUP($A321,Bat!$A$4:$BD$2323,S$1,FALSE),VLOOKUP($A321,Pit!$A$4:$AZ$2261,S$2,FALSE))</f>
        <v>Slot</v>
      </c>
      <c r="T321" s="17" t="str">
        <f>IF(S321="Slot","",VLOOKUP(IF($C321="B",VLOOKUP($A321,Bat!$A$4:$AT$2323,T$1,FALSE),VLOOKUP($A321,Pit!$A$4:$BD$2261,T$2,FALSE)),COND!$A$34:$B$40,2,FALSE))</f>
        <v/>
      </c>
      <c r="U321" s="21">
        <f>IF($C321="B",VLOOKUP($A321,Bat!$A$4:$AR$1287,44,FALSE),VLOOKUP($A321,Pit!$A$4:$BB$1239,54,FALSE))</f>
        <v>0</v>
      </c>
      <c r="W321" s="21">
        <f t="shared" si="18"/>
        <v>0</v>
      </c>
      <c r="X321" s="22" t="e">
        <f t="shared" si="19"/>
        <v>#N/A</v>
      </c>
      <c r="Y321" s="16" t="str">
        <f>IF(ISERROR(VLOOKUP($E321&amp;$F321,Results!$A$2:$G$413,Y$1,FALSE)),"",VLOOKUP($E321&amp;$F321,Results!$A$2:$G$413,Y$1,FALSE))</f>
        <v/>
      </c>
      <c r="Z321" s="16" t="str">
        <f>IF(ISERROR(VLOOKUP($E321&amp;$F321,Results!$A$2:$G$413,Z$1,FALSE)),"",VLOOKUP($E321&amp;$F321,Results!$A$2:$G$413,Z$1,FALSE))</f>
        <v/>
      </c>
      <c r="AA321" s="16" t="str">
        <f>IF(ISERROR(VLOOKUP($E321&amp;$F321,Results!$A$2:$G$413,AA$1,FALSE)),"",VLOOKUP($E321&amp;$F321,Results!$A$2:$G$413,AA$1,FALSE))</f>
        <v/>
      </c>
      <c r="AB321" s="16" t="str">
        <f>IF(ISERROR(VLOOKUP($E321&amp;$F321,Results!$A$2:$G$413,AB$1,FALSE)),"",VLOOKUP($E321&amp;$F321,Results!$A$2:$G$413,AB$1,FALSE))</f>
        <v/>
      </c>
      <c r="AC321" s="16"/>
      <c r="AD321" s="20" t="str">
        <f>IF(ISERROR(VLOOKUP($AB321&amp;"-"&amp;$F321,Bonuses!$B$1:$G$1000,4,FALSE)),"",INT(VLOOKUP($AB321&amp;"-"&amp;$F321,Bonuses!$B$1:$G$1000,4,FALSE)))</f>
        <v/>
      </c>
      <c r="AE321" s="16" t="str">
        <f>IF(ISERROR(VLOOKUP($AB321&amp;"-"&amp;$F321,Bonuses!$B$1:$G$1000,5,FALSE)),"",IF(VLOOKUP($AB321&amp;"-"&amp;$F321,Bonuses!$B$1:$G$1000,5,FALSE)="","",VLOOKUP($AB321&amp;"-"&amp;$F321,Bonuses!$B$1:$G$1000,6,FALSE)&amp;" yrs, "&amp;VLOOKUP($AB321&amp;"-"&amp;$F321,Bonuses!$B$1:$G$1000,5,FALSE)))</f>
        <v/>
      </c>
    </row>
    <row r="322" spans="1:31" s="21" customFormat="1">
      <c r="A322" s="21" t="s">
        <v>661</v>
      </c>
      <c r="B322" s="21">
        <f t="shared" si="16"/>
        <v>1</v>
      </c>
      <c r="C322" s="21" t="str">
        <f t="shared" si="17"/>
        <v>P</v>
      </c>
      <c r="D322" s="17">
        <f>IF($C322="B",VLOOKUP($A322,Bat!$A$4:$BD$2323,D$1,FALSE),VLOOKUP($A322,Pit!$A$4:$AZ$2261,D$2,FALSE))</f>
        <v>13910</v>
      </c>
      <c r="E322" s="16" t="str">
        <f>IF($C322="B",VLOOKUP($A322,Bat!$A$4:$BD$2323,E$1,FALSE),VLOOKUP($A322,Pit!$A$4:$AZ$2261,E$2,FALSE))</f>
        <v>SP</v>
      </c>
      <c r="F322" s="16" t="str">
        <f>IF($C322="B",VLOOKUP($A322,Bat!$A$4:$BD$2323,F$1,FALSE),VLOOKUP($A322,Pit!$A$4:$AZ$2261,F$2,FALSE))</f>
        <v>George Wolfe</v>
      </c>
      <c r="G322" s="16">
        <f>IF($C322="B",VLOOKUP($A322,Bat!$A$4:$BD$2323,G$1,FALSE),VLOOKUP($A322,Pit!$A$4:$AZ$2261,G$2,FALSE))</f>
        <v>21</v>
      </c>
      <c r="H322" s="16" t="str">
        <f>IF($C322="B",VLOOKUP($A322,Bat!$A$4:$BD$2323,H$1,FALSE),VLOOKUP($A322,Pit!$A$4:$AZ$2261,H$2,FALSE))</f>
        <v>L</v>
      </c>
      <c r="I322" s="16" t="str">
        <f>IF($C322="B",VLOOKUP($A322,Bat!$A$4:$BD$2323,I$1,FALSE),VLOOKUP($A322,Pit!$A$4:$AZ$2261,I$2,FALSE))</f>
        <v>L</v>
      </c>
      <c r="J322" s="16" t="str">
        <f>IF($C322="B",VLOOKUP($A322,Bat!$A$4:$BD$2323,J$1,FALSE),VLOOKUP($A322,Pit!$A$4:$AZ$2261,J$2,FALSE))</f>
        <v>Low</v>
      </c>
      <c r="K322" s="17" t="str">
        <f>IF($C322="B",VLOOKUP($A322,Bat!$A$4:$BD$2323,K$1,FALSE),VLOOKUP($A322,Pit!$A$4:$AZ$2261,K$2,FALSE))</f>
        <v>Low</v>
      </c>
      <c r="L322" s="16">
        <f>IF($C322="B",VLOOKUP($A322,Bat!$A$4:$BD$2323,L$1,FALSE),VLOOKUP($A322,Pit!$A$4:$AZ$2261,L$2,FALSE))</f>
        <v>3</v>
      </c>
      <c r="M322" s="16">
        <f>IF($C322="B",VLOOKUP($A322,Bat!$A$4:$BD$2323,M$1,FALSE),VLOOKUP($A322,Pit!$A$4:$AZ$2261,M$2,FALSE))</f>
        <v>6</v>
      </c>
      <c r="N322" s="16">
        <f>IF($C322="B",VLOOKUP($A322,Bat!$A$4:$BD$2323,N$1,FALSE),VLOOKUP($A322,Pit!$A$4:$AZ$2261,N$2,FALSE))</f>
        <v>8</v>
      </c>
      <c r="O322" s="16" t="str">
        <f>IF($C322="B",VLOOKUP($A322,Bat!$A$4:$BD$2323,O$1,FALSE),VLOOKUP($A322,Pit!$A$4:$AZ$2261,O$2,FALSE))</f>
        <v>93-95 Mph</v>
      </c>
      <c r="P322" s="17">
        <f>IF($C322="B",VLOOKUP($A322,Bat!$A$4:$BD$2323,P$1,FALSE),VLOOKUP($A322,Pit!$A$4:$AZ$2261,P$2,FALSE))</f>
        <v>4</v>
      </c>
      <c r="Q322" s="18">
        <f>IF($C322="B",VLOOKUP($A322,Bat!$A$4:$BD$2323,Q$1,FALSE),VLOOKUP($A322,Pit!$A$4:$AZ$2261,Q$2,FALSE))</f>
        <v>45.469314763650267</v>
      </c>
      <c r="R322" s="19">
        <f>IF($C322="B",VLOOKUP($A322,Bat!$A$4:$BD$2323,R$1,FALSE),VLOOKUP($A322,Pit!$A$4:$AZ$2261,R$2,FALSE))</f>
        <v>0.91676254609268581</v>
      </c>
      <c r="S322" s="20" t="str">
        <f>IF($C322="B",VLOOKUP($A322,Bat!$A$4:$BD$2323,S$1,FALSE),VLOOKUP($A322,Pit!$A$4:$AZ$2261,S$2,FALSE))</f>
        <v>Slot</v>
      </c>
      <c r="T322" s="17" t="str">
        <f>IF(S322="Slot","",VLOOKUP(IF($C322="B",VLOOKUP($A322,Bat!$A$4:$AT$2323,T$1,FALSE),VLOOKUP($A322,Pit!$A$4:$BD$2261,T$2,FALSE)),COND!$A$34:$B$40,2,FALSE))</f>
        <v/>
      </c>
      <c r="U322" s="21">
        <f>IF($C322="B",VLOOKUP($A322,Bat!$A$4:$AR$1287,44,FALSE),VLOOKUP($A322,Pit!$A$4:$BB$1239,54,FALSE))</f>
        <v>0</v>
      </c>
      <c r="W322" s="21">
        <f t="shared" si="18"/>
        <v>0</v>
      </c>
      <c r="X322" s="22" t="e">
        <f t="shared" si="19"/>
        <v>#N/A</v>
      </c>
      <c r="Y322" s="16" t="str">
        <f>IF(ISERROR(VLOOKUP($E322&amp;$F322,Results!$A$2:$G$413,Y$1,FALSE)),"",VLOOKUP($E322&amp;$F322,Results!$A$2:$G$413,Y$1,FALSE))</f>
        <v/>
      </c>
      <c r="Z322" s="16" t="str">
        <f>IF(ISERROR(VLOOKUP($E322&amp;$F322,Results!$A$2:$G$413,Z$1,FALSE)),"",VLOOKUP($E322&amp;$F322,Results!$A$2:$G$413,Z$1,FALSE))</f>
        <v/>
      </c>
      <c r="AA322" s="16" t="str">
        <f>IF(ISERROR(VLOOKUP($E322&amp;$F322,Results!$A$2:$G$413,AA$1,FALSE)),"",VLOOKUP($E322&amp;$F322,Results!$A$2:$G$413,AA$1,FALSE))</f>
        <v/>
      </c>
      <c r="AB322" s="16" t="str">
        <f>IF(ISERROR(VLOOKUP($E322&amp;$F322,Results!$A$2:$G$413,AB$1,FALSE)),"",VLOOKUP($E322&amp;$F322,Results!$A$2:$G$413,AB$1,FALSE))</f>
        <v/>
      </c>
      <c r="AC322" s="16"/>
      <c r="AD322" s="20" t="str">
        <f>IF(ISERROR(VLOOKUP($AB322&amp;"-"&amp;$F322,Bonuses!$B$1:$G$1000,4,FALSE)),"",INT(VLOOKUP($AB322&amp;"-"&amp;$F322,Bonuses!$B$1:$G$1000,4,FALSE)))</f>
        <v/>
      </c>
      <c r="AE322" s="16" t="str">
        <f>IF(ISERROR(VLOOKUP($AB322&amp;"-"&amp;$F322,Bonuses!$B$1:$G$1000,5,FALSE)),"",IF(VLOOKUP($AB322&amp;"-"&amp;$F322,Bonuses!$B$1:$G$1000,5,FALSE)="","",VLOOKUP($AB322&amp;"-"&amp;$F322,Bonuses!$B$1:$G$1000,6,FALSE)&amp;" yrs, "&amp;VLOOKUP($AB322&amp;"-"&amp;$F322,Bonuses!$B$1:$G$1000,5,FALSE)))</f>
        <v/>
      </c>
    </row>
    <row r="323" spans="1:31" s="21" customFormat="1">
      <c r="A323" s="21" t="s">
        <v>665</v>
      </c>
      <c r="B323" s="21">
        <f t="shared" si="16"/>
        <v>1</v>
      </c>
      <c r="C323" s="21" t="str">
        <f t="shared" si="17"/>
        <v>P</v>
      </c>
      <c r="D323" s="17">
        <f>IF($C323="B",VLOOKUP($A323,Bat!$A$4:$BD$2323,D$1,FALSE),VLOOKUP($A323,Pit!$A$4:$AZ$2261,D$2,FALSE))</f>
        <v>9189</v>
      </c>
      <c r="E323" s="16" t="str">
        <f>IF($C323="B",VLOOKUP($A323,Bat!$A$4:$BD$2323,E$1,FALSE),VLOOKUP($A323,Pit!$A$4:$AZ$2261,E$2,FALSE))</f>
        <v>SP</v>
      </c>
      <c r="F323" s="16" t="str">
        <f>IF($C323="B",VLOOKUP($A323,Bat!$A$4:$BD$2323,F$1,FALSE),VLOOKUP($A323,Pit!$A$4:$AZ$2261,F$2,FALSE))</f>
        <v>Kevin Ammons</v>
      </c>
      <c r="G323" s="16">
        <f>IF($C323="B",VLOOKUP($A323,Bat!$A$4:$BD$2323,G$1,FALSE),VLOOKUP($A323,Pit!$A$4:$AZ$2261,G$2,FALSE))</f>
        <v>21</v>
      </c>
      <c r="H323" s="16" t="str">
        <f>IF($C323="B",VLOOKUP($A323,Bat!$A$4:$BD$2323,H$1,FALSE),VLOOKUP($A323,Pit!$A$4:$AZ$2261,H$2,FALSE))</f>
        <v>R</v>
      </c>
      <c r="I323" s="16" t="str">
        <f>IF($C323="B",VLOOKUP($A323,Bat!$A$4:$BD$2323,I$1,FALSE),VLOOKUP($A323,Pit!$A$4:$AZ$2261,I$2,FALSE))</f>
        <v>R</v>
      </c>
      <c r="J323" s="16" t="str">
        <f>IF($C323="B",VLOOKUP($A323,Bat!$A$4:$BD$2323,J$1,FALSE),VLOOKUP($A323,Pit!$A$4:$AZ$2261,J$2,FALSE))</f>
        <v>Normal</v>
      </c>
      <c r="K323" s="17" t="str">
        <f>IF($C323="B",VLOOKUP($A323,Bat!$A$4:$BD$2323,K$1,FALSE),VLOOKUP($A323,Pit!$A$4:$AZ$2261,K$2,FALSE))</f>
        <v>Very Low</v>
      </c>
      <c r="L323" s="16">
        <f>IF($C323="B",VLOOKUP($A323,Bat!$A$4:$BD$2323,L$1,FALSE),VLOOKUP($A323,Pit!$A$4:$AZ$2261,L$2,FALSE))</f>
        <v>5</v>
      </c>
      <c r="M323" s="16">
        <f>IF($C323="B",VLOOKUP($A323,Bat!$A$4:$BD$2323,M$1,FALSE),VLOOKUP($A323,Pit!$A$4:$AZ$2261,M$2,FALSE))</f>
        <v>4</v>
      </c>
      <c r="N323" s="16">
        <f>IF($C323="B",VLOOKUP($A323,Bat!$A$4:$BD$2323,N$1,FALSE),VLOOKUP($A323,Pit!$A$4:$AZ$2261,N$2,FALSE))</f>
        <v>8</v>
      </c>
      <c r="O323" s="16" t="str">
        <f>IF($C323="B",VLOOKUP($A323,Bat!$A$4:$BD$2323,O$1,FALSE),VLOOKUP($A323,Pit!$A$4:$AZ$2261,O$2,FALSE))</f>
        <v>90-92 Mph</v>
      </c>
      <c r="P323" s="17">
        <f>IF($C323="B",VLOOKUP($A323,Bat!$A$4:$BD$2323,P$1,FALSE),VLOOKUP($A323,Pit!$A$4:$AZ$2261,P$2,FALSE))</f>
        <v>4</v>
      </c>
      <c r="Q323" s="18">
        <f>IF($C323="B",VLOOKUP($A323,Bat!$A$4:$BD$2323,Q$1,FALSE),VLOOKUP($A323,Pit!$A$4:$AZ$2261,Q$2,FALSE))</f>
        <v>44.80673528534966</v>
      </c>
      <c r="R323" s="19">
        <f>IF($C323="B",VLOOKUP($A323,Bat!$A$4:$BD$2323,R$1,FALSE),VLOOKUP($A323,Pit!$A$4:$AZ$2261,R$2,FALSE))</f>
        <v>0.86416265358797129</v>
      </c>
      <c r="S323" s="20" t="str">
        <f>IF($C323="B",VLOOKUP($A323,Bat!$A$4:$BD$2323,S$1,FALSE),VLOOKUP($A323,Pit!$A$4:$AZ$2261,S$2,FALSE))</f>
        <v>Slot</v>
      </c>
      <c r="T323" s="17" t="str">
        <f>IF(S323="Slot","",VLOOKUP(IF($C323="B",VLOOKUP($A323,Bat!$A$4:$AT$2323,T$1,FALSE),VLOOKUP($A323,Pit!$A$4:$BD$2261,T$2,FALSE)),COND!$A$34:$B$40,2,FALSE))</f>
        <v/>
      </c>
      <c r="U323" s="21">
        <f>IF($C323="B",VLOOKUP($A323,Bat!$A$4:$AR$1287,44,FALSE),VLOOKUP($A323,Pit!$A$4:$BB$1239,54,FALSE))</f>
        <v>0</v>
      </c>
      <c r="W323" s="21">
        <f t="shared" si="18"/>
        <v>0</v>
      </c>
      <c r="X323" s="22" t="e">
        <f t="shared" si="19"/>
        <v>#N/A</v>
      </c>
      <c r="Y323" s="16" t="str">
        <f>IF(ISERROR(VLOOKUP($E323&amp;$F323,Results!$A$2:$G$413,Y$1,FALSE)),"",VLOOKUP($E323&amp;$F323,Results!$A$2:$G$413,Y$1,FALSE))</f>
        <v/>
      </c>
      <c r="Z323" s="16" t="str">
        <f>IF(ISERROR(VLOOKUP($E323&amp;$F323,Results!$A$2:$G$413,Z$1,FALSE)),"",VLOOKUP($E323&amp;$F323,Results!$A$2:$G$413,Z$1,FALSE))</f>
        <v/>
      </c>
      <c r="AA323" s="16" t="str">
        <f>IF(ISERROR(VLOOKUP($E323&amp;$F323,Results!$A$2:$G$413,AA$1,FALSE)),"",VLOOKUP($E323&amp;$F323,Results!$A$2:$G$413,AA$1,FALSE))</f>
        <v/>
      </c>
      <c r="AB323" s="16" t="str">
        <f>IF(ISERROR(VLOOKUP($E323&amp;$F323,Results!$A$2:$G$413,AB$1,FALSE)),"",VLOOKUP($E323&amp;$F323,Results!$A$2:$G$413,AB$1,FALSE))</f>
        <v/>
      </c>
      <c r="AC323" s="16"/>
      <c r="AD323" s="20" t="str">
        <f>IF(ISERROR(VLOOKUP($AB323&amp;"-"&amp;$F323,Bonuses!$B$1:$G$1000,4,FALSE)),"",INT(VLOOKUP($AB323&amp;"-"&amp;$F323,Bonuses!$B$1:$G$1000,4,FALSE)))</f>
        <v/>
      </c>
      <c r="AE323" s="16" t="str">
        <f>IF(ISERROR(VLOOKUP($AB323&amp;"-"&amp;$F323,Bonuses!$B$1:$G$1000,5,FALSE)),"",IF(VLOOKUP($AB323&amp;"-"&amp;$F323,Bonuses!$B$1:$G$1000,5,FALSE)="","",VLOOKUP($AB323&amp;"-"&amp;$F323,Bonuses!$B$1:$G$1000,6,FALSE)&amp;" yrs, "&amp;VLOOKUP($AB323&amp;"-"&amp;$F323,Bonuses!$B$1:$G$1000,5,FALSE)))</f>
        <v/>
      </c>
    </row>
    <row r="324" spans="1:31" s="21" customFormat="1">
      <c r="A324" s="21" t="s">
        <v>652</v>
      </c>
      <c r="B324" s="21">
        <f t="shared" si="16"/>
        <v>1</v>
      </c>
      <c r="C324" s="21" t="str">
        <f t="shared" si="17"/>
        <v>P</v>
      </c>
      <c r="D324" s="17">
        <f>IF($C324="B",VLOOKUP($A324,Bat!$A$4:$BD$2323,D$1,FALSE),VLOOKUP($A324,Pit!$A$4:$AZ$2261,D$2,FALSE))</f>
        <v>13853</v>
      </c>
      <c r="E324" s="16" t="str">
        <f>IF($C324="B",VLOOKUP($A324,Bat!$A$4:$BD$2323,E$1,FALSE),VLOOKUP($A324,Pit!$A$4:$AZ$2261,E$2,FALSE))</f>
        <v>SP</v>
      </c>
      <c r="F324" s="16" t="str">
        <f>IF($C324="B",VLOOKUP($A324,Bat!$A$4:$BD$2323,F$1,FALSE),VLOOKUP($A324,Pit!$A$4:$AZ$2261,F$2,FALSE))</f>
        <v>Rafael García</v>
      </c>
      <c r="G324" s="16">
        <f>IF($C324="B",VLOOKUP($A324,Bat!$A$4:$BD$2323,G$1,FALSE),VLOOKUP($A324,Pit!$A$4:$AZ$2261,G$2,FALSE))</f>
        <v>18</v>
      </c>
      <c r="H324" s="16" t="str">
        <f>IF($C324="B",VLOOKUP($A324,Bat!$A$4:$BD$2323,H$1,FALSE),VLOOKUP($A324,Pit!$A$4:$AZ$2261,H$2,FALSE))</f>
        <v>R</v>
      </c>
      <c r="I324" s="16" t="str">
        <f>IF($C324="B",VLOOKUP($A324,Bat!$A$4:$BD$2323,I$1,FALSE),VLOOKUP($A324,Pit!$A$4:$AZ$2261,I$2,FALSE))</f>
        <v>R</v>
      </c>
      <c r="J324" s="16" t="str">
        <f>IF($C324="B",VLOOKUP($A324,Bat!$A$4:$BD$2323,J$1,FALSE),VLOOKUP($A324,Pit!$A$4:$AZ$2261,J$2,FALSE))</f>
        <v>Low</v>
      </c>
      <c r="K324" s="17" t="str">
        <f>IF($C324="B",VLOOKUP($A324,Bat!$A$4:$BD$2323,K$1,FALSE),VLOOKUP($A324,Pit!$A$4:$AZ$2261,K$2,FALSE))</f>
        <v>Normal</v>
      </c>
      <c r="L324" s="16">
        <f>IF($C324="B",VLOOKUP($A324,Bat!$A$4:$BD$2323,L$1,FALSE),VLOOKUP($A324,Pit!$A$4:$AZ$2261,L$2,FALSE))</f>
        <v>5</v>
      </c>
      <c r="M324" s="16">
        <f>IF($C324="B",VLOOKUP($A324,Bat!$A$4:$BD$2323,M$1,FALSE),VLOOKUP($A324,Pit!$A$4:$AZ$2261,M$2,FALSE))</f>
        <v>6</v>
      </c>
      <c r="N324" s="16">
        <f>IF($C324="B",VLOOKUP($A324,Bat!$A$4:$BD$2323,N$1,FALSE),VLOOKUP($A324,Pit!$A$4:$AZ$2261,N$2,FALSE))</f>
        <v>6</v>
      </c>
      <c r="O324" s="16" t="str">
        <f>IF($C324="B",VLOOKUP($A324,Bat!$A$4:$BD$2323,O$1,FALSE),VLOOKUP($A324,Pit!$A$4:$AZ$2261,O$2,FALSE))</f>
        <v>84-86 Mph</v>
      </c>
      <c r="P324" s="17">
        <f>IF($C324="B",VLOOKUP($A324,Bat!$A$4:$BD$2323,P$1,FALSE),VLOOKUP($A324,Pit!$A$4:$AZ$2261,P$2,FALSE))</f>
        <v>6</v>
      </c>
      <c r="Q324" s="18">
        <f>IF($C324="B",VLOOKUP($A324,Bat!$A$4:$BD$2323,Q$1,FALSE),VLOOKUP($A324,Pit!$A$4:$AZ$2261,Q$2,FALSE))</f>
        <v>45.703998348804376</v>
      </c>
      <c r="R324" s="19">
        <f>IF($C324="B",VLOOKUP($A324,Bat!$A$4:$BD$2323,R$1,FALSE),VLOOKUP($A324,Pit!$A$4:$AZ$2261,R$2,FALSE))</f>
        <v>0.93539326400050271</v>
      </c>
      <c r="S324" s="20" t="str">
        <f>IF($C324="B",VLOOKUP($A324,Bat!$A$4:$BD$2323,S$1,FALSE),VLOOKUP($A324,Pit!$A$4:$AZ$2261,S$2,FALSE))</f>
        <v>Slot</v>
      </c>
      <c r="T324" s="17" t="str">
        <f>IF(S324="Slot","",VLOOKUP(IF($C324="B",VLOOKUP($A324,Bat!$A$4:$AT$2323,T$1,FALSE),VLOOKUP($A324,Pit!$A$4:$BD$2261,T$2,FALSE)),COND!$A$34:$B$40,2,FALSE))</f>
        <v/>
      </c>
      <c r="U324" s="21">
        <f>IF($C324="B",VLOOKUP($A324,Bat!$A$4:$AR$1287,44,FALSE),VLOOKUP($A324,Pit!$A$4:$BB$1239,54,FALSE))</f>
        <v>0</v>
      </c>
      <c r="W324" s="21">
        <f t="shared" si="18"/>
        <v>0</v>
      </c>
      <c r="X324" s="22" t="e">
        <f t="shared" si="19"/>
        <v>#N/A</v>
      </c>
      <c r="Y324" s="16" t="str">
        <f>IF(ISERROR(VLOOKUP($E324&amp;$F324,Results!$A$2:$G$413,Y$1,FALSE)),"",VLOOKUP($E324&amp;$F324,Results!$A$2:$G$413,Y$1,FALSE))</f>
        <v/>
      </c>
      <c r="Z324" s="16" t="str">
        <f>IF(ISERROR(VLOOKUP($E324&amp;$F324,Results!$A$2:$G$413,Z$1,FALSE)),"",VLOOKUP($E324&amp;$F324,Results!$A$2:$G$413,Z$1,FALSE))</f>
        <v/>
      </c>
      <c r="AA324" s="16" t="str">
        <f>IF(ISERROR(VLOOKUP($E324&amp;$F324,Results!$A$2:$G$413,AA$1,FALSE)),"",VLOOKUP($E324&amp;$F324,Results!$A$2:$G$413,AA$1,FALSE))</f>
        <v/>
      </c>
      <c r="AB324" s="16" t="str">
        <f>IF(ISERROR(VLOOKUP($E324&amp;$F324,Results!$A$2:$G$413,AB$1,FALSE)),"",VLOOKUP($E324&amp;$F324,Results!$A$2:$G$413,AB$1,FALSE))</f>
        <v/>
      </c>
      <c r="AC324" s="16"/>
      <c r="AD324" s="20" t="str">
        <f>IF(ISERROR(VLOOKUP($AB324&amp;"-"&amp;$F324,Bonuses!$B$1:$G$1000,4,FALSE)),"",INT(VLOOKUP($AB324&amp;"-"&amp;$F324,Bonuses!$B$1:$G$1000,4,FALSE)))</f>
        <v/>
      </c>
      <c r="AE324" s="16" t="str">
        <f>IF(ISERROR(VLOOKUP($AB324&amp;"-"&amp;$F324,Bonuses!$B$1:$G$1000,5,FALSE)),"",IF(VLOOKUP($AB324&amp;"-"&amp;$F324,Bonuses!$B$1:$G$1000,5,FALSE)="","",VLOOKUP($AB324&amp;"-"&amp;$F324,Bonuses!$B$1:$G$1000,6,FALSE)&amp;" yrs, "&amp;VLOOKUP($AB324&amp;"-"&amp;$F324,Bonuses!$B$1:$G$1000,5,FALSE)))</f>
        <v/>
      </c>
    </row>
    <row r="325" spans="1:31" s="21" customFormat="1">
      <c r="A325" s="21" t="s">
        <v>782</v>
      </c>
      <c r="B325" s="21">
        <f t="shared" ref="B325:B388" si="20">COUNTIF($A$5:$A$598,A325)</f>
        <v>1</v>
      </c>
      <c r="C325" s="21" t="str">
        <f t="shared" ref="C325:C388" si="21">IF(OR(MID(A325,1,2)="SP",MID(A325,1,2)="MR",MID(A325,1,2)="CL",MID(A325,1,2)="RP"),"P","B")</f>
        <v>P</v>
      </c>
      <c r="D325" s="17">
        <f>IF($C325="B",VLOOKUP($A325,Bat!$A$4:$BD$2323,D$1,FALSE),VLOOKUP($A325,Pit!$A$4:$AZ$2261,D$2,FALSE))</f>
        <v>4372</v>
      </c>
      <c r="E325" s="16" t="str">
        <f>IF($C325="B",VLOOKUP($A325,Bat!$A$4:$BD$2323,E$1,FALSE),VLOOKUP($A325,Pit!$A$4:$AZ$2261,E$2,FALSE))</f>
        <v>SP</v>
      </c>
      <c r="F325" s="16" t="str">
        <f>IF($C325="B",VLOOKUP($A325,Bat!$A$4:$BD$2323,F$1,FALSE),VLOOKUP($A325,Pit!$A$4:$AZ$2261,F$2,FALSE))</f>
        <v>Adam Payne</v>
      </c>
      <c r="G325" s="16">
        <f>IF($C325="B",VLOOKUP($A325,Bat!$A$4:$BD$2323,G$1,FALSE),VLOOKUP($A325,Pit!$A$4:$AZ$2261,G$2,FALSE))</f>
        <v>21</v>
      </c>
      <c r="H325" s="16" t="str">
        <f>IF($C325="B",VLOOKUP($A325,Bat!$A$4:$BD$2323,H$1,FALSE),VLOOKUP($A325,Pit!$A$4:$AZ$2261,H$2,FALSE))</f>
        <v>R</v>
      </c>
      <c r="I325" s="16" t="str">
        <f>IF($C325="B",VLOOKUP($A325,Bat!$A$4:$BD$2323,I$1,FALSE),VLOOKUP($A325,Pit!$A$4:$AZ$2261,I$2,FALSE))</f>
        <v>R</v>
      </c>
      <c r="J325" s="16" t="str">
        <f>IF($C325="B",VLOOKUP($A325,Bat!$A$4:$BD$2323,J$1,FALSE),VLOOKUP($A325,Pit!$A$4:$AZ$2261,J$2,FALSE))</f>
        <v>Very Low</v>
      </c>
      <c r="K325" s="17" t="str">
        <f>IF($C325="B",VLOOKUP($A325,Bat!$A$4:$BD$2323,K$1,FALSE),VLOOKUP($A325,Pit!$A$4:$AZ$2261,K$2,FALSE))</f>
        <v>High</v>
      </c>
      <c r="L325" s="16">
        <f>IF($C325="B",VLOOKUP($A325,Bat!$A$4:$BD$2323,L$1,FALSE),VLOOKUP($A325,Pit!$A$4:$AZ$2261,L$2,FALSE))</f>
        <v>6</v>
      </c>
      <c r="M325" s="16">
        <f>IF($C325="B",VLOOKUP($A325,Bat!$A$4:$BD$2323,M$1,FALSE),VLOOKUP($A325,Pit!$A$4:$AZ$2261,M$2,FALSE))</f>
        <v>5</v>
      </c>
      <c r="N325" s="16">
        <f>IF($C325="B",VLOOKUP($A325,Bat!$A$4:$BD$2323,N$1,FALSE),VLOOKUP($A325,Pit!$A$4:$AZ$2261,N$2,FALSE))</f>
        <v>5</v>
      </c>
      <c r="O325" s="16" t="str">
        <f>IF($C325="B",VLOOKUP($A325,Bat!$A$4:$BD$2323,O$1,FALSE),VLOOKUP($A325,Pit!$A$4:$AZ$2261,O$2,FALSE))</f>
        <v>95-97 Mph</v>
      </c>
      <c r="P325" s="17">
        <f>IF($C325="B",VLOOKUP($A325,Bat!$A$4:$BD$2323,P$1,FALSE),VLOOKUP($A325,Pit!$A$4:$AZ$2261,P$2,FALSE))</f>
        <v>9</v>
      </c>
      <c r="Q325" s="18">
        <f>IF($C325="B",VLOOKUP($A325,Bat!$A$4:$BD$2323,Q$1,FALSE),VLOOKUP($A325,Pit!$A$4:$AZ$2261,Q$2,FALSE))</f>
        <v>44.911780553579213</v>
      </c>
      <c r="R325" s="19">
        <f>IF($C325="B",VLOOKUP($A325,Bat!$A$4:$BD$2323,R$1,FALSE),VLOOKUP($A325,Pit!$A$4:$AZ$2261,R$2,FALSE))</f>
        <v>0.872501834015314</v>
      </c>
      <c r="S325" s="20" t="str">
        <f>IF($C325="B",VLOOKUP($A325,Bat!$A$4:$BD$2323,S$1,FALSE),VLOOKUP($A325,Pit!$A$4:$AZ$2261,S$2,FALSE))</f>
        <v>Slot</v>
      </c>
      <c r="T325" s="17" t="str">
        <f>IF(S325="Slot","",VLOOKUP(IF($C325="B",VLOOKUP($A325,Bat!$A$4:$AT$2323,T$1,FALSE),VLOOKUP($A325,Pit!$A$4:$BD$2261,T$2,FALSE)),COND!$A$34:$B$40,2,FALSE))</f>
        <v/>
      </c>
      <c r="U325" s="21">
        <f>IF($C325="B",VLOOKUP($A325,Bat!$A$4:$AR$1287,44,FALSE),VLOOKUP($A325,Pit!$A$4:$BB$1239,54,FALSE))</f>
        <v>0</v>
      </c>
      <c r="W325" s="21">
        <f t="shared" ref="W325:W388" si="22">IF(OR(U325=999,AND(S325&gt;$S$3,S325&lt;&gt;"Slot")),"",U325)</f>
        <v>0</v>
      </c>
      <c r="X325" s="22" t="e">
        <f t="shared" ref="X325:X388" si="23">RANK(R325,$R$5:$R$1469)</f>
        <v>#N/A</v>
      </c>
      <c r="Y325" s="16" t="str">
        <f>IF(ISERROR(VLOOKUP($E325&amp;$F325,Results!$A$2:$G$413,Y$1,FALSE)),"",VLOOKUP($E325&amp;$F325,Results!$A$2:$G$413,Y$1,FALSE))</f>
        <v/>
      </c>
      <c r="Z325" s="16" t="str">
        <f>IF(ISERROR(VLOOKUP($E325&amp;$F325,Results!$A$2:$G$413,Z$1,FALSE)),"",VLOOKUP($E325&amp;$F325,Results!$A$2:$G$413,Z$1,FALSE))</f>
        <v/>
      </c>
      <c r="AA325" s="16" t="str">
        <f>IF(ISERROR(VLOOKUP($E325&amp;$F325,Results!$A$2:$G$413,AA$1,FALSE)),"",VLOOKUP($E325&amp;$F325,Results!$A$2:$G$413,AA$1,FALSE))</f>
        <v/>
      </c>
      <c r="AB325" s="16" t="str">
        <f>IF(ISERROR(VLOOKUP($E325&amp;$F325,Results!$A$2:$G$413,AB$1,FALSE)),"",VLOOKUP($E325&amp;$F325,Results!$A$2:$G$413,AB$1,FALSE))</f>
        <v/>
      </c>
      <c r="AC325" s="16"/>
      <c r="AD325" s="20" t="str">
        <f>IF(ISERROR(VLOOKUP($AB325&amp;"-"&amp;$F325,Bonuses!$B$1:$G$1000,4,FALSE)),"",INT(VLOOKUP($AB325&amp;"-"&amp;$F325,Bonuses!$B$1:$G$1000,4,FALSE)))</f>
        <v/>
      </c>
      <c r="AE325" s="16" t="str">
        <f>IF(ISERROR(VLOOKUP($AB325&amp;"-"&amp;$F325,Bonuses!$B$1:$G$1000,5,FALSE)),"",IF(VLOOKUP($AB325&amp;"-"&amp;$F325,Bonuses!$B$1:$G$1000,5,FALSE)="","",VLOOKUP($AB325&amp;"-"&amp;$F325,Bonuses!$B$1:$G$1000,6,FALSE)&amp;" yrs, "&amp;VLOOKUP($AB325&amp;"-"&amp;$F325,Bonuses!$B$1:$G$1000,5,FALSE)))</f>
        <v/>
      </c>
    </row>
    <row r="326" spans="1:31" s="21" customFormat="1">
      <c r="A326" s="21" t="s">
        <v>84</v>
      </c>
      <c r="B326" s="21">
        <f t="shared" si="20"/>
        <v>1</v>
      </c>
      <c r="C326" s="21" t="str">
        <f t="shared" si="21"/>
        <v>P</v>
      </c>
      <c r="D326" s="17">
        <f>IF($C326="B",VLOOKUP($A326,Bat!$A$4:$BD$2323,D$1,FALSE),VLOOKUP($A326,Pit!$A$4:$AZ$2261,D$2,FALSE))</f>
        <v>8683</v>
      </c>
      <c r="E326" s="16" t="str">
        <f>IF($C326="B",VLOOKUP($A326,Bat!$A$4:$BD$2323,E$1,FALSE),VLOOKUP($A326,Pit!$A$4:$AZ$2261,E$2,FALSE))</f>
        <v>SP</v>
      </c>
      <c r="F326" s="16" t="str">
        <f>IF($C326="B",VLOOKUP($A326,Bat!$A$4:$BD$2323,F$1,FALSE),VLOOKUP($A326,Pit!$A$4:$AZ$2261,F$2,FALSE))</f>
        <v>Keith Mays</v>
      </c>
      <c r="G326" s="16">
        <f>IF($C326="B",VLOOKUP($A326,Bat!$A$4:$BD$2323,G$1,FALSE),VLOOKUP($A326,Pit!$A$4:$AZ$2261,G$2,FALSE))</f>
        <v>21</v>
      </c>
      <c r="H326" s="16" t="str">
        <f>IF($C326="B",VLOOKUP($A326,Bat!$A$4:$BD$2323,H$1,FALSE),VLOOKUP($A326,Pit!$A$4:$AZ$2261,H$2,FALSE))</f>
        <v>L</v>
      </c>
      <c r="I326" s="16" t="str">
        <f>IF($C326="B",VLOOKUP($A326,Bat!$A$4:$BD$2323,I$1,FALSE),VLOOKUP($A326,Pit!$A$4:$AZ$2261,I$2,FALSE))</f>
        <v>L</v>
      </c>
      <c r="J326" s="16" t="str">
        <f>IF($C326="B",VLOOKUP($A326,Bat!$A$4:$BD$2323,J$1,FALSE),VLOOKUP($A326,Pit!$A$4:$AZ$2261,J$2,FALSE))</f>
        <v>Low</v>
      </c>
      <c r="K326" s="17" t="str">
        <f>IF($C326="B",VLOOKUP($A326,Bat!$A$4:$BD$2323,K$1,FALSE),VLOOKUP($A326,Pit!$A$4:$AZ$2261,K$2,FALSE))</f>
        <v>Normal</v>
      </c>
      <c r="L326" s="16">
        <f>IF($C326="B",VLOOKUP($A326,Bat!$A$4:$BD$2323,L$1,FALSE),VLOOKUP($A326,Pit!$A$4:$AZ$2261,L$2,FALSE))</f>
        <v>6</v>
      </c>
      <c r="M326" s="16">
        <f>IF($C326="B",VLOOKUP($A326,Bat!$A$4:$BD$2323,M$1,FALSE),VLOOKUP($A326,Pit!$A$4:$AZ$2261,M$2,FALSE))</f>
        <v>6</v>
      </c>
      <c r="N326" s="16">
        <f>IF($C326="B",VLOOKUP($A326,Bat!$A$4:$BD$2323,N$1,FALSE),VLOOKUP($A326,Pit!$A$4:$AZ$2261,N$2,FALSE))</f>
        <v>5</v>
      </c>
      <c r="O326" s="16" t="str">
        <f>IF($C326="B",VLOOKUP($A326,Bat!$A$4:$BD$2323,O$1,FALSE),VLOOKUP($A326,Pit!$A$4:$AZ$2261,O$2,FALSE))</f>
        <v>94-96 Mph</v>
      </c>
      <c r="P326" s="17">
        <f>IF($C326="B",VLOOKUP($A326,Bat!$A$4:$BD$2323,P$1,FALSE),VLOOKUP($A326,Pit!$A$4:$AZ$2261,P$2,FALSE))</f>
        <v>7</v>
      </c>
      <c r="Q326" s="18">
        <f>IF($C326="B",VLOOKUP($A326,Bat!$A$4:$BD$2323,Q$1,FALSE),VLOOKUP($A326,Pit!$A$4:$AZ$2261,Q$2,FALSE))</f>
        <v>44.852636806220275</v>
      </c>
      <c r="R326" s="19">
        <f>IF($C326="B",VLOOKUP($A326,Bat!$A$4:$BD$2323,R$1,FALSE),VLOOKUP($A326,Pit!$A$4:$AZ$2261,R$2,FALSE))</f>
        <v>0.86780661652776803</v>
      </c>
      <c r="S326" s="20" t="str">
        <f>IF($C326="B",VLOOKUP($A326,Bat!$A$4:$BD$2323,S$1,FALSE),VLOOKUP($A326,Pit!$A$4:$AZ$2261,S$2,FALSE))</f>
        <v>Slot</v>
      </c>
      <c r="T326" s="17" t="str">
        <f>IF(S326="Slot","",VLOOKUP(IF($C326="B",VLOOKUP($A326,Bat!$A$4:$AT$2323,T$1,FALSE),VLOOKUP($A326,Pit!$A$4:$BD$2261,T$2,FALSE)),COND!$A$34:$B$40,2,FALSE))</f>
        <v/>
      </c>
      <c r="U326" s="21">
        <f>IF($C326="B",VLOOKUP($A326,Bat!$A$4:$AR$1287,44,FALSE),VLOOKUP($A326,Pit!$A$4:$BB$1239,54,FALSE))</f>
        <v>0</v>
      </c>
      <c r="W326" s="21">
        <f t="shared" si="22"/>
        <v>0</v>
      </c>
      <c r="X326" s="22" t="e">
        <f t="shared" si="23"/>
        <v>#N/A</v>
      </c>
      <c r="Y326" s="16" t="str">
        <f>IF(ISERROR(VLOOKUP($E326&amp;$F326,Results!$A$2:$G$413,Y$1,FALSE)),"",VLOOKUP($E326&amp;$F326,Results!$A$2:$G$413,Y$1,FALSE))</f>
        <v/>
      </c>
      <c r="Z326" s="16" t="str">
        <f>IF(ISERROR(VLOOKUP($E326&amp;$F326,Results!$A$2:$G$413,Z$1,FALSE)),"",VLOOKUP($E326&amp;$F326,Results!$A$2:$G$413,Z$1,FALSE))</f>
        <v/>
      </c>
      <c r="AA326" s="16" t="str">
        <f>IF(ISERROR(VLOOKUP($E326&amp;$F326,Results!$A$2:$G$413,AA$1,FALSE)),"",VLOOKUP($E326&amp;$F326,Results!$A$2:$G$413,AA$1,FALSE))</f>
        <v/>
      </c>
      <c r="AB326" s="16" t="str">
        <f>IF(ISERROR(VLOOKUP($E326&amp;$F326,Results!$A$2:$G$413,AB$1,FALSE)),"",VLOOKUP($E326&amp;$F326,Results!$A$2:$G$413,AB$1,FALSE))</f>
        <v/>
      </c>
      <c r="AC326" s="16"/>
      <c r="AD326" s="20" t="str">
        <f>IF(ISERROR(VLOOKUP($AB326&amp;"-"&amp;$F326,Bonuses!$B$1:$G$1000,4,FALSE)),"",INT(VLOOKUP($AB326&amp;"-"&amp;$F326,Bonuses!$B$1:$G$1000,4,FALSE)))</f>
        <v/>
      </c>
      <c r="AE326" s="16" t="str">
        <f>IF(ISERROR(VLOOKUP($AB326&amp;"-"&amp;$F326,Bonuses!$B$1:$G$1000,5,FALSE)),"",IF(VLOOKUP($AB326&amp;"-"&amp;$F326,Bonuses!$B$1:$G$1000,5,FALSE)="","",VLOOKUP($AB326&amp;"-"&amp;$F326,Bonuses!$B$1:$G$1000,6,FALSE)&amp;" yrs, "&amp;VLOOKUP($AB326&amp;"-"&amp;$F326,Bonuses!$B$1:$G$1000,5,FALSE)))</f>
        <v/>
      </c>
    </row>
    <row r="327" spans="1:31" s="21" customFormat="1">
      <c r="A327" s="21" t="s">
        <v>801</v>
      </c>
      <c r="B327" s="21">
        <f t="shared" si="20"/>
        <v>1</v>
      </c>
      <c r="C327" s="21" t="str">
        <f t="shared" si="21"/>
        <v>P</v>
      </c>
      <c r="D327" s="17">
        <f>IF($C327="B",VLOOKUP($A327,Bat!$A$4:$BD$2323,D$1,FALSE),VLOOKUP($A327,Pit!$A$4:$AZ$2261,D$2,FALSE))</f>
        <v>5656</v>
      </c>
      <c r="E327" s="16" t="str">
        <f>IF($C327="B",VLOOKUP($A327,Bat!$A$4:$BD$2323,E$1,FALSE),VLOOKUP($A327,Pit!$A$4:$AZ$2261,E$2,FALSE))</f>
        <v>SP</v>
      </c>
      <c r="F327" s="16" t="str">
        <f>IF($C327="B",VLOOKUP($A327,Bat!$A$4:$BD$2323,F$1,FALSE),VLOOKUP($A327,Pit!$A$4:$AZ$2261,F$2,FALSE))</f>
        <v>Paco Morales</v>
      </c>
      <c r="G327" s="16">
        <f>IF($C327="B",VLOOKUP($A327,Bat!$A$4:$BD$2323,G$1,FALSE),VLOOKUP($A327,Pit!$A$4:$AZ$2261,G$2,FALSE))</f>
        <v>21</v>
      </c>
      <c r="H327" s="16" t="str">
        <f>IF($C327="B",VLOOKUP($A327,Bat!$A$4:$BD$2323,H$1,FALSE),VLOOKUP($A327,Pit!$A$4:$AZ$2261,H$2,FALSE))</f>
        <v>R</v>
      </c>
      <c r="I327" s="16" t="str">
        <f>IF($C327="B",VLOOKUP($A327,Bat!$A$4:$BD$2323,I$1,FALSE),VLOOKUP($A327,Pit!$A$4:$AZ$2261,I$2,FALSE))</f>
        <v>R</v>
      </c>
      <c r="J327" s="16" t="str">
        <f>IF($C327="B",VLOOKUP($A327,Bat!$A$4:$BD$2323,J$1,FALSE),VLOOKUP($A327,Pit!$A$4:$AZ$2261,J$2,FALSE))</f>
        <v>High</v>
      </c>
      <c r="K327" s="17" t="str">
        <f>IF($C327="B",VLOOKUP($A327,Bat!$A$4:$BD$2323,K$1,FALSE),VLOOKUP($A327,Pit!$A$4:$AZ$2261,K$2,FALSE))</f>
        <v>Very High</v>
      </c>
      <c r="L327" s="16">
        <f>IF($C327="B",VLOOKUP($A327,Bat!$A$4:$BD$2323,L$1,FALSE),VLOOKUP($A327,Pit!$A$4:$AZ$2261,L$2,FALSE))</f>
        <v>5</v>
      </c>
      <c r="M327" s="16">
        <f>IF($C327="B",VLOOKUP($A327,Bat!$A$4:$BD$2323,M$1,FALSE),VLOOKUP($A327,Pit!$A$4:$AZ$2261,M$2,FALSE))</f>
        <v>5</v>
      </c>
      <c r="N327" s="16">
        <f>IF($C327="B",VLOOKUP($A327,Bat!$A$4:$BD$2323,N$1,FALSE),VLOOKUP($A327,Pit!$A$4:$AZ$2261,N$2,FALSE))</f>
        <v>6</v>
      </c>
      <c r="O327" s="16" t="str">
        <f>IF($C327="B",VLOOKUP($A327,Bat!$A$4:$BD$2323,O$1,FALSE),VLOOKUP($A327,Pit!$A$4:$AZ$2261,O$2,FALSE))</f>
        <v>89-90 Mph</v>
      </c>
      <c r="P327" s="17">
        <f>IF($C327="B",VLOOKUP($A327,Bat!$A$4:$BD$2323,P$1,FALSE),VLOOKUP($A327,Pit!$A$4:$AZ$2261,P$2,FALSE))</f>
        <v>7</v>
      </c>
      <c r="Q327" s="18">
        <f>IF($C327="B",VLOOKUP($A327,Bat!$A$4:$BD$2323,Q$1,FALSE),VLOOKUP($A327,Pit!$A$4:$AZ$2261,Q$2,FALSE))</f>
        <v>46.028437569405682</v>
      </c>
      <c r="R327" s="19">
        <f>IF($C327="B",VLOOKUP($A327,Bat!$A$4:$BD$2323,R$1,FALSE),VLOOKUP($A327,Pit!$A$4:$AZ$2261,R$2,FALSE))</f>
        <v>0.96114937128549105</v>
      </c>
      <c r="S327" s="20" t="str">
        <f>IF($C327="B",VLOOKUP($A327,Bat!$A$4:$BD$2323,S$1,FALSE),VLOOKUP($A327,Pit!$A$4:$AZ$2261,S$2,FALSE))</f>
        <v>Slot</v>
      </c>
      <c r="T327" s="17" t="str">
        <f>IF(S327="Slot","",VLOOKUP(IF($C327="B",VLOOKUP($A327,Bat!$A$4:$AT$2323,T$1,FALSE),VLOOKUP($A327,Pit!$A$4:$BD$2261,T$2,FALSE)),COND!$A$34:$B$40,2,FALSE))</f>
        <v/>
      </c>
      <c r="U327" s="21">
        <f>IF($C327="B",VLOOKUP($A327,Bat!$A$4:$AR$1287,44,FALSE),VLOOKUP($A327,Pit!$A$4:$BB$1239,54,FALSE))</f>
        <v>0</v>
      </c>
      <c r="W327" s="21">
        <f t="shared" si="22"/>
        <v>0</v>
      </c>
      <c r="X327" s="22" t="e">
        <f t="shared" si="23"/>
        <v>#N/A</v>
      </c>
      <c r="Y327" s="16" t="str">
        <f>IF(ISERROR(VLOOKUP($E327&amp;$F327,Results!$A$2:$G$413,Y$1,FALSE)),"",VLOOKUP($E327&amp;$F327,Results!$A$2:$G$413,Y$1,FALSE))</f>
        <v/>
      </c>
      <c r="Z327" s="16" t="str">
        <f>IF(ISERROR(VLOOKUP($E327&amp;$F327,Results!$A$2:$G$413,Z$1,FALSE)),"",VLOOKUP($E327&amp;$F327,Results!$A$2:$G$413,Z$1,FALSE))</f>
        <v/>
      </c>
      <c r="AA327" s="16" t="str">
        <f>IF(ISERROR(VLOOKUP($E327&amp;$F327,Results!$A$2:$G$413,AA$1,FALSE)),"",VLOOKUP($E327&amp;$F327,Results!$A$2:$G$413,AA$1,FALSE))</f>
        <v/>
      </c>
      <c r="AB327" s="16" t="str">
        <f>IF(ISERROR(VLOOKUP($E327&amp;$F327,Results!$A$2:$G$413,AB$1,FALSE)),"",VLOOKUP($E327&amp;$F327,Results!$A$2:$G$413,AB$1,FALSE))</f>
        <v/>
      </c>
      <c r="AC327" s="16"/>
      <c r="AD327" s="20" t="str">
        <f>IF(ISERROR(VLOOKUP($AB327&amp;"-"&amp;$F327,Bonuses!$B$1:$G$1000,4,FALSE)),"",INT(VLOOKUP($AB327&amp;"-"&amp;$F327,Bonuses!$B$1:$G$1000,4,FALSE)))</f>
        <v/>
      </c>
      <c r="AE327" s="16" t="str">
        <f>IF(ISERROR(VLOOKUP($AB327&amp;"-"&amp;$F327,Bonuses!$B$1:$G$1000,5,FALSE)),"",IF(VLOOKUP($AB327&amp;"-"&amp;$F327,Bonuses!$B$1:$G$1000,5,FALSE)="","",VLOOKUP($AB327&amp;"-"&amp;$F327,Bonuses!$B$1:$G$1000,6,FALSE)&amp;" yrs, "&amp;VLOOKUP($AB327&amp;"-"&amp;$F327,Bonuses!$B$1:$G$1000,5,FALSE)))</f>
        <v/>
      </c>
    </row>
    <row r="328" spans="1:31" s="21" customFormat="1">
      <c r="A328" s="21" t="s">
        <v>770</v>
      </c>
      <c r="B328" s="21">
        <f t="shared" si="20"/>
        <v>1</v>
      </c>
      <c r="C328" s="21" t="str">
        <f t="shared" si="21"/>
        <v>P</v>
      </c>
      <c r="D328" s="17">
        <f>IF($C328="B",VLOOKUP($A328,Bat!$A$4:$BD$2323,D$1,FALSE),VLOOKUP($A328,Pit!$A$4:$AZ$2261,D$2,FALSE))</f>
        <v>3190</v>
      </c>
      <c r="E328" s="16" t="str">
        <f>IF($C328="B",VLOOKUP($A328,Bat!$A$4:$BD$2323,E$1,FALSE),VLOOKUP($A328,Pit!$A$4:$AZ$2261,E$2,FALSE))</f>
        <v>SP</v>
      </c>
      <c r="F328" s="16" t="str">
        <f>IF($C328="B",VLOOKUP($A328,Bat!$A$4:$BD$2323,F$1,FALSE),VLOOKUP($A328,Pit!$A$4:$AZ$2261,F$2,FALSE))</f>
        <v>Thad Taylor</v>
      </c>
      <c r="G328" s="16">
        <f>IF($C328="B",VLOOKUP($A328,Bat!$A$4:$BD$2323,G$1,FALSE),VLOOKUP($A328,Pit!$A$4:$AZ$2261,G$2,FALSE))</f>
        <v>22</v>
      </c>
      <c r="H328" s="16" t="str">
        <f>IF($C328="B",VLOOKUP($A328,Bat!$A$4:$BD$2323,H$1,FALSE),VLOOKUP($A328,Pit!$A$4:$AZ$2261,H$2,FALSE))</f>
        <v>R</v>
      </c>
      <c r="I328" s="16" t="str">
        <f>IF($C328="B",VLOOKUP($A328,Bat!$A$4:$BD$2323,I$1,FALSE),VLOOKUP($A328,Pit!$A$4:$AZ$2261,I$2,FALSE))</f>
        <v>R</v>
      </c>
      <c r="J328" s="16" t="str">
        <f>IF($C328="B",VLOOKUP($A328,Bat!$A$4:$BD$2323,J$1,FALSE),VLOOKUP($A328,Pit!$A$4:$AZ$2261,J$2,FALSE))</f>
        <v>Very High</v>
      </c>
      <c r="K328" s="17" t="str">
        <f>IF($C328="B",VLOOKUP($A328,Bat!$A$4:$BD$2323,K$1,FALSE),VLOOKUP($A328,Pit!$A$4:$AZ$2261,K$2,FALSE))</f>
        <v>High</v>
      </c>
      <c r="L328" s="16">
        <f>IF($C328="B",VLOOKUP($A328,Bat!$A$4:$BD$2323,L$1,FALSE),VLOOKUP($A328,Pit!$A$4:$AZ$2261,L$2,FALSE))</f>
        <v>6</v>
      </c>
      <c r="M328" s="16">
        <f>IF($C328="B",VLOOKUP($A328,Bat!$A$4:$BD$2323,M$1,FALSE),VLOOKUP($A328,Pit!$A$4:$AZ$2261,M$2,FALSE))</f>
        <v>3</v>
      </c>
      <c r="N328" s="16">
        <f>IF($C328="B",VLOOKUP($A328,Bat!$A$4:$BD$2323,N$1,FALSE),VLOOKUP($A328,Pit!$A$4:$AZ$2261,N$2,FALSE))</f>
        <v>6</v>
      </c>
      <c r="O328" s="16" t="str">
        <f>IF($C328="B",VLOOKUP($A328,Bat!$A$4:$BD$2323,O$1,FALSE),VLOOKUP($A328,Pit!$A$4:$AZ$2261,O$2,FALSE))</f>
        <v>98-100 Mph</v>
      </c>
      <c r="P328" s="17">
        <f>IF($C328="B",VLOOKUP($A328,Bat!$A$4:$BD$2323,P$1,FALSE),VLOOKUP($A328,Pit!$A$4:$AZ$2261,P$2,FALSE))</f>
        <v>9</v>
      </c>
      <c r="Q328" s="18">
        <f>IF($C328="B",VLOOKUP($A328,Bat!$A$4:$BD$2323,Q$1,FALSE),VLOOKUP($A328,Pit!$A$4:$AZ$2261,Q$2,FALSE))</f>
        <v>45.238818054270496</v>
      </c>
      <c r="R328" s="19">
        <f>IF($C328="B",VLOOKUP($A328,Bat!$A$4:$BD$2323,R$1,FALSE),VLOOKUP($A328,Pit!$A$4:$AZ$2261,R$2,FALSE))</f>
        <v>0.8984642097675668</v>
      </c>
      <c r="S328" s="20" t="str">
        <f>IF($C328="B",VLOOKUP($A328,Bat!$A$4:$BD$2323,S$1,FALSE),VLOOKUP($A328,Pit!$A$4:$AZ$2261,S$2,FALSE))</f>
        <v>Slot</v>
      </c>
      <c r="T328" s="17" t="str">
        <f>IF(S328="Slot","",VLOOKUP(IF($C328="B",VLOOKUP($A328,Bat!$A$4:$AT$2323,T$1,FALSE),VLOOKUP($A328,Pit!$A$4:$BD$2261,T$2,FALSE)),COND!$A$34:$B$40,2,FALSE))</f>
        <v/>
      </c>
      <c r="U328" s="21">
        <f>IF($C328="B",VLOOKUP($A328,Bat!$A$4:$AR$1287,44,FALSE),VLOOKUP($A328,Pit!$A$4:$BB$1239,54,FALSE))</f>
        <v>0</v>
      </c>
      <c r="W328" s="21">
        <f t="shared" si="22"/>
        <v>0</v>
      </c>
      <c r="X328" s="22" t="e">
        <f t="shared" si="23"/>
        <v>#N/A</v>
      </c>
      <c r="Y328" s="16" t="str">
        <f>IF(ISERROR(VLOOKUP($E328&amp;$F328,Results!$A$2:$G$413,Y$1,FALSE)),"",VLOOKUP($E328&amp;$F328,Results!$A$2:$G$413,Y$1,FALSE))</f>
        <v/>
      </c>
      <c r="Z328" s="16" t="str">
        <f>IF(ISERROR(VLOOKUP($E328&amp;$F328,Results!$A$2:$G$413,Z$1,FALSE)),"",VLOOKUP($E328&amp;$F328,Results!$A$2:$G$413,Z$1,FALSE))</f>
        <v/>
      </c>
      <c r="AA328" s="16" t="str">
        <f>IF(ISERROR(VLOOKUP($E328&amp;$F328,Results!$A$2:$G$413,AA$1,FALSE)),"",VLOOKUP($E328&amp;$F328,Results!$A$2:$G$413,AA$1,FALSE))</f>
        <v/>
      </c>
      <c r="AB328" s="16" t="str">
        <f>IF(ISERROR(VLOOKUP($E328&amp;$F328,Results!$A$2:$G$413,AB$1,FALSE)),"",VLOOKUP($E328&amp;$F328,Results!$A$2:$G$413,AB$1,FALSE))</f>
        <v/>
      </c>
      <c r="AC328" s="16"/>
      <c r="AD328" s="20" t="str">
        <f>IF(ISERROR(VLOOKUP($AB328&amp;"-"&amp;$F328,Bonuses!$B$1:$G$1000,4,FALSE)),"",INT(VLOOKUP($AB328&amp;"-"&amp;$F328,Bonuses!$B$1:$G$1000,4,FALSE)))</f>
        <v/>
      </c>
      <c r="AE328" s="16" t="str">
        <f>IF(ISERROR(VLOOKUP($AB328&amp;"-"&amp;$F328,Bonuses!$B$1:$G$1000,5,FALSE)),"",IF(VLOOKUP($AB328&amp;"-"&amp;$F328,Bonuses!$B$1:$G$1000,5,FALSE)="","",VLOOKUP($AB328&amp;"-"&amp;$F328,Bonuses!$B$1:$G$1000,6,FALSE)&amp;" yrs, "&amp;VLOOKUP($AB328&amp;"-"&amp;$F328,Bonuses!$B$1:$G$1000,5,FALSE)))</f>
        <v/>
      </c>
    </row>
    <row r="329" spans="1:31" s="21" customFormat="1">
      <c r="A329" s="21" t="s">
        <v>787</v>
      </c>
      <c r="B329" s="21">
        <f t="shared" si="20"/>
        <v>1</v>
      </c>
      <c r="C329" s="21" t="str">
        <f t="shared" si="21"/>
        <v>P</v>
      </c>
      <c r="D329" s="17">
        <f>IF($C329="B",VLOOKUP($A329,Bat!$A$4:$BD$2323,D$1,FALSE),VLOOKUP($A329,Pit!$A$4:$AZ$2261,D$2,FALSE))</f>
        <v>7171</v>
      </c>
      <c r="E329" s="16" t="str">
        <f>IF($C329="B",VLOOKUP($A329,Bat!$A$4:$BD$2323,E$1,FALSE),VLOOKUP($A329,Pit!$A$4:$AZ$2261,E$2,FALSE))</f>
        <v>SP</v>
      </c>
      <c r="F329" s="16" t="str">
        <f>IF($C329="B",VLOOKUP($A329,Bat!$A$4:$BD$2323,F$1,FALSE),VLOOKUP($A329,Pit!$A$4:$AZ$2261,F$2,FALSE))</f>
        <v>Luis Monsalve</v>
      </c>
      <c r="G329" s="16">
        <f>IF($C329="B",VLOOKUP($A329,Bat!$A$4:$BD$2323,G$1,FALSE),VLOOKUP($A329,Pit!$A$4:$AZ$2261,G$2,FALSE))</f>
        <v>21</v>
      </c>
      <c r="H329" s="16" t="str">
        <f>IF($C329="B",VLOOKUP($A329,Bat!$A$4:$BD$2323,H$1,FALSE),VLOOKUP($A329,Pit!$A$4:$AZ$2261,H$2,FALSE))</f>
        <v>R</v>
      </c>
      <c r="I329" s="16" t="str">
        <f>IF($C329="B",VLOOKUP($A329,Bat!$A$4:$BD$2323,I$1,FALSE),VLOOKUP($A329,Pit!$A$4:$AZ$2261,I$2,FALSE))</f>
        <v>R</v>
      </c>
      <c r="J329" s="16" t="str">
        <f>IF($C329="B",VLOOKUP($A329,Bat!$A$4:$BD$2323,J$1,FALSE),VLOOKUP($A329,Pit!$A$4:$AZ$2261,J$2,FALSE))</f>
        <v>High</v>
      </c>
      <c r="K329" s="17" t="str">
        <f>IF($C329="B",VLOOKUP($A329,Bat!$A$4:$BD$2323,K$1,FALSE),VLOOKUP($A329,Pit!$A$4:$AZ$2261,K$2,FALSE))</f>
        <v>Very High</v>
      </c>
      <c r="L329" s="16">
        <f>IF($C329="B",VLOOKUP($A329,Bat!$A$4:$BD$2323,L$1,FALSE),VLOOKUP($A329,Pit!$A$4:$AZ$2261,L$2,FALSE))</f>
        <v>7</v>
      </c>
      <c r="M329" s="16">
        <f>IF($C329="B",VLOOKUP($A329,Bat!$A$4:$BD$2323,M$1,FALSE),VLOOKUP($A329,Pit!$A$4:$AZ$2261,M$2,FALSE))</f>
        <v>5</v>
      </c>
      <c r="N329" s="16">
        <f>IF($C329="B",VLOOKUP($A329,Bat!$A$4:$BD$2323,N$1,FALSE),VLOOKUP($A329,Pit!$A$4:$AZ$2261,N$2,FALSE))</f>
        <v>4</v>
      </c>
      <c r="O329" s="16" t="str">
        <f>IF($C329="B",VLOOKUP($A329,Bat!$A$4:$BD$2323,O$1,FALSE),VLOOKUP($A329,Pit!$A$4:$AZ$2261,O$2,FALSE))</f>
        <v>95-97 Mph</v>
      </c>
      <c r="P329" s="17">
        <f>IF($C329="B",VLOOKUP($A329,Bat!$A$4:$BD$2323,P$1,FALSE),VLOOKUP($A329,Pit!$A$4:$AZ$2261,P$2,FALSE))</f>
        <v>4</v>
      </c>
      <c r="Q329" s="18">
        <f>IF($C329="B",VLOOKUP($A329,Bat!$A$4:$BD$2323,Q$1,FALSE),VLOOKUP($A329,Pit!$A$4:$AZ$2261,Q$2,FALSE))</f>
        <v>45.128800657078756</v>
      </c>
      <c r="R329" s="19">
        <f>IF($C329="B",VLOOKUP($A329,Bat!$A$4:$BD$2323,R$1,FALSE),VLOOKUP($A329,Pit!$A$4:$AZ$2261,R$2,FALSE))</f>
        <v>0.8897303092236255</v>
      </c>
      <c r="S329" s="20" t="str">
        <f>IF($C329="B",VLOOKUP($A329,Bat!$A$4:$BD$2323,S$1,FALSE),VLOOKUP($A329,Pit!$A$4:$AZ$2261,S$2,FALSE))</f>
        <v>Slot</v>
      </c>
      <c r="T329" s="17" t="str">
        <f>IF(S329="Slot","",VLOOKUP(IF($C329="B",VLOOKUP($A329,Bat!$A$4:$AT$2323,T$1,FALSE),VLOOKUP($A329,Pit!$A$4:$BD$2261,T$2,FALSE)),COND!$A$34:$B$40,2,FALSE))</f>
        <v/>
      </c>
      <c r="U329" s="21">
        <f>IF($C329="B",VLOOKUP($A329,Bat!$A$4:$AR$1287,44,FALSE),VLOOKUP($A329,Pit!$A$4:$BB$1239,54,FALSE))</f>
        <v>0</v>
      </c>
      <c r="W329" s="21">
        <f t="shared" si="22"/>
        <v>0</v>
      </c>
      <c r="X329" s="22" t="e">
        <f t="shared" si="23"/>
        <v>#N/A</v>
      </c>
      <c r="Y329" s="16" t="str">
        <f>IF(ISERROR(VLOOKUP($E329&amp;$F329,Results!$A$2:$G$413,Y$1,FALSE)),"",VLOOKUP($E329&amp;$F329,Results!$A$2:$G$413,Y$1,FALSE))</f>
        <v/>
      </c>
      <c r="Z329" s="16" t="str">
        <f>IF(ISERROR(VLOOKUP($E329&amp;$F329,Results!$A$2:$G$413,Z$1,FALSE)),"",VLOOKUP($E329&amp;$F329,Results!$A$2:$G$413,Z$1,FALSE))</f>
        <v/>
      </c>
      <c r="AA329" s="16" t="str">
        <f>IF(ISERROR(VLOOKUP($E329&amp;$F329,Results!$A$2:$G$413,AA$1,FALSE)),"",VLOOKUP($E329&amp;$F329,Results!$A$2:$G$413,AA$1,FALSE))</f>
        <v/>
      </c>
      <c r="AB329" s="16" t="str">
        <f>IF(ISERROR(VLOOKUP($E329&amp;$F329,Results!$A$2:$G$413,AB$1,FALSE)),"",VLOOKUP($E329&amp;$F329,Results!$A$2:$G$413,AB$1,FALSE))</f>
        <v/>
      </c>
      <c r="AC329" s="16"/>
      <c r="AD329" s="20" t="str">
        <f>IF(ISERROR(VLOOKUP($AB329&amp;"-"&amp;$F329,Bonuses!$B$1:$G$1000,4,FALSE)),"",INT(VLOOKUP($AB329&amp;"-"&amp;$F329,Bonuses!$B$1:$G$1000,4,FALSE)))</f>
        <v/>
      </c>
      <c r="AE329" s="16" t="str">
        <f>IF(ISERROR(VLOOKUP($AB329&amp;"-"&amp;$F329,Bonuses!$B$1:$G$1000,5,FALSE)),"",IF(VLOOKUP($AB329&amp;"-"&amp;$F329,Bonuses!$B$1:$G$1000,5,FALSE)="","",VLOOKUP($AB329&amp;"-"&amp;$F329,Bonuses!$B$1:$G$1000,6,FALSE)&amp;" yrs, "&amp;VLOOKUP($AB329&amp;"-"&amp;$F329,Bonuses!$B$1:$G$1000,5,FALSE)))</f>
        <v/>
      </c>
    </row>
    <row r="330" spans="1:31" s="21" customFormat="1">
      <c r="A330" s="21" t="s">
        <v>811</v>
      </c>
      <c r="B330" s="21">
        <f t="shared" si="20"/>
        <v>1</v>
      </c>
      <c r="C330" s="21" t="str">
        <f t="shared" si="21"/>
        <v>P</v>
      </c>
      <c r="D330" s="17">
        <f>IF($C330="B",VLOOKUP($A330,Bat!$A$4:$BD$2323,D$1,FALSE),VLOOKUP($A330,Pit!$A$4:$AZ$2261,D$2,FALSE))</f>
        <v>2887</v>
      </c>
      <c r="E330" s="16" t="str">
        <f>IF($C330="B",VLOOKUP($A330,Bat!$A$4:$BD$2323,E$1,FALSE),VLOOKUP($A330,Pit!$A$4:$AZ$2261,E$2,FALSE))</f>
        <v>SP</v>
      </c>
      <c r="F330" s="16" t="str">
        <f>IF($C330="B",VLOOKUP($A330,Bat!$A$4:$BD$2323,F$1,FALSE),VLOOKUP($A330,Pit!$A$4:$AZ$2261,F$2,FALSE))</f>
        <v>Matt Taylor</v>
      </c>
      <c r="G330" s="16">
        <f>IF($C330="B",VLOOKUP($A330,Bat!$A$4:$BD$2323,G$1,FALSE),VLOOKUP($A330,Pit!$A$4:$AZ$2261,G$2,FALSE))</f>
        <v>21</v>
      </c>
      <c r="H330" s="16" t="str">
        <f>IF($C330="B",VLOOKUP($A330,Bat!$A$4:$BD$2323,H$1,FALSE),VLOOKUP($A330,Pit!$A$4:$AZ$2261,H$2,FALSE))</f>
        <v>S</v>
      </c>
      <c r="I330" s="16" t="str">
        <f>IF($C330="B",VLOOKUP($A330,Bat!$A$4:$BD$2323,I$1,FALSE),VLOOKUP($A330,Pit!$A$4:$AZ$2261,I$2,FALSE))</f>
        <v>R</v>
      </c>
      <c r="J330" s="16" t="str">
        <f>IF($C330="B",VLOOKUP($A330,Bat!$A$4:$BD$2323,J$1,FALSE),VLOOKUP($A330,Pit!$A$4:$AZ$2261,J$2,FALSE))</f>
        <v>Normal</v>
      </c>
      <c r="K330" s="17" t="str">
        <f>IF($C330="B",VLOOKUP($A330,Bat!$A$4:$BD$2323,K$1,FALSE),VLOOKUP($A330,Pit!$A$4:$AZ$2261,K$2,FALSE))</f>
        <v>Very High</v>
      </c>
      <c r="L330" s="16">
        <f>IF($C330="B",VLOOKUP($A330,Bat!$A$4:$BD$2323,L$1,FALSE),VLOOKUP($A330,Pit!$A$4:$AZ$2261,L$2,FALSE))</f>
        <v>5</v>
      </c>
      <c r="M330" s="16">
        <f>IF($C330="B",VLOOKUP($A330,Bat!$A$4:$BD$2323,M$1,FALSE),VLOOKUP($A330,Pit!$A$4:$AZ$2261,M$2,FALSE))</f>
        <v>5</v>
      </c>
      <c r="N330" s="16">
        <f>IF($C330="B",VLOOKUP($A330,Bat!$A$4:$BD$2323,N$1,FALSE),VLOOKUP($A330,Pit!$A$4:$AZ$2261,N$2,FALSE))</f>
        <v>6</v>
      </c>
      <c r="O330" s="16" t="str">
        <f>IF($C330="B",VLOOKUP($A330,Bat!$A$4:$BD$2323,O$1,FALSE),VLOOKUP($A330,Pit!$A$4:$AZ$2261,O$2,FALSE))</f>
        <v>93-95 Mph</v>
      </c>
      <c r="P330" s="17">
        <f>IF($C330="B",VLOOKUP($A330,Bat!$A$4:$BD$2323,P$1,FALSE),VLOOKUP($A330,Pit!$A$4:$AZ$2261,P$2,FALSE))</f>
        <v>3</v>
      </c>
      <c r="Q330" s="18">
        <f>IF($C330="B",VLOOKUP($A330,Bat!$A$4:$BD$2323,Q$1,FALSE),VLOOKUP($A330,Pit!$A$4:$AZ$2261,Q$2,FALSE))</f>
        <v>44.22182051344781</v>
      </c>
      <c r="R330" s="19">
        <f>IF($C330="B",VLOOKUP($A330,Bat!$A$4:$BD$2323,R$1,FALSE),VLOOKUP($A330,Pit!$A$4:$AZ$2261,R$2,FALSE))</f>
        <v>0.81772829343337194</v>
      </c>
      <c r="S330" s="20" t="str">
        <f>IF($C330="B",VLOOKUP($A330,Bat!$A$4:$BD$2323,S$1,FALSE),VLOOKUP($A330,Pit!$A$4:$AZ$2261,S$2,FALSE))</f>
        <v>Slot</v>
      </c>
      <c r="T330" s="17" t="str">
        <f>IF(S330="Slot","",VLOOKUP(IF($C330="B",VLOOKUP($A330,Bat!$A$4:$AT$2323,T$1,FALSE),VLOOKUP($A330,Pit!$A$4:$BD$2261,T$2,FALSE)),COND!$A$34:$B$40,2,FALSE))</f>
        <v/>
      </c>
      <c r="U330" s="21">
        <f>IF($C330="B",VLOOKUP($A330,Bat!$A$4:$AR$1287,44,FALSE),VLOOKUP($A330,Pit!$A$4:$BB$1239,54,FALSE))</f>
        <v>0</v>
      </c>
      <c r="W330" s="21">
        <f t="shared" si="22"/>
        <v>0</v>
      </c>
      <c r="X330" s="22" t="e">
        <f t="shared" si="23"/>
        <v>#N/A</v>
      </c>
      <c r="Y330" s="16" t="str">
        <f>IF(ISERROR(VLOOKUP($E330&amp;$F330,Results!$A$2:$G$413,Y$1,FALSE)),"",VLOOKUP($E330&amp;$F330,Results!$A$2:$G$413,Y$1,FALSE))</f>
        <v/>
      </c>
      <c r="Z330" s="16" t="str">
        <f>IF(ISERROR(VLOOKUP($E330&amp;$F330,Results!$A$2:$G$413,Z$1,FALSE)),"",VLOOKUP($E330&amp;$F330,Results!$A$2:$G$413,Z$1,FALSE))</f>
        <v/>
      </c>
      <c r="AA330" s="16" t="str">
        <f>IF(ISERROR(VLOOKUP($E330&amp;$F330,Results!$A$2:$G$413,AA$1,FALSE)),"",VLOOKUP($E330&amp;$F330,Results!$A$2:$G$413,AA$1,FALSE))</f>
        <v/>
      </c>
      <c r="AB330" s="16" t="str">
        <f>IF(ISERROR(VLOOKUP($E330&amp;$F330,Results!$A$2:$G$413,AB$1,FALSE)),"",VLOOKUP($E330&amp;$F330,Results!$A$2:$G$413,AB$1,FALSE))</f>
        <v/>
      </c>
      <c r="AC330" s="16"/>
      <c r="AD330" s="20" t="str">
        <f>IF(ISERROR(VLOOKUP($AB330&amp;"-"&amp;$F330,Bonuses!$B$1:$G$1000,4,FALSE)),"",INT(VLOOKUP($AB330&amp;"-"&amp;$F330,Bonuses!$B$1:$G$1000,4,FALSE)))</f>
        <v/>
      </c>
      <c r="AE330" s="16" t="str">
        <f>IF(ISERROR(VLOOKUP($AB330&amp;"-"&amp;$F330,Bonuses!$B$1:$G$1000,5,FALSE)),"",IF(VLOOKUP($AB330&amp;"-"&amp;$F330,Bonuses!$B$1:$G$1000,5,FALSE)="","",VLOOKUP($AB330&amp;"-"&amp;$F330,Bonuses!$B$1:$G$1000,6,FALSE)&amp;" yrs, "&amp;VLOOKUP($AB330&amp;"-"&amp;$F330,Bonuses!$B$1:$G$1000,5,FALSE)))</f>
        <v/>
      </c>
    </row>
    <row r="331" spans="1:31" s="21" customFormat="1">
      <c r="A331" s="21" t="s">
        <v>812</v>
      </c>
      <c r="B331" s="21">
        <f t="shared" si="20"/>
        <v>1</v>
      </c>
      <c r="C331" s="21" t="str">
        <f t="shared" si="21"/>
        <v>P</v>
      </c>
      <c r="D331" s="17">
        <f>IF($C331="B",VLOOKUP($A331,Bat!$A$4:$BD$2323,D$1,FALSE),VLOOKUP($A331,Pit!$A$4:$AZ$2261,D$2,FALSE))</f>
        <v>6639</v>
      </c>
      <c r="E331" s="16" t="str">
        <f>IF($C331="B",VLOOKUP($A331,Bat!$A$4:$BD$2323,E$1,FALSE),VLOOKUP($A331,Pit!$A$4:$AZ$2261,E$2,FALSE))</f>
        <v>SP</v>
      </c>
      <c r="F331" s="16" t="str">
        <f>IF($C331="B",VLOOKUP($A331,Bat!$A$4:$BD$2323,F$1,FALSE),VLOOKUP($A331,Pit!$A$4:$AZ$2261,F$2,FALSE))</f>
        <v>Vicente Lópes</v>
      </c>
      <c r="G331" s="16">
        <f>IF($C331="B",VLOOKUP($A331,Bat!$A$4:$BD$2323,G$1,FALSE),VLOOKUP($A331,Pit!$A$4:$AZ$2261,G$2,FALSE))</f>
        <v>21</v>
      </c>
      <c r="H331" s="16" t="str">
        <f>IF($C331="B",VLOOKUP($A331,Bat!$A$4:$BD$2323,H$1,FALSE),VLOOKUP($A331,Pit!$A$4:$AZ$2261,H$2,FALSE))</f>
        <v>R</v>
      </c>
      <c r="I331" s="16" t="str">
        <f>IF($C331="B",VLOOKUP($A331,Bat!$A$4:$BD$2323,I$1,FALSE),VLOOKUP($A331,Pit!$A$4:$AZ$2261,I$2,FALSE))</f>
        <v>R</v>
      </c>
      <c r="J331" s="16" t="str">
        <f>IF($C331="B",VLOOKUP($A331,Bat!$A$4:$BD$2323,J$1,FALSE),VLOOKUP($A331,Pit!$A$4:$AZ$2261,J$2,FALSE))</f>
        <v>Very High</v>
      </c>
      <c r="K331" s="17" t="str">
        <f>IF($C331="B",VLOOKUP($A331,Bat!$A$4:$BD$2323,K$1,FALSE),VLOOKUP($A331,Pit!$A$4:$AZ$2261,K$2,FALSE))</f>
        <v>Low</v>
      </c>
      <c r="L331" s="16">
        <f>IF($C331="B",VLOOKUP($A331,Bat!$A$4:$BD$2323,L$1,FALSE),VLOOKUP($A331,Pit!$A$4:$AZ$2261,L$2,FALSE))</f>
        <v>5</v>
      </c>
      <c r="M331" s="16">
        <f>IF($C331="B",VLOOKUP($A331,Bat!$A$4:$BD$2323,M$1,FALSE),VLOOKUP($A331,Pit!$A$4:$AZ$2261,M$2,FALSE))</f>
        <v>6</v>
      </c>
      <c r="N331" s="16">
        <f>IF($C331="B",VLOOKUP($A331,Bat!$A$4:$BD$2323,N$1,FALSE),VLOOKUP($A331,Pit!$A$4:$AZ$2261,N$2,FALSE))</f>
        <v>5</v>
      </c>
      <c r="O331" s="16" t="str">
        <f>IF($C331="B",VLOOKUP($A331,Bat!$A$4:$BD$2323,O$1,FALSE),VLOOKUP($A331,Pit!$A$4:$AZ$2261,O$2,FALSE))</f>
        <v>90-92 Mph</v>
      </c>
      <c r="P331" s="17">
        <f>IF($C331="B",VLOOKUP($A331,Bat!$A$4:$BD$2323,P$1,FALSE),VLOOKUP($A331,Pit!$A$4:$AZ$2261,P$2,FALSE))</f>
        <v>5</v>
      </c>
      <c r="Q331" s="18">
        <f>IF($C331="B",VLOOKUP($A331,Bat!$A$4:$BD$2323,Q$1,FALSE),VLOOKUP($A331,Pit!$A$4:$AZ$2261,Q$2,FALSE))</f>
        <v>43.224628247205324</v>
      </c>
      <c r="R331" s="19">
        <f>IF($C331="B",VLOOKUP($A331,Bat!$A$4:$BD$2323,R$1,FALSE),VLOOKUP($A331,Pit!$A$4:$AZ$2261,R$2,FALSE))</f>
        <v>0.73856464932924504</v>
      </c>
      <c r="S331" s="20" t="str">
        <f>IF($C331="B",VLOOKUP($A331,Bat!$A$4:$BD$2323,S$1,FALSE),VLOOKUP($A331,Pit!$A$4:$AZ$2261,S$2,FALSE))</f>
        <v>Slot</v>
      </c>
      <c r="T331" s="17" t="str">
        <f>IF(S331="Slot","",VLOOKUP(IF($C331="B",VLOOKUP($A331,Bat!$A$4:$AT$2323,T$1,FALSE),VLOOKUP($A331,Pit!$A$4:$BD$2261,T$2,FALSE)),COND!$A$34:$B$40,2,FALSE))</f>
        <v/>
      </c>
      <c r="U331" s="21">
        <f>IF($C331="B",VLOOKUP($A331,Bat!$A$4:$AR$1287,44,FALSE),VLOOKUP($A331,Pit!$A$4:$BB$1239,54,FALSE))</f>
        <v>0</v>
      </c>
      <c r="W331" s="21">
        <f t="shared" si="22"/>
        <v>0</v>
      </c>
      <c r="X331" s="22" t="e">
        <f t="shared" si="23"/>
        <v>#N/A</v>
      </c>
      <c r="Y331" s="16" t="str">
        <f>IF(ISERROR(VLOOKUP($E331&amp;$F331,Results!$A$2:$G$413,Y$1,FALSE)),"",VLOOKUP($E331&amp;$F331,Results!$A$2:$G$413,Y$1,FALSE))</f>
        <v/>
      </c>
      <c r="Z331" s="16" t="str">
        <f>IF(ISERROR(VLOOKUP($E331&amp;$F331,Results!$A$2:$G$413,Z$1,FALSE)),"",VLOOKUP($E331&amp;$F331,Results!$A$2:$G$413,Z$1,FALSE))</f>
        <v/>
      </c>
      <c r="AA331" s="16" t="str">
        <f>IF(ISERROR(VLOOKUP($E331&amp;$F331,Results!$A$2:$G$413,AA$1,FALSE)),"",VLOOKUP($E331&amp;$F331,Results!$A$2:$G$413,AA$1,FALSE))</f>
        <v/>
      </c>
      <c r="AB331" s="16" t="str">
        <f>IF(ISERROR(VLOOKUP($E331&amp;$F331,Results!$A$2:$G$413,AB$1,FALSE)),"",VLOOKUP($E331&amp;$F331,Results!$A$2:$G$413,AB$1,FALSE))</f>
        <v/>
      </c>
      <c r="AC331" s="16"/>
      <c r="AD331" s="20" t="str">
        <f>IF(ISERROR(VLOOKUP($AB331&amp;"-"&amp;$F331,Bonuses!$B$1:$G$1000,4,FALSE)),"",INT(VLOOKUP($AB331&amp;"-"&amp;$F331,Bonuses!$B$1:$G$1000,4,FALSE)))</f>
        <v/>
      </c>
      <c r="AE331" s="16" t="str">
        <f>IF(ISERROR(VLOOKUP($AB331&amp;"-"&amp;$F331,Bonuses!$B$1:$G$1000,5,FALSE)),"",IF(VLOOKUP($AB331&amp;"-"&amp;$F331,Bonuses!$B$1:$G$1000,5,FALSE)="","",VLOOKUP($AB331&amp;"-"&amp;$F331,Bonuses!$B$1:$G$1000,6,FALSE)&amp;" yrs, "&amp;VLOOKUP($AB331&amp;"-"&amp;$F331,Bonuses!$B$1:$G$1000,5,FALSE)))</f>
        <v/>
      </c>
    </row>
    <row r="332" spans="1:31" s="21" customFormat="1">
      <c r="A332" s="21" t="s">
        <v>804</v>
      </c>
      <c r="B332" s="21">
        <f t="shared" si="20"/>
        <v>1</v>
      </c>
      <c r="C332" s="21" t="str">
        <f t="shared" si="21"/>
        <v>P</v>
      </c>
      <c r="D332" s="17">
        <f>IF($C332="B",VLOOKUP($A332,Bat!$A$4:$BD$2323,D$1,FALSE),VLOOKUP($A332,Pit!$A$4:$AZ$2261,D$2,FALSE))</f>
        <v>6017</v>
      </c>
      <c r="E332" s="16" t="str">
        <f>IF($C332="B",VLOOKUP($A332,Bat!$A$4:$BD$2323,E$1,FALSE),VLOOKUP($A332,Pit!$A$4:$AZ$2261,E$2,FALSE))</f>
        <v>SP</v>
      </c>
      <c r="F332" s="16" t="str">
        <f>IF($C332="B",VLOOKUP($A332,Bat!$A$4:$BD$2323,F$1,FALSE),VLOOKUP($A332,Pit!$A$4:$AZ$2261,F$2,FALSE))</f>
        <v>Roberto Díaz</v>
      </c>
      <c r="G332" s="16">
        <f>IF($C332="B",VLOOKUP($A332,Bat!$A$4:$BD$2323,G$1,FALSE),VLOOKUP($A332,Pit!$A$4:$AZ$2261,G$2,FALSE))</f>
        <v>21</v>
      </c>
      <c r="H332" s="16" t="str">
        <f>IF($C332="B",VLOOKUP($A332,Bat!$A$4:$BD$2323,H$1,FALSE),VLOOKUP($A332,Pit!$A$4:$AZ$2261,H$2,FALSE))</f>
        <v>L</v>
      </c>
      <c r="I332" s="16" t="str">
        <f>IF($C332="B",VLOOKUP($A332,Bat!$A$4:$BD$2323,I$1,FALSE),VLOOKUP($A332,Pit!$A$4:$AZ$2261,I$2,FALSE))</f>
        <v>L</v>
      </c>
      <c r="J332" s="16" t="str">
        <f>IF($C332="B",VLOOKUP($A332,Bat!$A$4:$BD$2323,J$1,FALSE),VLOOKUP($A332,Pit!$A$4:$AZ$2261,J$2,FALSE))</f>
        <v>Normal</v>
      </c>
      <c r="K332" s="17" t="str">
        <f>IF($C332="B",VLOOKUP($A332,Bat!$A$4:$BD$2323,K$1,FALSE),VLOOKUP($A332,Pit!$A$4:$AZ$2261,K$2,FALSE))</f>
        <v>Normal</v>
      </c>
      <c r="L332" s="16">
        <f>IF($C332="B",VLOOKUP($A332,Bat!$A$4:$BD$2323,L$1,FALSE),VLOOKUP($A332,Pit!$A$4:$AZ$2261,L$2,FALSE))</f>
        <v>6</v>
      </c>
      <c r="M332" s="16">
        <f>IF($C332="B",VLOOKUP($A332,Bat!$A$4:$BD$2323,M$1,FALSE),VLOOKUP($A332,Pit!$A$4:$AZ$2261,M$2,FALSE))</f>
        <v>5</v>
      </c>
      <c r="N332" s="16">
        <f>IF($C332="B",VLOOKUP($A332,Bat!$A$4:$BD$2323,N$1,FALSE),VLOOKUP($A332,Pit!$A$4:$AZ$2261,N$2,FALSE))</f>
        <v>5</v>
      </c>
      <c r="O332" s="16" t="str">
        <f>IF($C332="B",VLOOKUP($A332,Bat!$A$4:$BD$2323,O$1,FALSE),VLOOKUP($A332,Pit!$A$4:$AZ$2261,O$2,FALSE))</f>
        <v>93-95 Mph</v>
      </c>
      <c r="P332" s="17">
        <f>IF($C332="B",VLOOKUP($A332,Bat!$A$4:$BD$2323,P$1,FALSE),VLOOKUP($A332,Pit!$A$4:$AZ$2261,P$2,FALSE))</f>
        <v>3</v>
      </c>
      <c r="Q332" s="18">
        <f>IF($C332="B",VLOOKUP($A332,Bat!$A$4:$BD$2323,Q$1,FALSE),VLOOKUP($A332,Pit!$A$4:$AZ$2261,Q$2,FALSE))</f>
        <v>43.292373662794539</v>
      </c>
      <c r="R332" s="19">
        <f>IF($C332="B",VLOOKUP($A332,Bat!$A$4:$BD$2323,R$1,FALSE),VLOOKUP($A332,Pit!$A$4:$AZ$2261,R$2,FALSE))</f>
        <v>0.74394272349903279</v>
      </c>
      <c r="S332" s="20" t="str">
        <f>IF($C332="B",VLOOKUP($A332,Bat!$A$4:$BD$2323,S$1,FALSE),VLOOKUP($A332,Pit!$A$4:$AZ$2261,S$2,FALSE))</f>
        <v>Slot</v>
      </c>
      <c r="T332" s="17" t="str">
        <f>IF(S332="Slot","",VLOOKUP(IF($C332="B",VLOOKUP($A332,Bat!$A$4:$AT$2323,T$1,FALSE),VLOOKUP($A332,Pit!$A$4:$BD$2261,T$2,FALSE)),COND!$A$34:$B$40,2,FALSE))</f>
        <v/>
      </c>
      <c r="U332" s="21">
        <f>IF($C332="B",VLOOKUP($A332,Bat!$A$4:$AR$1287,44,FALSE),VLOOKUP($A332,Pit!$A$4:$BB$1239,54,FALSE))</f>
        <v>0</v>
      </c>
      <c r="W332" s="21">
        <f t="shared" si="22"/>
        <v>0</v>
      </c>
      <c r="X332" s="22" t="e">
        <f t="shared" si="23"/>
        <v>#N/A</v>
      </c>
      <c r="Y332" s="16" t="str">
        <f>IF(ISERROR(VLOOKUP($E332&amp;$F332,Results!$A$2:$G$413,Y$1,FALSE)),"",VLOOKUP($E332&amp;$F332,Results!$A$2:$G$413,Y$1,FALSE))</f>
        <v/>
      </c>
      <c r="Z332" s="16" t="str">
        <f>IF(ISERROR(VLOOKUP($E332&amp;$F332,Results!$A$2:$G$413,Z$1,FALSE)),"",VLOOKUP($E332&amp;$F332,Results!$A$2:$G$413,Z$1,FALSE))</f>
        <v/>
      </c>
      <c r="AA332" s="16" t="str">
        <f>IF(ISERROR(VLOOKUP($E332&amp;$F332,Results!$A$2:$G$413,AA$1,FALSE)),"",VLOOKUP($E332&amp;$F332,Results!$A$2:$G$413,AA$1,FALSE))</f>
        <v/>
      </c>
      <c r="AB332" s="16" t="str">
        <f>IF(ISERROR(VLOOKUP($E332&amp;$F332,Results!$A$2:$G$413,AB$1,FALSE)),"",VLOOKUP($E332&amp;$F332,Results!$A$2:$G$413,AB$1,FALSE))</f>
        <v/>
      </c>
      <c r="AC332" s="16"/>
      <c r="AD332" s="20" t="str">
        <f>IF(ISERROR(VLOOKUP($AB332&amp;"-"&amp;$F332,Bonuses!$B$1:$G$1000,4,FALSE)),"",INT(VLOOKUP($AB332&amp;"-"&amp;$F332,Bonuses!$B$1:$G$1000,4,FALSE)))</f>
        <v/>
      </c>
      <c r="AE332" s="16" t="str">
        <f>IF(ISERROR(VLOOKUP($AB332&amp;"-"&amp;$F332,Bonuses!$B$1:$G$1000,5,FALSE)),"",IF(VLOOKUP($AB332&amp;"-"&amp;$F332,Bonuses!$B$1:$G$1000,5,FALSE)="","",VLOOKUP($AB332&amp;"-"&amp;$F332,Bonuses!$B$1:$G$1000,6,FALSE)&amp;" yrs, "&amp;VLOOKUP($AB332&amp;"-"&amp;$F332,Bonuses!$B$1:$G$1000,5,FALSE)))</f>
        <v/>
      </c>
    </row>
    <row r="333" spans="1:31" s="21" customFormat="1">
      <c r="A333" s="21" t="s">
        <v>808</v>
      </c>
      <c r="B333" s="21">
        <f t="shared" si="20"/>
        <v>1</v>
      </c>
      <c r="C333" s="21" t="str">
        <f t="shared" si="21"/>
        <v>P</v>
      </c>
      <c r="D333" s="17">
        <f>IF($C333="B",VLOOKUP($A333,Bat!$A$4:$BD$2323,D$1,FALSE),VLOOKUP($A333,Pit!$A$4:$AZ$2261,D$2,FALSE))</f>
        <v>2299</v>
      </c>
      <c r="E333" s="16" t="str">
        <f>IF($C333="B",VLOOKUP($A333,Bat!$A$4:$BD$2323,E$1,FALSE),VLOOKUP($A333,Pit!$A$4:$AZ$2261,E$2,FALSE))</f>
        <v>CL</v>
      </c>
      <c r="F333" s="16" t="str">
        <f>IF($C333="B",VLOOKUP($A333,Bat!$A$4:$BD$2323,F$1,FALSE),VLOOKUP($A333,Pit!$A$4:$AZ$2261,F$2,FALSE))</f>
        <v>Clay Thompson</v>
      </c>
      <c r="G333" s="16">
        <f>IF($C333="B",VLOOKUP($A333,Bat!$A$4:$BD$2323,G$1,FALSE),VLOOKUP($A333,Pit!$A$4:$AZ$2261,G$2,FALSE))</f>
        <v>21</v>
      </c>
      <c r="H333" s="16" t="str">
        <f>IF($C333="B",VLOOKUP($A333,Bat!$A$4:$BD$2323,H$1,FALSE),VLOOKUP($A333,Pit!$A$4:$AZ$2261,H$2,FALSE))</f>
        <v>R</v>
      </c>
      <c r="I333" s="16" t="str">
        <f>IF($C333="B",VLOOKUP($A333,Bat!$A$4:$BD$2323,I$1,FALSE),VLOOKUP($A333,Pit!$A$4:$AZ$2261,I$2,FALSE))</f>
        <v>R</v>
      </c>
      <c r="J333" s="16" t="str">
        <f>IF($C333="B",VLOOKUP($A333,Bat!$A$4:$BD$2323,J$1,FALSE),VLOOKUP($A333,Pit!$A$4:$AZ$2261,J$2,FALSE))</f>
        <v>High</v>
      </c>
      <c r="K333" s="17" t="str">
        <f>IF($C333="B",VLOOKUP($A333,Bat!$A$4:$BD$2323,K$1,FALSE),VLOOKUP($A333,Pit!$A$4:$AZ$2261,K$2,FALSE))</f>
        <v>Normal</v>
      </c>
      <c r="L333" s="16">
        <f>IF($C333="B",VLOOKUP($A333,Bat!$A$4:$BD$2323,L$1,FALSE),VLOOKUP($A333,Pit!$A$4:$AZ$2261,L$2,FALSE))</f>
        <v>8</v>
      </c>
      <c r="M333" s="16">
        <f>IF($C333="B",VLOOKUP($A333,Bat!$A$4:$BD$2323,M$1,FALSE),VLOOKUP($A333,Pit!$A$4:$AZ$2261,M$2,FALSE))</f>
        <v>3</v>
      </c>
      <c r="N333" s="16">
        <f>IF($C333="B",VLOOKUP($A333,Bat!$A$4:$BD$2323,N$1,FALSE),VLOOKUP($A333,Pit!$A$4:$AZ$2261,N$2,FALSE))</f>
        <v>5</v>
      </c>
      <c r="O333" s="16" t="str">
        <f>IF($C333="B",VLOOKUP($A333,Bat!$A$4:$BD$2323,O$1,FALSE),VLOOKUP($A333,Pit!$A$4:$AZ$2261,O$2,FALSE))</f>
        <v>97-99 Mph</v>
      </c>
      <c r="P333" s="17">
        <f>IF($C333="B",VLOOKUP($A333,Bat!$A$4:$BD$2323,P$1,FALSE),VLOOKUP($A333,Pit!$A$4:$AZ$2261,P$2,FALSE))</f>
        <v>1</v>
      </c>
      <c r="Q333" s="18">
        <f>IF($C333="B",VLOOKUP($A333,Bat!$A$4:$BD$2323,Q$1,FALSE),VLOOKUP($A333,Pit!$A$4:$AZ$2261,Q$2,FALSE))</f>
        <v>43.224203086329268</v>
      </c>
      <c r="R333" s="19">
        <f>IF($C333="B",VLOOKUP($A333,Bat!$A$4:$BD$2323,R$1,FALSE),VLOOKUP($A333,Pit!$A$4:$AZ$2261,R$2,FALSE))</f>
        <v>0.73853089727819288</v>
      </c>
      <c r="S333" s="20" t="str">
        <f>IF($C333="B",VLOOKUP($A333,Bat!$A$4:$BD$2323,S$1,FALSE),VLOOKUP($A333,Pit!$A$4:$AZ$2261,S$2,FALSE))</f>
        <v>Slot</v>
      </c>
      <c r="T333" s="17" t="str">
        <f>IF(S333="Slot","",VLOOKUP(IF($C333="B",VLOOKUP($A333,Bat!$A$4:$AT$2323,T$1,FALSE),VLOOKUP($A333,Pit!$A$4:$BD$2261,T$2,FALSE)),COND!$A$34:$B$40,2,FALSE))</f>
        <v/>
      </c>
      <c r="U333" s="21">
        <f>IF($C333="B",VLOOKUP($A333,Bat!$A$4:$AR$1287,44,FALSE),VLOOKUP($A333,Pit!$A$4:$BB$1239,54,FALSE))</f>
        <v>0</v>
      </c>
      <c r="W333" s="21">
        <f t="shared" si="22"/>
        <v>0</v>
      </c>
      <c r="X333" s="22" t="e">
        <f t="shared" si="23"/>
        <v>#N/A</v>
      </c>
      <c r="Y333" s="16" t="str">
        <f>IF(ISERROR(VLOOKUP($E333&amp;$F333,Results!$A$2:$G$413,Y$1,FALSE)),"",VLOOKUP($E333&amp;$F333,Results!$A$2:$G$413,Y$1,FALSE))</f>
        <v/>
      </c>
      <c r="Z333" s="16" t="str">
        <f>IF(ISERROR(VLOOKUP($E333&amp;$F333,Results!$A$2:$G$413,Z$1,FALSE)),"",VLOOKUP($E333&amp;$F333,Results!$A$2:$G$413,Z$1,FALSE))</f>
        <v/>
      </c>
      <c r="AA333" s="16" t="str">
        <f>IF(ISERROR(VLOOKUP($E333&amp;$F333,Results!$A$2:$G$413,AA$1,FALSE)),"",VLOOKUP($E333&amp;$F333,Results!$A$2:$G$413,AA$1,FALSE))</f>
        <v/>
      </c>
      <c r="AB333" s="16" t="str">
        <f>IF(ISERROR(VLOOKUP($E333&amp;$F333,Results!$A$2:$G$413,AB$1,FALSE)),"",VLOOKUP($E333&amp;$F333,Results!$A$2:$G$413,AB$1,FALSE))</f>
        <v/>
      </c>
      <c r="AC333" s="16"/>
      <c r="AD333" s="20" t="str">
        <f>IF(ISERROR(VLOOKUP($AB333&amp;"-"&amp;$F333,Bonuses!$B$1:$G$1000,4,FALSE)),"",INT(VLOOKUP($AB333&amp;"-"&amp;$F333,Bonuses!$B$1:$G$1000,4,FALSE)))</f>
        <v/>
      </c>
      <c r="AE333" s="16" t="str">
        <f>IF(ISERROR(VLOOKUP($AB333&amp;"-"&amp;$F333,Bonuses!$B$1:$G$1000,5,FALSE)),"",IF(VLOOKUP($AB333&amp;"-"&amp;$F333,Bonuses!$B$1:$G$1000,5,FALSE)="","",VLOOKUP($AB333&amp;"-"&amp;$F333,Bonuses!$B$1:$G$1000,6,FALSE)&amp;" yrs, "&amp;VLOOKUP($AB333&amp;"-"&amp;$F333,Bonuses!$B$1:$G$1000,5,FALSE)))</f>
        <v/>
      </c>
    </row>
    <row r="334" spans="1:31" s="21" customFormat="1">
      <c r="A334" s="21" t="s">
        <v>649</v>
      </c>
      <c r="B334" s="21">
        <f t="shared" si="20"/>
        <v>1</v>
      </c>
      <c r="C334" s="21" t="str">
        <f t="shared" si="21"/>
        <v>P</v>
      </c>
      <c r="D334" s="17">
        <f>IF($C334="B",VLOOKUP($A334,Bat!$A$4:$BD$2323,D$1,FALSE),VLOOKUP($A334,Pit!$A$4:$AZ$2261,D$2,FALSE))</f>
        <v>2527</v>
      </c>
      <c r="E334" s="16" t="str">
        <f>IF($C334="B",VLOOKUP($A334,Bat!$A$4:$BD$2323,E$1,FALSE),VLOOKUP($A334,Pit!$A$4:$AZ$2261,E$2,FALSE))</f>
        <v>MR</v>
      </c>
      <c r="F334" s="16" t="str">
        <f>IF($C334="B",VLOOKUP($A334,Bat!$A$4:$BD$2323,F$1,FALSE),VLOOKUP($A334,Pit!$A$4:$AZ$2261,F$2,FALSE))</f>
        <v>Steven Crawford</v>
      </c>
      <c r="G334" s="16">
        <f>IF($C334="B",VLOOKUP($A334,Bat!$A$4:$BD$2323,G$1,FALSE),VLOOKUP($A334,Pit!$A$4:$AZ$2261,G$2,FALSE))</f>
        <v>21</v>
      </c>
      <c r="H334" s="16" t="str">
        <f>IF($C334="B",VLOOKUP($A334,Bat!$A$4:$BD$2323,H$1,FALSE),VLOOKUP($A334,Pit!$A$4:$AZ$2261,H$2,FALSE))</f>
        <v>R</v>
      </c>
      <c r="I334" s="16" t="str">
        <f>IF($C334="B",VLOOKUP($A334,Bat!$A$4:$BD$2323,I$1,FALSE),VLOOKUP($A334,Pit!$A$4:$AZ$2261,I$2,FALSE))</f>
        <v>R</v>
      </c>
      <c r="J334" s="16" t="str">
        <f>IF($C334="B",VLOOKUP($A334,Bat!$A$4:$BD$2323,J$1,FALSE),VLOOKUP($A334,Pit!$A$4:$AZ$2261,J$2,FALSE))</f>
        <v>Low</v>
      </c>
      <c r="K334" s="17" t="str">
        <f>IF($C334="B",VLOOKUP($A334,Bat!$A$4:$BD$2323,K$1,FALSE),VLOOKUP($A334,Pit!$A$4:$AZ$2261,K$2,FALSE))</f>
        <v>Normal</v>
      </c>
      <c r="L334" s="16">
        <f>IF($C334="B",VLOOKUP($A334,Bat!$A$4:$BD$2323,L$1,FALSE),VLOOKUP($A334,Pit!$A$4:$AZ$2261,L$2,FALSE))</f>
        <v>6</v>
      </c>
      <c r="M334" s="16">
        <f>IF($C334="B",VLOOKUP($A334,Bat!$A$4:$BD$2323,M$1,FALSE),VLOOKUP($A334,Pit!$A$4:$AZ$2261,M$2,FALSE))</f>
        <v>4</v>
      </c>
      <c r="N334" s="16">
        <f>IF($C334="B",VLOOKUP($A334,Bat!$A$4:$BD$2323,N$1,FALSE),VLOOKUP($A334,Pit!$A$4:$AZ$2261,N$2,FALSE))</f>
        <v>6</v>
      </c>
      <c r="O334" s="16" t="str">
        <f>IF($C334="B",VLOOKUP($A334,Bat!$A$4:$BD$2323,O$1,FALSE),VLOOKUP($A334,Pit!$A$4:$AZ$2261,O$2,FALSE))</f>
        <v>95-97 Mph</v>
      </c>
      <c r="P334" s="17">
        <f>IF($C334="B",VLOOKUP($A334,Bat!$A$4:$BD$2323,P$1,FALSE),VLOOKUP($A334,Pit!$A$4:$AZ$2261,P$2,FALSE))</f>
        <v>6</v>
      </c>
      <c r="Q334" s="18">
        <f>IF($C334="B",VLOOKUP($A334,Bat!$A$4:$BD$2323,Q$1,FALSE),VLOOKUP($A334,Pit!$A$4:$AZ$2261,Q$2,FALSE))</f>
        <v>41.881520591853203</v>
      </c>
      <c r="R334" s="19">
        <f>IF($C334="B",VLOOKUP($A334,Bat!$A$4:$BD$2323,R$1,FALSE),VLOOKUP($A334,Pit!$A$4:$AZ$2261,R$2,FALSE))</f>
        <v>0.6319399792217768</v>
      </c>
      <c r="S334" s="20" t="str">
        <f>IF($C334="B",VLOOKUP($A334,Bat!$A$4:$BD$2323,S$1,FALSE),VLOOKUP($A334,Pit!$A$4:$AZ$2261,S$2,FALSE))</f>
        <v>Slot</v>
      </c>
      <c r="T334" s="17" t="str">
        <f>IF(S334="Slot","",VLOOKUP(IF($C334="B",VLOOKUP($A334,Bat!$A$4:$AT$2323,T$1,FALSE),VLOOKUP($A334,Pit!$A$4:$BD$2261,T$2,FALSE)),COND!$A$34:$B$40,2,FALSE))</f>
        <v/>
      </c>
      <c r="U334" s="21">
        <f>IF($C334="B",VLOOKUP($A334,Bat!$A$4:$AR$1287,44,FALSE),VLOOKUP($A334,Pit!$A$4:$BB$1239,54,FALSE))</f>
        <v>0</v>
      </c>
      <c r="W334" s="21">
        <f t="shared" si="22"/>
        <v>0</v>
      </c>
      <c r="X334" s="22" t="e">
        <f t="shared" si="23"/>
        <v>#N/A</v>
      </c>
      <c r="Y334" s="16" t="str">
        <f>IF(ISERROR(VLOOKUP($E334&amp;$F334,Results!$A$2:$G$413,Y$1,FALSE)),"",VLOOKUP($E334&amp;$F334,Results!$A$2:$G$413,Y$1,FALSE))</f>
        <v/>
      </c>
      <c r="Z334" s="16" t="str">
        <f>IF(ISERROR(VLOOKUP($E334&amp;$F334,Results!$A$2:$G$413,Z$1,FALSE)),"",VLOOKUP($E334&amp;$F334,Results!$A$2:$G$413,Z$1,FALSE))</f>
        <v/>
      </c>
      <c r="AA334" s="16" t="str">
        <f>IF(ISERROR(VLOOKUP($E334&amp;$F334,Results!$A$2:$G$413,AA$1,FALSE)),"",VLOOKUP($E334&amp;$F334,Results!$A$2:$G$413,AA$1,FALSE))</f>
        <v/>
      </c>
      <c r="AB334" s="16" t="str">
        <f>IF(ISERROR(VLOOKUP($E334&amp;$F334,Results!$A$2:$G$413,AB$1,FALSE)),"",VLOOKUP($E334&amp;$F334,Results!$A$2:$G$413,AB$1,FALSE))</f>
        <v/>
      </c>
      <c r="AC334" s="16"/>
      <c r="AD334" s="20" t="str">
        <f>IF(ISERROR(VLOOKUP($AB334&amp;"-"&amp;$F334,Bonuses!$B$1:$G$1000,4,FALSE)),"",INT(VLOOKUP($AB334&amp;"-"&amp;$F334,Bonuses!$B$1:$G$1000,4,FALSE)))</f>
        <v/>
      </c>
      <c r="AE334" s="16" t="str">
        <f>IF(ISERROR(VLOOKUP($AB334&amp;"-"&amp;$F334,Bonuses!$B$1:$G$1000,5,FALSE)),"",IF(VLOOKUP($AB334&amp;"-"&amp;$F334,Bonuses!$B$1:$G$1000,5,FALSE)="","",VLOOKUP($AB334&amp;"-"&amp;$F334,Bonuses!$B$1:$G$1000,6,FALSE)&amp;" yrs, "&amp;VLOOKUP($AB334&amp;"-"&amp;$F334,Bonuses!$B$1:$G$1000,5,FALSE)))</f>
        <v/>
      </c>
    </row>
    <row r="335" spans="1:31" s="21" customFormat="1">
      <c r="A335" s="21" t="s">
        <v>269</v>
      </c>
      <c r="B335" s="21">
        <f t="shared" si="20"/>
        <v>1</v>
      </c>
      <c r="C335" s="21" t="str">
        <f t="shared" si="21"/>
        <v>P</v>
      </c>
      <c r="D335" s="17">
        <f>IF($C335="B",VLOOKUP($A335,Bat!$A$4:$BD$2323,D$1,FALSE),VLOOKUP($A335,Pit!$A$4:$AZ$2261,D$2,FALSE))</f>
        <v>3069</v>
      </c>
      <c r="E335" s="16" t="str">
        <f>IF($C335="B",VLOOKUP($A335,Bat!$A$4:$BD$2323,E$1,FALSE),VLOOKUP($A335,Pit!$A$4:$AZ$2261,E$2,FALSE))</f>
        <v>SP</v>
      </c>
      <c r="F335" s="16" t="str">
        <f>IF($C335="B",VLOOKUP($A335,Bat!$A$4:$BD$2323,F$1,FALSE),VLOOKUP($A335,Pit!$A$4:$AZ$2261,F$2,FALSE))</f>
        <v>Keith Gordon</v>
      </c>
      <c r="G335" s="16">
        <f>IF($C335="B",VLOOKUP($A335,Bat!$A$4:$BD$2323,G$1,FALSE),VLOOKUP($A335,Pit!$A$4:$AZ$2261,G$2,FALSE))</f>
        <v>21</v>
      </c>
      <c r="H335" s="16" t="str">
        <f>IF($C335="B",VLOOKUP($A335,Bat!$A$4:$BD$2323,H$1,FALSE),VLOOKUP($A335,Pit!$A$4:$AZ$2261,H$2,FALSE))</f>
        <v>L</v>
      </c>
      <c r="I335" s="16" t="str">
        <f>IF($C335="B",VLOOKUP($A335,Bat!$A$4:$BD$2323,I$1,FALSE),VLOOKUP($A335,Pit!$A$4:$AZ$2261,I$2,FALSE))</f>
        <v>L</v>
      </c>
      <c r="J335" s="16" t="str">
        <f>IF($C335="B",VLOOKUP($A335,Bat!$A$4:$BD$2323,J$1,FALSE),VLOOKUP($A335,Pit!$A$4:$AZ$2261,J$2,FALSE))</f>
        <v>Normal</v>
      </c>
      <c r="K335" s="17" t="str">
        <f>IF($C335="B",VLOOKUP($A335,Bat!$A$4:$BD$2323,K$1,FALSE),VLOOKUP($A335,Pit!$A$4:$AZ$2261,K$2,FALSE))</f>
        <v>Normal</v>
      </c>
      <c r="L335" s="16">
        <f>IF($C335="B",VLOOKUP($A335,Bat!$A$4:$BD$2323,L$1,FALSE),VLOOKUP($A335,Pit!$A$4:$AZ$2261,L$2,FALSE))</f>
        <v>4</v>
      </c>
      <c r="M335" s="16">
        <f>IF($C335="B",VLOOKUP($A335,Bat!$A$4:$BD$2323,M$1,FALSE),VLOOKUP($A335,Pit!$A$4:$AZ$2261,M$2,FALSE))</f>
        <v>6</v>
      </c>
      <c r="N335" s="16">
        <f>IF($C335="B",VLOOKUP($A335,Bat!$A$4:$BD$2323,N$1,FALSE),VLOOKUP($A335,Pit!$A$4:$AZ$2261,N$2,FALSE))</f>
        <v>6</v>
      </c>
      <c r="O335" s="16" t="str">
        <f>IF($C335="B",VLOOKUP($A335,Bat!$A$4:$BD$2323,O$1,FALSE),VLOOKUP($A335,Pit!$A$4:$AZ$2261,O$2,FALSE))</f>
        <v>94-96 Mph</v>
      </c>
      <c r="P335" s="17">
        <f>IF($C335="B",VLOOKUP($A335,Bat!$A$4:$BD$2323,P$1,FALSE),VLOOKUP($A335,Pit!$A$4:$AZ$2261,P$2,FALSE))</f>
        <v>3</v>
      </c>
      <c r="Q335" s="18">
        <f>IF($C335="B",VLOOKUP($A335,Bat!$A$4:$BD$2323,Q$1,FALSE),VLOOKUP($A335,Pit!$A$4:$AZ$2261,Q$2,FALSE))</f>
        <v>42.137962826346026</v>
      </c>
      <c r="R335" s="19">
        <f>IF($C335="B",VLOOKUP($A335,Bat!$A$4:$BD$2323,R$1,FALSE),VLOOKUP($A335,Pit!$A$4:$AZ$2261,R$2,FALSE))</f>
        <v>0.65229804102379274</v>
      </c>
      <c r="S335" s="20" t="str">
        <f>IF($C335="B",VLOOKUP($A335,Bat!$A$4:$BD$2323,S$1,FALSE),VLOOKUP($A335,Pit!$A$4:$AZ$2261,S$2,FALSE))</f>
        <v>Slot</v>
      </c>
      <c r="T335" s="17" t="str">
        <f>IF(S335="Slot","",VLOOKUP(IF($C335="B",VLOOKUP($A335,Bat!$A$4:$AT$2323,T$1,FALSE),VLOOKUP($A335,Pit!$A$4:$BD$2261,T$2,FALSE)),COND!$A$34:$B$40,2,FALSE))</f>
        <v/>
      </c>
      <c r="U335" s="21">
        <f>IF($C335="B",VLOOKUP($A335,Bat!$A$4:$AR$1287,44,FALSE),VLOOKUP($A335,Pit!$A$4:$BB$1239,54,FALSE))</f>
        <v>0</v>
      </c>
      <c r="W335" s="21">
        <f t="shared" si="22"/>
        <v>0</v>
      </c>
      <c r="X335" s="22" t="e">
        <f t="shared" si="23"/>
        <v>#N/A</v>
      </c>
      <c r="Y335" s="16" t="str">
        <f>IF(ISERROR(VLOOKUP($E335&amp;$F335,Results!$A$2:$G$413,Y$1,FALSE)),"",VLOOKUP($E335&amp;$F335,Results!$A$2:$G$413,Y$1,FALSE))</f>
        <v/>
      </c>
      <c r="Z335" s="16" t="str">
        <f>IF(ISERROR(VLOOKUP($E335&amp;$F335,Results!$A$2:$G$413,Z$1,FALSE)),"",VLOOKUP($E335&amp;$F335,Results!$A$2:$G$413,Z$1,FALSE))</f>
        <v/>
      </c>
      <c r="AA335" s="16" t="str">
        <f>IF(ISERROR(VLOOKUP($E335&amp;$F335,Results!$A$2:$G$413,AA$1,FALSE)),"",VLOOKUP($E335&amp;$F335,Results!$A$2:$G$413,AA$1,FALSE))</f>
        <v/>
      </c>
      <c r="AB335" s="16" t="str">
        <f>IF(ISERROR(VLOOKUP($E335&amp;$F335,Results!$A$2:$G$413,AB$1,FALSE)),"",VLOOKUP($E335&amp;$F335,Results!$A$2:$G$413,AB$1,FALSE))</f>
        <v/>
      </c>
      <c r="AC335" s="16"/>
      <c r="AD335" s="20" t="str">
        <f>IF(ISERROR(VLOOKUP($AB335&amp;"-"&amp;$F335,Bonuses!$B$1:$G$1000,4,FALSE)),"",INT(VLOOKUP($AB335&amp;"-"&amp;$F335,Bonuses!$B$1:$G$1000,4,FALSE)))</f>
        <v/>
      </c>
      <c r="AE335" s="16" t="str">
        <f>IF(ISERROR(VLOOKUP($AB335&amp;"-"&amp;$F335,Bonuses!$B$1:$G$1000,5,FALSE)),"",IF(VLOOKUP($AB335&amp;"-"&amp;$F335,Bonuses!$B$1:$G$1000,5,FALSE)="","",VLOOKUP($AB335&amp;"-"&amp;$F335,Bonuses!$B$1:$G$1000,6,FALSE)&amp;" yrs, "&amp;VLOOKUP($AB335&amp;"-"&amp;$F335,Bonuses!$B$1:$G$1000,5,FALSE)))</f>
        <v/>
      </c>
    </row>
    <row r="336" spans="1:31" s="21" customFormat="1">
      <c r="A336" s="21" t="s">
        <v>678</v>
      </c>
      <c r="B336" s="21">
        <f t="shared" si="20"/>
        <v>1</v>
      </c>
      <c r="C336" s="21" t="str">
        <f t="shared" si="21"/>
        <v>P</v>
      </c>
      <c r="D336" s="17">
        <f>IF($C336="B",VLOOKUP($A336,Bat!$A$4:$BD$2323,D$1,FALSE),VLOOKUP($A336,Pit!$A$4:$AZ$2261,D$2,FALSE))</f>
        <v>4133</v>
      </c>
      <c r="E336" s="16" t="str">
        <f>IF($C336="B",VLOOKUP($A336,Bat!$A$4:$BD$2323,E$1,FALSE),VLOOKUP($A336,Pit!$A$4:$AZ$2261,E$2,FALSE))</f>
        <v>CL</v>
      </c>
      <c r="F336" s="16" t="str">
        <f>IF($C336="B",VLOOKUP($A336,Bat!$A$4:$BD$2323,F$1,FALSE),VLOOKUP($A336,Pit!$A$4:$AZ$2261,F$2,FALSE))</f>
        <v>Anthony Greene</v>
      </c>
      <c r="G336" s="16">
        <f>IF($C336="B",VLOOKUP($A336,Bat!$A$4:$BD$2323,G$1,FALSE),VLOOKUP($A336,Pit!$A$4:$AZ$2261,G$2,FALSE))</f>
        <v>21</v>
      </c>
      <c r="H336" s="16" t="str">
        <f>IF($C336="B",VLOOKUP($A336,Bat!$A$4:$BD$2323,H$1,FALSE),VLOOKUP($A336,Pit!$A$4:$AZ$2261,H$2,FALSE))</f>
        <v>R</v>
      </c>
      <c r="I336" s="16" t="str">
        <f>IF($C336="B",VLOOKUP($A336,Bat!$A$4:$BD$2323,I$1,FALSE),VLOOKUP($A336,Pit!$A$4:$AZ$2261,I$2,FALSE))</f>
        <v>R</v>
      </c>
      <c r="J336" s="16" t="str">
        <f>IF($C336="B",VLOOKUP($A336,Bat!$A$4:$BD$2323,J$1,FALSE),VLOOKUP($A336,Pit!$A$4:$AZ$2261,J$2,FALSE))</f>
        <v>Very High</v>
      </c>
      <c r="K336" s="17" t="str">
        <f>IF($C336="B",VLOOKUP($A336,Bat!$A$4:$BD$2323,K$1,FALSE),VLOOKUP($A336,Pit!$A$4:$AZ$2261,K$2,FALSE))</f>
        <v>Very Low</v>
      </c>
      <c r="L336" s="16">
        <f>IF($C336="B",VLOOKUP($A336,Bat!$A$4:$BD$2323,L$1,FALSE),VLOOKUP($A336,Pit!$A$4:$AZ$2261,L$2,FALSE))</f>
        <v>4</v>
      </c>
      <c r="M336" s="16">
        <f>IF($C336="B",VLOOKUP($A336,Bat!$A$4:$BD$2323,M$1,FALSE),VLOOKUP($A336,Pit!$A$4:$AZ$2261,M$2,FALSE))</f>
        <v>5</v>
      </c>
      <c r="N336" s="16">
        <f>IF($C336="B",VLOOKUP($A336,Bat!$A$4:$BD$2323,N$1,FALSE),VLOOKUP($A336,Pit!$A$4:$AZ$2261,N$2,FALSE))</f>
        <v>7</v>
      </c>
      <c r="O336" s="16" t="str">
        <f>IF($C336="B",VLOOKUP($A336,Bat!$A$4:$BD$2323,O$1,FALSE),VLOOKUP($A336,Pit!$A$4:$AZ$2261,O$2,FALSE))</f>
        <v>89-90 Mph</v>
      </c>
      <c r="P336" s="17">
        <f>IF($C336="B",VLOOKUP($A336,Bat!$A$4:$BD$2323,P$1,FALSE),VLOOKUP($A336,Pit!$A$4:$AZ$2261,P$2,FALSE))</f>
        <v>4</v>
      </c>
      <c r="Q336" s="18">
        <f>IF($C336="B",VLOOKUP($A336,Bat!$A$4:$BD$2323,Q$1,FALSE),VLOOKUP($A336,Pit!$A$4:$AZ$2261,Q$2,FALSE))</f>
        <v>40.462130161717766</v>
      </c>
      <c r="R336" s="19">
        <f>IF($C336="B",VLOOKUP($A336,Bat!$A$4:$BD$2323,R$1,FALSE),VLOOKUP($A336,Pit!$A$4:$AZ$2261,R$2,FALSE))</f>
        <v>0.51925948353417584</v>
      </c>
      <c r="S336" s="20" t="str">
        <f>IF($C336="B",VLOOKUP($A336,Bat!$A$4:$BD$2323,S$1,FALSE),VLOOKUP($A336,Pit!$A$4:$AZ$2261,S$2,FALSE))</f>
        <v>Slot</v>
      </c>
      <c r="T336" s="17" t="str">
        <f>IF(S336="Slot","",VLOOKUP(IF($C336="B",VLOOKUP($A336,Bat!$A$4:$AT$2323,T$1,FALSE),VLOOKUP($A336,Pit!$A$4:$BD$2261,T$2,FALSE)),COND!$A$34:$B$40,2,FALSE))</f>
        <v/>
      </c>
      <c r="U336" s="21">
        <f>IF($C336="B",VLOOKUP($A336,Bat!$A$4:$AR$1287,44,FALSE),VLOOKUP($A336,Pit!$A$4:$BB$1239,54,FALSE))</f>
        <v>0</v>
      </c>
      <c r="W336" s="21">
        <f t="shared" si="22"/>
        <v>0</v>
      </c>
      <c r="X336" s="22" t="e">
        <f t="shared" si="23"/>
        <v>#N/A</v>
      </c>
      <c r="Y336" s="16" t="str">
        <f>IF(ISERROR(VLOOKUP($E336&amp;$F336,Results!$A$2:$G$413,Y$1,FALSE)),"",VLOOKUP($E336&amp;$F336,Results!$A$2:$G$413,Y$1,FALSE))</f>
        <v/>
      </c>
      <c r="Z336" s="16" t="str">
        <f>IF(ISERROR(VLOOKUP($E336&amp;$F336,Results!$A$2:$G$413,Z$1,FALSE)),"",VLOOKUP($E336&amp;$F336,Results!$A$2:$G$413,Z$1,FALSE))</f>
        <v/>
      </c>
      <c r="AA336" s="16" t="str">
        <f>IF(ISERROR(VLOOKUP($E336&amp;$F336,Results!$A$2:$G$413,AA$1,FALSE)),"",VLOOKUP($E336&amp;$F336,Results!$A$2:$G$413,AA$1,FALSE))</f>
        <v/>
      </c>
      <c r="AB336" s="16" t="str">
        <f>IF(ISERROR(VLOOKUP($E336&amp;$F336,Results!$A$2:$G$413,AB$1,FALSE)),"",VLOOKUP($E336&amp;$F336,Results!$A$2:$G$413,AB$1,FALSE))</f>
        <v/>
      </c>
      <c r="AC336" s="16"/>
      <c r="AD336" s="20" t="str">
        <f>IF(ISERROR(VLOOKUP($AB336&amp;"-"&amp;$F336,Bonuses!$B$1:$G$1000,4,FALSE)),"",INT(VLOOKUP($AB336&amp;"-"&amp;$F336,Bonuses!$B$1:$G$1000,4,FALSE)))</f>
        <v/>
      </c>
      <c r="AE336" s="16" t="str">
        <f>IF(ISERROR(VLOOKUP($AB336&amp;"-"&amp;$F336,Bonuses!$B$1:$G$1000,5,FALSE)),"",IF(VLOOKUP($AB336&amp;"-"&amp;$F336,Bonuses!$B$1:$G$1000,5,FALSE)="","",VLOOKUP($AB336&amp;"-"&amp;$F336,Bonuses!$B$1:$G$1000,6,FALSE)&amp;" yrs, "&amp;VLOOKUP($AB336&amp;"-"&amp;$F336,Bonuses!$B$1:$G$1000,5,FALSE)))</f>
        <v/>
      </c>
    </row>
    <row r="337" spans="1:31" s="21" customFormat="1">
      <c r="A337" s="21" t="s">
        <v>645</v>
      </c>
      <c r="B337" s="21">
        <f t="shared" si="20"/>
        <v>1</v>
      </c>
      <c r="C337" s="21" t="str">
        <f t="shared" si="21"/>
        <v>P</v>
      </c>
      <c r="D337" s="17">
        <f>IF($C337="B",VLOOKUP($A337,Bat!$A$4:$BD$2323,D$1,FALSE),VLOOKUP($A337,Pit!$A$4:$AZ$2261,D$2,FALSE))</f>
        <v>5504</v>
      </c>
      <c r="E337" s="16" t="str">
        <f>IF($C337="B",VLOOKUP($A337,Bat!$A$4:$BD$2323,E$1,FALSE),VLOOKUP($A337,Pit!$A$4:$AZ$2261,E$2,FALSE))</f>
        <v>SP</v>
      </c>
      <c r="F337" s="16" t="str">
        <f>IF($C337="B",VLOOKUP($A337,Bat!$A$4:$BD$2323,F$1,FALSE),VLOOKUP($A337,Pit!$A$4:$AZ$2261,F$2,FALSE))</f>
        <v>Bill Martin</v>
      </c>
      <c r="G337" s="16">
        <f>IF($C337="B",VLOOKUP($A337,Bat!$A$4:$BD$2323,G$1,FALSE),VLOOKUP($A337,Pit!$A$4:$AZ$2261,G$2,FALSE))</f>
        <v>21</v>
      </c>
      <c r="H337" s="16" t="str">
        <f>IF($C337="B",VLOOKUP($A337,Bat!$A$4:$BD$2323,H$1,FALSE),VLOOKUP($A337,Pit!$A$4:$AZ$2261,H$2,FALSE))</f>
        <v>S</v>
      </c>
      <c r="I337" s="16" t="str">
        <f>IF($C337="B",VLOOKUP($A337,Bat!$A$4:$BD$2323,I$1,FALSE),VLOOKUP($A337,Pit!$A$4:$AZ$2261,I$2,FALSE))</f>
        <v>R</v>
      </c>
      <c r="J337" s="16" t="str">
        <f>IF($C337="B",VLOOKUP($A337,Bat!$A$4:$BD$2323,J$1,FALSE),VLOOKUP($A337,Pit!$A$4:$AZ$2261,J$2,FALSE))</f>
        <v>Normal</v>
      </c>
      <c r="K337" s="17" t="str">
        <f>IF($C337="B",VLOOKUP($A337,Bat!$A$4:$BD$2323,K$1,FALSE),VLOOKUP($A337,Pit!$A$4:$AZ$2261,K$2,FALSE))</f>
        <v>Very Low</v>
      </c>
      <c r="L337" s="16">
        <f>IF($C337="B",VLOOKUP($A337,Bat!$A$4:$BD$2323,L$1,FALSE),VLOOKUP($A337,Pit!$A$4:$AZ$2261,L$2,FALSE))</f>
        <v>6</v>
      </c>
      <c r="M337" s="16">
        <f>IF($C337="B",VLOOKUP($A337,Bat!$A$4:$BD$2323,M$1,FALSE),VLOOKUP($A337,Pit!$A$4:$AZ$2261,M$2,FALSE))</f>
        <v>5</v>
      </c>
      <c r="N337" s="16">
        <f>IF($C337="B",VLOOKUP($A337,Bat!$A$4:$BD$2323,N$1,FALSE),VLOOKUP($A337,Pit!$A$4:$AZ$2261,N$2,FALSE))</f>
        <v>5</v>
      </c>
      <c r="O337" s="16" t="str">
        <f>IF($C337="B",VLOOKUP($A337,Bat!$A$4:$BD$2323,O$1,FALSE),VLOOKUP($A337,Pit!$A$4:$AZ$2261,O$2,FALSE))</f>
        <v>95-97 Mph</v>
      </c>
      <c r="P337" s="17">
        <f>IF($C337="B",VLOOKUP($A337,Bat!$A$4:$BD$2323,P$1,FALSE),VLOOKUP($A337,Pit!$A$4:$AZ$2261,P$2,FALSE))</f>
        <v>3</v>
      </c>
      <c r="Q337" s="18">
        <f>IF($C337="B",VLOOKUP($A337,Bat!$A$4:$BD$2323,Q$1,FALSE),VLOOKUP($A337,Pit!$A$4:$AZ$2261,Q$2,FALSE))</f>
        <v>40.00264243216067</v>
      </c>
      <c r="R337" s="19">
        <f>IF($C337="B",VLOOKUP($A337,Bat!$A$4:$BD$2323,R$1,FALSE),VLOOKUP($A337,Pit!$A$4:$AZ$2261,R$2,FALSE))</f>
        <v>0.48278234234059769</v>
      </c>
      <c r="S337" s="20" t="str">
        <f>IF($C337="B",VLOOKUP($A337,Bat!$A$4:$BD$2323,S$1,FALSE),VLOOKUP($A337,Pit!$A$4:$AZ$2261,S$2,FALSE))</f>
        <v>Slot</v>
      </c>
      <c r="T337" s="17" t="str">
        <f>IF(S337="Slot","",VLOOKUP(IF($C337="B",VLOOKUP($A337,Bat!$A$4:$AT$2323,T$1,FALSE),VLOOKUP($A337,Pit!$A$4:$BD$2261,T$2,FALSE)),COND!$A$34:$B$40,2,FALSE))</f>
        <v/>
      </c>
      <c r="U337" s="21">
        <f>IF($C337="B",VLOOKUP($A337,Bat!$A$4:$AR$1287,44,FALSE),VLOOKUP($A337,Pit!$A$4:$BB$1239,54,FALSE))</f>
        <v>0</v>
      </c>
      <c r="W337" s="21">
        <f t="shared" si="22"/>
        <v>0</v>
      </c>
      <c r="X337" s="22" t="e">
        <f t="shared" si="23"/>
        <v>#N/A</v>
      </c>
      <c r="Y337" s="16" t="str">
        <f>IF(ISERROR(VLOOKUP($E337&amp;$F337,Results!$A$2:$G$413,Y$1,FALSE)),"",VLOOKUP($E337&amp;$F337,Results!$A$2:$G$413,Y$1,FALSE))</f>
        <v/>
      </c>
      <c r="Z337" s="16" t="str">
        <f>IF(ISERROR(VLOOKUP($E337&amp;$F337,Results!$A$2:$G$413,Z$1,FALSE)),"",VLOOKUP($E337&amp;$F337,Results!$A$2:$G$413,Z$1,FALSE))</f>
        <v/>
      </c>
      <c r="AA337" s="16" t="str">
        <f>IF(ISERROR(VLOOKUP($E337&amp;$F337,Results!$A$2:$G$413,AA$1,FALSE)),"",VLOOKUP($E337&amp;$F337,Results!$A$2:$G$413,AA$1,FALSE))</f>
        <v/>
      </c>
      <c r="AB337" s="16" t="str">
        <f>IF(ISERROR(VLOOKUP($E337&amp;$F337,Results!$A$2:$G$413,AB$1,FALSE)),"",VLOOKUP($E337&amp;$F337,Results!$A$2:$G$413,AB$1,FALSE))</f>
        <v/>
      </c>
      <c r="AC337" s="16"/>
      <c r="AD337" s="20" t="str">
        <f>IF(ISERROR(VLOOKUP($AB337&amp;"-"&amp;$F337,Bonuses!$B$1:$G$1000,4,FALSE)),"",INT(VLOOKUP($AB337&amp;"-"&amp;$F337,Bonuses!$B$1:$G$1000,4,FALSE)))</f>
        <v/>
      </c>
      <c r="AE337" s="16" t="str">
        <f>IF(ISERROR(VLOOKUP($AB337&amp;"-"&amp;$F337,Bonuses!$B$1:$G$1000,5,FALSE)),"",IF(VLOOKUP($AB337&amp;"-"&amp;$F337,Bonuses!$B$1:$G$1000,5,FALSE)="","",VLOOKUP($AB337&amp;"-"&amp;$F337,Bonuses!$B$1:$G$1000,6,FALSE)&amp;" yrs, "&amp;VLOOKUP($AB337&amp;"-"&amp;$F337,Bonuses!$B$1:$G$1000,5,FALSE)))</f>
        <v/>
      </c>
    </row>
    <row r="338" spans="1:31" s="21" customFormat="1">
      <c r="A338" s="21" t="s">
        <v>100</v>
      </c>
      <c r="B338" s="21">
        <f t="shared" si="20"/>
        <v>1</v>
      </c>
      <c r="C338" s="21" t="str">
        <f t="shared" si="21"/>
        <v>P</v>
      </c>
      <c r="D338" s="17">
        <f>IF($C338="B",VLOOKUP($A338,Bat!$A$4:$BD$2323,D$1,FALSE),VLOOKUP($A338,Pit!$A$4:$AZ$2261,D$2,FALSE))</f>
        <v>6870</v>
      </c>
      <c r="E338" s="16" t="str">
        <f>IF($C338="B",VLOOKUP($A338,Bat!$A$4:$BD$2323,E$1,FALSE),VLOOKUP($A338,Pit!$A$4:$AZ$2261,E$2,FALSE))</f>
        <v>SP</v>
      </c>
      <c r="F338" s="16" t="str">
        <f>IF($C338="B",VLOOKUP($A338,Bat!$A$4:$BD$2323,F$1,FALSE),VLOOKUP($A338,Pit!$A$4:$AZ$2261,F$2,FALSE))</f>
        <v>Nelson Baker</v>
      </c>
      <c r="G338" s="16">
        <f>IF($C338="B",VLOOKUP($A338,Bat!$A$4:$BD$2323,G$1,FALSE),VLOOKUP($A338,Pit!$A$4:$AZ$2261,G$2,FALSE))</f>
        <v>21</v>
      </c>
      <c r="H338" s="16" t="str">
        <f>IF($C338="B",VLOOKUP($A338,Bat!$A$4:$BD$2323,H$1,FALSE),VLOOKUP($A338,Pit!$A$4:$AZ$2261,H$2,FALSE))</f>
        <v>R</v>
      </c>
      <c r="I338" s="16" t="str">
        <f>IF($C338="B",VLOOKUP($A338,Bat!$A$4:$BD$2323,I$1,FALSE),VLOOKUP($A338,Pit!$A$4:$AZ$2261,I$2,FALSE))</f>
        <v>R</v>
      </c>
      <c r="J338" s="16" t="str">
        <f>IF($C338="B",VLOOKUP($A338,Bat!$A$4:$BD$2323,J$1,FALSE),VLOOKUP($A338,Pit!$A$4:$AZ$2261,J$2,FALSE))</f>
        <v>Normal</v>
      </c>
      <c r="K338" s="17" t="str">
        <f>IF($C338="B",VLOOKUP($A338,Bat!$A$4:$BD$2323,K$1,FALSE),VLOOKUP($A338,Pit!$A$4:$AZ$2261,K$2,FALSE))</f>
        <v>Very Low</v>
      </c>
      <c r="L338" s="16">
        <f>IF($C338="B",VLOOKUP($A338,Bat!$A$4:$BD$2323,L$1,FALSE),VLOOKUP($A338,Pit!$A$4:$AZ$2261,L$2,FALSE))</f>
        <v>4</v>
      </c>
      <c r="M338" s="16">
        <f>IF($C338="B",VLOOKUP($A338,Bat!$A$4:$BD$2323,M$1,FALSE),VLOOKUP($A338,Pit!$A$4:$AZ$2261,M$2,FALSE))</f>
        <v>7</v>
      </c>
      <c r="N338" s="16">
        <f>IF($C338="B",VLOOKUP($A338,Bat!$A$4:$BD$2323,N$1,FALSE),VLOOKUP($A338,Pit!$A$4:$AZ$2261,N$2,FALSE))</f>
        <v>5</v>
      </c>
      <c r="O338" s="16" t="str">
        <f>IF($C338="B",VLOOKUP($A338,Bat!$A$4:$BD$2323,O$1,FALSE),VLOOKUP($A338,Pit!$A$4:$AZ$2261,O$2,FALSE))</f>
        <v>84-86 Mph</v>
      </c>
      <c r="P338" s="17">
        <f>IF($C338="B",VLOOKUP($A338,Bat!$A$4:$BD$2323,P$1,FALSE),VLOOKUP($A338,Pit!$A$4:$AZ$2261,P$2,FALSE))</f>
        <v>7</v>
      </c>
      <c r="Q338" s="18">
        <f>IF($C338="B",VLOOKUP($A338,Bat!$A$4:$BD$2323,Q$1,FALSE),VLOOKUP($A338,Pit!$A$4:$AZ$2261,Q$2,FALSE))</f>
        <v>39.745994837286084</v>
      </c>
      <c r="R338" s="19">
        <f>IF($C338="B",VLOOKUP($A338,Bat!$A$4:$BD$2323,R$1,FALSE),VLOOKUP($A338,Pit!$A$4:$AZ$2261,R$2,FALSE))</f>
        <v>0.4624079776883438</v>
      </c>
      <c r="S338" s="20" t="str">
        <f>IF($C338="B",VLOOKUP($A338,Bat!$A$4:$BD$2323,S$1,FALSE),VLOOKUP($A338,Pit!$A$4:$AZ$2261,S$2,FALSE))</f>
        <v>Slot</v>
      </c>
      <c r="T338" s="17" t="str">
        <f>IF(S338="Slot","",VLOOKUP(IF($C338="B",VLOOKUP($A338,Bat!$A$4:$AT$2323,T$1,FALSE),VLOOKUP($A338,Pit!$A$4:$BD$2261,T$2,FALSE)),COND!$A$34:$B$40,2,FALSE))</f>
        <v/>
      </c>
      <c r="U338" s="21">
        <f>IF($C338="B",VLOOKUP($A338,Bat!$A$4:$AR$1287,44,FALSE),VLOOKUP($A338,Pit!$A$4:$BB$1239,54,FALSE))</f>
        <v>0</v>
      </c>
      <c r="W338" s="21">
        <f t="shared" si="22"/>
        <v>0</v>
      </c>
      <c r="X338" s="22" t="e">
        <f t="shared" si="23"/>
        <v>#N/A</v>
      </c>
      <c r="Y338" s="16" t="str">
        <f>IF(ISERROR(VLOOKUP($E338&amp;$F338,Results!$A$2:$G$413,Y$1,FALSE)),"",VLOOKUP($E338&amp;$F338,Results!$A$2:$G$413,Y$1,FALSE))</f>
        <v/>
      </c>
      <c r="Z338" s="16" t="str">
        <f>IF(ISERROR(VLOOKUP($E338&amp;$F338,Results!$A$2:$G$413,Z$1,FALSE)),"",VLOOKUP($E338&amp;$F338,Results!$A$2:$G$413,Z$1,FALSE))</f>
        <v/>
      </c>
      <c r="AA338" s="16" t="str">
        <f>IF(ISERROR(VLOOKUP($E338&amp;$F338,Results!$A$2:$G$413,AA$1,FALSE)),"",VLOOKUP($E338&amp;$F338,Results!$A$2:$G$413,AA$1,FALSE))</f>
        <v/>
      </c>
      <c r="AB338" s="16" t="str">
        <f>IF(ISERROR(VLOOKUP($E338&amp;$F338,Results!$A$2:$G$413,AB$1,FALSE)),"",VLOOKUP($E338&amp;$F338,Results!$A$2:$G$413,AB$1,FALSE))</f>
        <v/>
      </c>
      <c r="AC338" s="16"/>
      <c r="AD338" s="20" t="str">
        <f>IF(ISERROR(VLOOKUP($AB338&amp;"-"&amp;$F338,Bonuses!$B$1:$G$1000,4,FALSE)),"",INT(VLOOKUP($AB338&amp;"-"&amp;$F338,Bonuses!$B$1:$G$1000,4,FALSE)))</f>
        <v/>
      </c>
      <c r="AE338" s="16" t="str">
        <f>IF(ISERROR(VLOOKUP($AB338&amp;"-"&amp;$F338,Bonuses!$B$1:$G$1000,5,FALSE)),"",IF(VLOOKUP($AB338&amp;"-"&amp;$F338,Bonuses!$B$1:$G$1000,5,FALSE)="","",VLOOKUP($AB338&amp;"-"&amp;$F338,Bonuses!$B$1:$G$1000,6,FALSE)&amp;" yrs, "&amp;VLOOKUP($AB338&amp;"-"&amp;$F338,Bonuses!$B$1:$G$1000,5,FALSE)))</f>
        <v/>
      </c>
    </row>
    <row r="339" spans="1:31" s="21" customFormat="1">
      <c r="A339" s="21" t="s">
        <v>810</v>
      </c>
      <c r="B339" s="21">
        <f t="shared" si="20"/>
        <v>1</v>
      </c>
      <c r="C339" s="21" t="str">
        <f t="shared" si="21"/>
        <v>P</v>
      </c>
      <c r="D339" s="17">
        <f>IF($C339="B",VLOOKUP($A339,Bat!$A$4:$BD$2323,D$1,FALSE),VLOOKUP($A339,Pit!$A$4:$AZ$2261,D$2,FALSE))</f>
        <v>13914</v>
      </c>
      <c r="E339" s="16" t="str">
        <f>IF($C339="B",VLOOKUP($A339,Bat!$A$4:$BD$2323,E$1,FALSE),VLOOKUP($A339,Pit!$A$4:$AZ$2261,E$2,FALSE))</f>
        <v>SP</v>
      </c>
      <c r="F339" s="16" t="str">
        <f>IF($C339="B",VLOOKUP($A339,Bat!$A$4:$BD$2323,F$1,FALSE),VLOOKUP($A339,Pit!$A$4:$AZ$2261,F$2,FALSE))</f>
        <v>Tom Harrell</v>
      </c>
      <c r="G339" s="16">
        <f>IF($C339="B",VLOOKUP($A339,Bat!$A$4:$BD$2323,G$1,FALSE),VLOOKUP($A339,Pit!$A$4:$AZ$2261,G$2,FALSE))</f>
        <v>18</v>
      </c>
      <c r="H339" s="16" t="str">
        <f>IF($C339="B",VLOOKUP($A339,Bat!$A$4:$BD$2323,H$1,FALSE),VLOOKUP($A339,Pit!$A$4:$AZ$2261,H$2,FALSE))</f>
        <v>R</v>
      </c>
      <c r="I339" s="16" t="str">
        <f>IF($C339="B",VLOOKUP($A339,Bat!$A$4:$BD$2323,I$1,FALSE),VLOOKUP($A339,Pit!$A$4:$AZ$2261,I$2,FALSE))</f>
        <v>L</v>
      </c>
      <c r="J339" s="16" t="str">
        <f>IF($C339="B",VLOOKUP($A339,Bat!$A$4:$BD$2323,J$1,FALSE),VLOOKUP($A339,Pit!$A$4:$AZ$2261,J$2,FALSE))</f>
        <v>High</v>
      </c>
      <c r="K339" s="17" t="str">
        <f>IF($C339="B",VLOOKUP($A339,Bat!$A$4:$BD$2323,K$1,FALSE),VLOOKUP($A339,Pit!$A$4:$AZ$2261,K$2,FALSE))</f>
        <v>Very High</v>
      </c>
      <c r="L339" s="16">
        <f>IF($C339="B",VLOOKUP($A339,Bat!$A$4:$BD$2323,L$1,FALSE),VLOOKUP($A339,Pit!$A$4:$AZ$2261,L$2,FALSE))</f>
        <v>5</v>
      </c>
      <c r="M339" s="16">
        <f>IF($C339="B",VLOOKUP($A339,Bat!$A$4:$BD$2323,M$1,FALSE),VLOOKUP($A339,Pit!$A$4:$AZ$2261,M$2,FALSE))</f>
        <v>4</v>
      </c>
      <c r="N339" s="16">
        <f>IF($C339="B",VLOOKUP($A339,Bat!$A$4:$BD$2323,N$1,FALSE),VLOOKUP($A339,Pit!$A$4:$AZ$2261,N$2,FALSE))</f>
        <v>6</v>
      </c>
      <c r="O339" s="16" t="str">
        <f>IF($C339="B",VLOOKUP($A339,Bat!$A$4:$BD$2323,O$1,FALSE),VLOOKUP($A339,Pit!$A$4:$AZ$2261,O$2,FALSE))</f>
        <v>89-90 Mph</v>
      </c>
      <c r="P339" s="17">
        <f>IF($C339="B",VLOOKUP($A339,Bat!$A$4:$BD$2323,P$1,FALSE),VLOOKUP($A339,Pit!$A$4:$AZ$2261,P$2,FALSE))</f>
        <v>7</v>
      </c>
      <c r="Q339" s="18">
        <f>IF($C339="B",VLOOKUP($A339,Bat!$A$4:$BD$2323,Q$1,FALSE),VLOOKUP($A339,Pit!$A$4:$AZ$2261,Q$2,FALSE))</f>
        <v>41.954376254504069</v>
      </c>
      <c r="R339" s="19">
        <f>IF($C339="B",VLOOKUP($A339,Bat!$A$4:$BD$2323,R$1,FALSE),VLOOKUP($A339,Pit!$A$4:$AZ$2261,R$2,FALSE))</f>
        <v>0.6377237382262424</v>
      </c>
      <c r="S339" s="20">
        <f>IF($C339="B",VLOOKUP($A339,Bat!$A$4:$BD$2323,S$1,FALSE),VLOOKUP($A339,Pit!$A$4:$AZ$2261,S$2,FALSE))</f>
        <v>2800000</v>
      </c>
      <c r="T339" s="17" t="str">
        <f>IF(S339="Slot","",VLOOKUP(IF($C339="B",VLOOKUP($A339,Bat!$A$4:$AT$2323,T$1,FALSE),VLOOKUP($A339,Pit!$A$4:$BD$2261,T$2,FALSE)),COND!$A$34:$B$40,2,FALSE))</f>
        <v>EH</v>
      </c>
      <c r="U339" s="21">
        <f>IF($C339="B",VLOOKUP($A339,Bat!$A$4:$AR$1287,44,FALSE),VLOOKUP($A339,Pit!$A$4:$BB$1239,54,FALSE))</f>
        <v>0</v>
      </c>
      <c r="W339" s="21">
        <f t="shared" si="22"/>
        <v>0</v>
      </c>
      <c r="X339" s="22" t="e">
        <f t="shared" si="23"/>
        <v>#N/A</v>
      </c>
      <c r="Y339" s="16" t="str">
        <f>IF(ISERROR(VLOOKUP($E339&amp;$F339,Results!$A$2:$G$413,Y$1,FALSE)),"",VLOOKUP($E339&amp;$F339,Results!$A$2:$G$413,Y$1,FALSE))</f>
        <v/>
      </c>
      <c r="Z339" s="16" t="str">
        <f>IF(ISERROR(VLOOKUP($E339&amp;$F339,Results!$A$2:$G$413,Z$1,FALSE)),"",VLOOKUP($E339&amp;$F339,Results!$A$2:$G$413,Z$1,FALSE))</f>
        <v/>
      </c>
      <c r="AA339" s="16" t="str">
        <f>IF(ISERROR(VLOOKUP($E339&amp;$F339,Results!$A$2:$G$413,AA$1,FALSE)),"",VLOOKUP($E339&amp;$F339,Results!$A$2:$G$413,AA$1,FALSE))</f>
        <v/>
      </c>
      <c r="AB339" s="16" t="str">
        <f>IF(ISERROR(VLOOKUP($E339&amp;$F339,Results!$A$2:$G$413,AB$1,FALSE)),"",VLOOKUP($E339&amp;$F339,Results!$A$2:$G$413,AB$1,FALSE))</f>
        <v/>
      </c>
      <c r="AC339" s="16"/>
      <c r="AD339" s="20" t="str">
        <f>IF(ISERROR(VLOOKUP($AB339&amp;"-"&amp;$F339,Bonuses!$B$1:$G$1000,4,FALSE)),"",INT(VLOOKUP($AB339&amp;"-"&amp;$F339,Bonuses!$B$1:$G$1000,4,FALSE)))</f>
        <v/>
      </c>
      <c r="AE339" s="16" t="str">
        <f>IF(ISERROR(VLOOKUP($AB339&amp;"-"&amp;$F339,Bonuses!$B$1:$G$1000,5,FALSE)),"",IF(VLOOKUP($AB339&amp;"-"&amp;$F339,Bonuses!$B$1:$G$1000,5,FALSE)="","",VLOOKUP($AB339&amp;"-"&amp;$F339,Bonuses!$B$1:$G$1000,6,FALSE)&amp;" yrs, "&amp;VLOOKUP($AB339&amp;"-"&amp;$F339,Bonuses!$B$1:$G$1000,5,FALSE)))</f>
        <v/>
      </c>
    </row>
    <row r="340" spans="1:31" s="21" customFormat="1">
      <c r="A340" s="21" t="s">
        <v>813</v>
      </c>
      <c r="B340" s="21">
        <f t="shared" si="20"/>
        <v>1</v>
      </c>
      <c r="C340" s="21" t="str">
        <f t="shared" si="21"/>
        <v>P</v>
      </c>
      <c r="D340" s="17">
        <f>IF($C340="B",VLOOKUP($A340,Bat!$A$4:$BD$2323,D$1,FALSE),VLOOKUP($A340,Pit!$A$4:$AZ$2261,D$2,FALSE))</f>
        <v>5794</v>
      </c>
      <c r="E340" s="16" t="str">
        <f>IF($C340="B",VLOOKUP($A340,Bat!$A$4:$BD$2323,E$1,FALSE),VLOOKUP($A340,Pit!$A$4:$AZ$2261,E$2,FALSE))</f>
        <v>MR</v>
      </c>
      <c r="F340" s="16" t="str">
        <f>IF($C340="B",VLOOKUP($A340,Bat!$A$4:$BD$2323,F$1,FALSE),VLOOKUP($A340,Pit!$A$4:$AZ$2261,F$2,FALSE))</f>
        <v>Júlio Parra</v>
      </c>
      <c r="G340" s="16">
        <f>IF($C340="B",VLOOKUP($A340,Bat!$A$4:$BD$2323,G$1,FALSE),VLOOKUP($A340,Pit!$A$4:$AZ$2261,G$2,FALSE))</f>
        <v>21</v>
      </c>
      <c r="H340" s="16" t="str">
        <f>IF($C340="B",VLOOKUP($A340,Bat!$A$4:$BD$2323,H$1,FALSE),VLOOKUP($A340,Pit!$A$4:$AZ$2261,H$2,FALSE))</f>
        <v>L</v>
      </c>
      <c r="I340" s="16" t="str">
        <f>IF($C340="B",VLOOKUP($A340,Bat!$A$4:$BD$2323,I$1,FALSE),VLOOKUP($A340,Pit!$A$4:$AZ$2261,I$2,FALSE))</f>
        <v>R</v>
      </c>
      <c r="J340" s="16" t="str">
        <f>IF($C340="B",VLOOKUP($A340,Bat!$A$4:$BD$2323,J$1,FALSE),VLOOKUP($A340,Pit!$A$4:$AZ$2261,J$2,FALSE))</f>
        <v>Low</v>
      </c>
      <c r="K340" s="17" t="str">
        <f>IF($C340="B",VLOOKUP($A340,Bat!$A$4:$BD$2323,K$1,FALSE),VLOOKUP($A340,Pit!$A$4:$AZ$2261,K$2,FALSE))</f>
        <v>Very High</v>
      </c>
      <c r="L340" s="16">
        <f>IF($C340="B",VLOOKUP($A340,Bat!$A$4:$BD$2323,L$1,FALSE),VLOOKUP($A340,Pit!$A$4:$AZ$2261,L$2,FALSE))</f>
        <v>8</v>
      </c>
      <c r="M340" s="16">
        <f>IF($C340="B",VLOOKUP($A340,Bat!$A$4:$BD$2323,M$1,FALSE),VLOOKUP($A340,Pit!$A$4:$AZ$2261,M$2,FALSE))</f>
        <v>5</v>
      </c>
      <c r="N340" s="16">
        <f>IF($C340="B",VLOOKUP($A340,Bat!$A$4:$BD$2323,N$1,FALSE),VLOOKUP($A340,Pit!$A$4:$AZ$2261,N$2,FALSE))</f>
        <v>3</v>
      </c>
      <c r="O340" s="16" t="str">
        <f>IF($C340="B",VLOOKUP($A340,Bat!$A$4:$BD$2323,O$1,FALSE),VLOOKUP($A340,Pit!$A$4:$AZ$2261,O$2,FALSE))</f>
        <v>96-98 Mph</v>
      </c>
      <c r="P340" s="17">
        <f>IF($C340="B",VLOOKUP($A340,Bat!$A$4:$BD$2323,P$1,FALSE),VLOOKUP($A340,Pit!$A$4:$AZ$2261,P$2,FALSE))</f>
        <v>1</v>
      </c>
      <c r="Q340" s="18">
        <f>IF($C340="B",VLOOKUP($A340,Bat!$A$4:$BD$2323,Q$1,FALSE),VLOOKUP($A340,Pit!$A$4:$AZ$2261,Q$2,FALSE))</f>
        <v>40.971813207496851</v>
      </c>
      <c r="R340" s="19">
        <f>IF($C340="B",VLOOKUP($A340,Bat!$A$4:$BD$2323,R$1,FALSE),VLOOKUP($A340,Pit!$A$4:$AZ$2261,R$2,FALSE))</f>
        <v>0.55972145722556776</v>
      </c>
      <c r="S340" s="20" t="str">
        <f>IF($C340="B",VLOOKUP($A340,Bat!$A$4:$BD$2323,S$1,FALSE),VLOOKUP($A340,Pit!$A$4:$AZ$2261,S$2,FALSE))</f>
        <v>Slot</v>
      </c>
      <c r="T340" s="17" t="str">
        <f>IF(S340="Slot","",VLOOKUP(IF($C340="B",VLOOKUP($A340,Bat!$A$4:$AT$2323,T$1,FALSE),VLOOKUP($A340,Pit!$A$4:$BD$2261,T$2,FALSE)),COND!$A$34:$B$40,2,FALSE))</f>
        <v/>
      </c>
      <c r="U340" s="21">
        <f>IF($C340="B",VLOOKUP($A340,Bat!$A$4:$AR$1287,44,FALSE),VLOOKUP($A340,Pit!$A$4:$BB$1239,54,FALSE))</f>
        <v>0</v>
      </c>
      <c r="W340" s="21">
        <f t="shared" si="22"/>
        <v>0</v>
      </c>
      <c r="X340" s="22" t="e">
        <f t="shared" si="23"/>
        <v>#N/A</v>
      </c>
      <c r="Y340" s="16" t="str">
        <f>IF(ISERROR(VLOOKUP($E340&amp;$F340,Results!$A$2:$G$413,Y$1,FALSE)),"",VLOOKUP($E340&amp;$F340,Results!$A$2:$G$413,Y$1,FALSE))</f>
        <v/>
      </c>
      <c r="Z340" s="16" t="str">
        <f>IF(ISERROR(VLOOKUP($E340&amp;$F340,Results!$A$2:$G$413,Z$1,FALSE)),"",VLOOKUP($E340&amp;$F340,Results!$A$2:$G$413,Z$1,FALSE))</f>
        <v/>
      </c>
      <c r="AA340" s="16" t="str">
        <f>IF(ISERROR(VLOOKUP($E340&amp;$F340,Results!$A$2:$G$413,AA$1,FALSE)),"",VLOOKUP($E340&amp;$F340,Results!$A$2:$G$413,AA$1,FALSE))</f>
        <v/>
      </c>
      <c r="AB340" s="16" t="str">
        <f>IF(ISERROR(VLOOKUP($E340&amp;$F340,Results!$A$2:$G$413,AB$1,FALSE)),"",VLOOKUP($E340&amp;$F340,Results!$A$2:$G$413,AB$1,FALSE))</f>
        <v/>
      </c>
      <c r="AC340" s="16"/>
      <c r="AD340" s="20" t="str">
        <f>IF(ISERROR(VLOOKUP($AB340&amp;"-"&amp;$F340,Bonuses!$B$1:$G$1000,4,FALSE)),"",INT(VLOOKUP($AB340&amp;"-"&amp;$F340,Bonuses!$B$1:$G$1000,4,FALSE)))</f>
        <v/>
      </c>
      <c r="AE340" s="16" t="str">
        <f>IF(ISERROR(VLOOKUP($AB340&amp;"-"&amp;$F340,Bonuses!$B$1:$G$1000,5,FALSE)),"",IF(VLOOKUP($AB340&amp;"-"&amp;$F340,Bonuses!$B$1:$G$1000,5,FALSE)="","",VLOOKUP($AB340&amp;"-"&amp;$F340,Bonuses!$B$1:$G$1000,6,FALSE)&amp;" yrs, "&amp;VLOOKUP($AB340&amp;"-"&amp;$F340,Bonuses!$B$1:$G$1000,5,FALSE)))</f>
        <v/>
      </c>
    </row>
    <row r="341" spans="1:31" s="21" customFormat="1">
      <c r="A341" s="21" t="s">
        <v>815</v>
      </c>
      <c r="B341" s="21">
        <f t="shared" si="20"/>
        <v>1</v>
      </c>
      <c r="C341" s="21" t="str">
        <f t="shared" si="21"/>
        <v>P</v>
      </c>
      <c r="D341" s="17">
        <f>IF($C341="B",VLOOKUP($A341,Bat!$A$4:$BD$2323,D$1,FALSE),VLOOKUP($A341,Pit!$A$4:$AZ$2261,D$2,FALSE))</f>
        <v>3037</v>
      </c>
      <c r="E341" s="16" t="str">
        <f>IF($C341="B",VLOOKUP($A341,Bat!$A$4:$BD$2323,E$1,FALSE),VLOOKUP($A341,Pit!$A$4:$AZ$2261,E$2,FALSE))</f>
        <v>SP</v>
      </c>
      <c r="F341" s="16" t="str">
        <f>IF($C341="B",VLOOKUP($A341,Bat!$A$4:$BD$2323,F$1,FALSE),VLOOKUP($A341,Pit!$A$4:$AZ$2261,F$2,FALSE))</f>
        <v>Ramón Altagracia</v>
      </c>
      <c r="G341" s="16">
        <f>IF($C341="B",VLOOKUP($A341,Bat!$A$4:$BD$2323,G$1,FALSE),VLOOKUP($A341,Pit!$A$4:$AZ$2261,G$2,FALSE))</f>
        <v>22</v>
      </c>
      <c r="H341" s="16" t="str">
        <f>IF($C341="B",VLOOKUP($A341,Bat!$A$4:$BD$2323,H$1,FALSE),VLOOKUP($A341,Pit!$A$4:$AZ$2261,H$2,FALSE))</f>
        <v>R</v>
      </c>
      <c r="I341" s="16" t="str">
        <f>IF($C341="B",VLOOKUP($A341,Bat!$A$4:$BD$2323,I$1,FALSE),VLOOKUP($A341,Pit!$A$4:$AZ$2261,I$2,FALSE))</f>
        <v>R</v>
      </c>
      <c r="J341" s="16" t="str">
        <f>IF($C341="B",VLOOKUP($A341,Bat!$A$4:$BD$2323,J$1,FALSE),VLOOKUP($A341,Pit!$A$4:$AZ$2261,J$2,FALSE))</f>
        <v>Low</v>
      </c>
      <c r="K341" s="17" t="str">
        <f>IF($C341="B",VLOOKUP($A341,Bat!$A$4:$BD$2323,K$1,FALSE),VLOOKUP($A341,Pit!$A$4:$AZ$2261,K$2,FALSE))</f>
        <v>Low</v>
      </c>
      <c r="L341" s="16">
        <f>IF($C341="B",VLOOKUP($A341,Bat!$A$4:$BD$2323,L$1,FALSE),VLOOKUP($A341,Pit!$A$4:$AZ$2261,L$2,FALSE))</f>
        <v>4</v>
      </c>
      <c r="M341" s="16">
        <f>IF($C341="B",VLOOKUP($A341,Bat!$A$4:$BD$2323,M$1,FALSE),VLOOKUP($A341,Pit!$A$4:$AZ$2261,M$2,FALSE))</f>
        <v>4</v>
      </c>
      <c r="N341" s="16">
        <f>IF($C341="B",VLOOKUP($A341,Bat!$A$4:$BD$2323,N$1,FALSE),VLOOKUP($A341,Pit!$A$4:$AZ$2261,N$2,FALSE))</f>
        <v>7</v>
      </c>
      <c r="O341" s="16" t="str">
        <f>IF($C341="B",VLOOKUP($A341,Bat!$A$4:$BD$2323,O$1,FALSE),VLOOKUP($A341,Pit!$A$4:$AZ$2261,O$2,FALSE))</f>
        <v>87-89 Mph</v>
      </c>
      <c r="P341" s="17">
        <f>IF($C341="B",VLOOKUP($A341,Bat!$A$4:$BD$2323,P$1,FALSE),VLOOKUP($A341,Pit!$A$4:$AZ$2261,P$2,FALSE))</f>
        <v>6</v>
      </c>
      <c r="Q341" s="18">
        <f>IF($C341="B",VLOOKUP($A341,Bat!$A$4:$BD$2323,Q$1,FALSE),VLOOKUP($A341,Pit!$A$4:$AZ$2261,Q$2,FALSE))</f>
        <v>39.962599205967962</v>
      </c>
      <c r="R341" s="19">
        <f>IF($C341="B",VLOOKUP($A341,Bat!$A$4:$BD$2323,R$1,FALSE),VLOOKUP($A341,Pit!$A$4:$AZ$2261,R$2,FALSE))</f>
        <v>0.47960344914776809</v>
      </c>
      <c r="S341" s="20" t="str">
        <f>IF($C341="B",VLOOKUP($A341,Bat!$A$4:$BD$2323,S$1,FALSE),VLOOKUP($A341,Pit!$A$4:$AZ$2261,S$2,FALSE))</f>
        <v>Slot</v>
      </c>
      <c r="T341" s="17" t="str">
        <f>IF(S341="Slot","",VLOOKUP(IF($C341="B",VLOOKUP($A341,Bat!$A$4:$AT$2323,T$1,FALSE),VLOOKUP($A341,Pit!$A$4:$BD$2261,T$2,FALSE)),COND!$A$34:$B$40,2,FALSE))</f>
        <v/>
      </c>
      <c r="U341" s="21">
        <f>IF($C341="B",VLOOKUP($A341,Bat!$A$4:$AR$1287,44,FALSE),VLOOKUP($A341,Pit!$A$4:$BB$1239,54,FALSE))</f>
        <v>0</v>
      </c>
      <c r="W341" s="21">
        <f t="shared" si="22"/>
        <v>0</v>
      </c>
      <c r="X341" s="22" t="e">
        <f t="shared" si="23"/>
        <v>#N/A</v>
      </c>
      <c r="Y341" s="16" t="str">
        <f>IF(ISERROR(VLOOKUP($E341&amp;$F341,Results!$A$2:$G$413,Y$1,FALSE)),"",VLOOKUP($E341&amp;$F341,Results!$A$2:$G$413,Y$1,FALSE))</f>
        <v/>
      </c>
      <c r="Z341" s="16" t="str">
        <f>IF(ISERROR(VLOOKUP($E341&amp;$F341,Results!$A$2:$G$413,Z$1,FALSE)),"",VLOOKUP($E341&amp;$F341,Results!$A$2:$G$413,Z$1,FALSE))</f>
        <v/>
      </c>
      <c r="AA341" s="16" t="str">
        <f>IF(ISERROR(VLOOKUP($E341&amp;$F341,Results!$A$2:$G$413,AA$1,FALSE)),"",VLOOKUP($E341&amp;$F341,Results!$A$2:$G$413,AA$1,FALSE))</f>
        <v/>
      </c>
      <c r="AB341" s="16" t="str">
        <f>IF(ISERROR(VLOOKUP($E341&amp;$F341,Results!$A$2:$G$413,AB$1,FALSE)),"",VLOOKUP($E341&amp;$F341,Results!$A$2:$G$413,AB$1,FALSE))</f>
        <v/>
      </c>
      <c r="AC341" s="16"/>
      <c r="AD341" s="20" t="str">
        <f>IF(ISERROR(VLOOKUP($AB341&amp;"-"&amp;$F341,Bonuses!$B$1:$G$1000,4,FALSE)),"",INT(VLOOKUP($AB341&amp;"-"&amp;$F341,Bonuses!$B$1:$G$1000,4,FALSE)))</f>
        <v/>
      </c>
      <c r="AE341" s="16" t="str">
        <f>IF(ISERROR(VLOOKUP($AB341&amp;"-"&amp;$F341,Bonuses!$B$1:$G$1000,5,FALSE)),"",IF(VLOOKUP($AB341&amp;"-"&amp;$F341,Bonuses!$B$1:$G$1000,5,FALSE)="","",VLOOKUP($AB341&amp;"-"&amp;$F341,Bonuses!$B$1:$G$1000,6,FALSE)&amp;" yrs, "&amp;VLOOKUP($AB341&amp;"-"&amp;$F341,Bonuses!$B$1:$G$1000,5,FALSE)))</f>
        <v/>
      </c>
    </row>
    <row r="342" spans="1:31" s="21" customFormat="1">
      <c r="A342" s="21" t="s">
        <v>675</v>
      </c>
      <c r="B342" s="21">
        <f t="shared" si="20"/>
        <v>1</v>
      </c>
      <c r="C342" s="21" t="str">
        <f t="shared" si="21"/>
        <v>P</v>
      </c>
      <c r="D342" s="17">
        <f>IF($C342="B",VLOOKUP($A342,Bat!$A$4:$BD$2323,D$1,FALSE),VLOOKUP($A342,Pit!$A$4:$AZ$2261,D$2,FALSE))</f>
        <v>7338</v>
      </c>
      <c r="E342" s="16" t="str">
        <f>IF($C342="B",VLOOKUP($A342,Bat!$A$4:$BD$2323,E$1,FALSE),VLOOKUP($A342,Pit!$A$4:$AZ$2261,E$2,FALSE))</f>
        <v>SP</v>
      </c>
      <c r="F342" s="16" t="str">
        <f>IF($C342="B",VLOOKUP($A342,Bat!$A$4:$BD$2323,F$1,FALSE),VLOOKUP($A342,Pit!$A$4:$AZ$2261,F$2,FALSE))</f>
        <v>Ricardo Rodríguez</v>
      </c>
      <c r="G342" s="16">
        <f>IF($C342="B",VLOOKUP($A342,Bat!$A$4:$BD$2323,G$1,FALSE),VLOOKUP($A342,Pit!$A$4:$AZ$2261,G$2,FALSE))</f>
        <v>21</v>
      </c>
      <c r="H342" s="16" t="str">
        <f>IF($C342="B",VLOOKUP($A342,Bat!$A$4:$BD$2323,H$1,FALSE),VLOOKUP($A342,Pit!$A$4:$AZ$2261,H$2,FALSE))</f>
        <v>L</v>
      </c>
      <c r="I342" s="16" t="str">
        <f>IF($C342="B",VLOOKUP($A342,Bat!$A$4:$BD$2323,I$1,FALSE),VLOOKUP($A342,Pit!$A$4:$AZ$2261,I$2,FALSE))</f>
        <v>R</v>
      </c>
      <c r="J342" s="16" t="str">
        <f>IF($C342="B",VLOOKUP($A342,Bat!$A$4:$BD$2323,J$1,FALSE),VLOOKUP($A342,Pit!$A$4:$AZ$2261,J$2,FALSE))</f>
        <v>High</v>
      </c>
      <c r="K342" s="17" t="str">
        <f>IF($C342="B",VLOOKUP($A342,Bat!$A$4:$BD$2323,K$1,FALSE),VLOOKUP($A342,Pit!$A$4:$AZ$2261,K$2,FALSE))</f>
        <v>Low</v>
      </c>
      <c r="L342" s="16">
        <f>IF($C342="B",VLOOKUP($A342,Bat!$A$4:$BD$2323,L$1,FALSE),VLOOKUP($A342,Pit!$A$4:$AZ$2261,L$2,FALSE))</f>
        <v>5</v>
      </c>
      <c r="M342" s="16">
        <f>IF($C342="B",VLOOKUP($A342,Bat!$A$4:$BD$2323,M$1,FALSE),VLOOKUP($A342,Pit!$A$4:$AZ$2261,M$2,FALSE))</f>
        <v>6</v>
      </c>
      <c r="N342" s="16">
        <f>IF($C342="B",VLOOKUP($A342,Bat!$A$4:$BD$2323,N$1,FALSE),VLOOKUP($A342,Pit!$A$4:$AZ$2261,N$2,FALSE))</f>
        <v>5</v>
      </c>
      <c r="O342" s="16" t="str">
        <f>IF($C342="B",VLOOKUP($A342,Bat!$A$4:$BD$2323,O$1,FALSE),VLOOKUP($A342,Pit!$A$4:$AZ$2261,O$2,FALSE))</f>
        <v>91-93 Mph</v>
      </c>
      <c r="P342" s="17">
        <f>IF($C342="B",VLOOKUP($A342,Bat!$A$4:$BD$2323,P$1,FALSE),VLOOKUP($A342,Pit!$A$4:$AZ$2261,P$2,FALSE))</f>
        <v>4</v>
      </c>
      <c r="Q342" s="18">
        <f>IF($C342="B",VLOOKUP($A342,Bat!$A$4:$BD$2323,Q$1,FALSE),VLOOKUP($A342,Pit!$A$4:$AZ$2261,Q$2,FALSE))</f>
        <v>40.653418455628625</v>
      </c>
      <c r="R342" s="19">
        <f>IF($C342="B",VLOOKUP($A342,Bat!$A$4:$BD$2323,R$1,FALSE),VLOOKUP($A342,Pit!$A$4:$AZ$2261,R$2,FALSE))</f>
        <v>0.53444519940169399</v>
      </c>
      <c r="S342" s="20" t="str">
        <f>IF($C342="B",VLOOKUP($A342,Bat!$A$4:$BD$2323,S$1,FALSE),VLOOKUP($A342,Pit!$A$4:$AZ$2261,S$2,FALSE))</f>
        <v>Slot</v>
      </c>
      <c r="T342" s="17" t="str">
        <f>IF(S342="Slot","",VLOOKUP(IF($C342="B",VLOOKUP($A342,Bat!$A$4:$AT$2323,T$1,FALSE),VLOOKUP($A342,Pit!$A$4:$BD$2261,T$2,FALSE)),COND!$A$34:$B$40,2,FALSE))</f>
        <v/>
      </c>
      <c r="U342" s="21">
        <f>IF($C342="B",VLOOKUP($A342,Bat!$A$4:$AR$1287,44,FALSE),VLOOKUP($A342,Pit!$A$4:$BB$1239,54,FALSE))</f>
        <v>0</v>
      </c>
      <c r="W342" s="21">
        <f t="shared" si="22"/>
        <v>0</v>
      </c>
      <c r="X342" s="22" t="e">
        <f t="shared" si="23"/>
        <v>#N/A</v>
      </c>
      <c r="Y342" s="16" t="str">
        <f>IF(ISERROR(VLOOKUP($E342&amp;$F342,Results!$A$2:$G$413,Y$1,FALSE)),"",VLOOKUP($E342&amp;$F342,Results!$A$2:$G$413,Y$1,FALSE))</f>
        <v/>
      </c>
      <c r="Z342" s="16" t="str">
        <f>IF(ISERROR(VLOOKUP($E342&amp;$F342,Results!$A$2:$G$413,Z$1,FALSE)),"",VLOOKUP($E342&amp;$F342,Results!$A$2:$G$413,Z$1,FALSE))</f>
        <v/>
      </c>
      <c r="AA342" s="16" t="str">
        <f>IF(ISERROR(VLOOKUP($E342&amp;$F342,Results!$A$2:$G$413,AA$1,FALSE)),"",VLOOKUP($E342&amp;$F342,Results!$A$2:$G$413,AA$1,FALSE))</f>
        <v/>
      </c>
      <c r="AB342" s="16" t="str">
        <f>IF(ISERROR(VLOOKUP($E342&amp;$F342,Results!$A$2:$G$413,AB$1,FALSE)),"",VLOOKUP($E342&amp;$F342,Results!$A$2:$G$413,AB$1,FALSE))</f>
        <v/>
      </c>
      <c r="AC342" s="16"/>
      <c r="AD342" s="20" t="str">
        <f>IF(ISERROR(VLOOKUP($AB342&amp;"-"&amp;$F342,Bonuses!$B$1:$G$1000,4,FALSE)),"",INT(VLOOKUP($AB342&amp;"-"&amp;$F342,Bonuses!$B$1:$G$1000,4,FALSE)))</f>
        <v/>
      </c>
      <c r="AE342" s="16" t="str">
        <f>IF(ISERROR(VLOOKUP($AB342&amp;"-"&amp;$F342,Bonuses!$B$1:$G$1000,5,FALSE)),"",IF(VLOOKUP($AB342&amp;"-"&amp;$F342,Bonuses!$B$1:$G$1000,5,FALSE)="","",VLOOKUP($AB342&amp;"-"&amp;$F342,Bonuses!$B$1:$G$1000,6,FALSE)&amp;" yrs, "&amp;VLOOKUP($AB342&amp;"-"&amp;$F342,Bonuses!$B$1:$G$1000,5,FALSE)))</f>
        <v/>
      </c>
    </row>
    <row r="343" spans="1:31" s="21" customFormat="1">
      <c r="A343" s="21" t="s">
        <v>88</v>
      </c>
      <c r="B343" s="21">
        <f t="shared" si="20"/>
        <v>1</v>
      </c>
      <c r="C343" s="21" t="str">
        <f t="shared" si="21"/>
        <v>P</v>
      </c>
      <c r="D343" s="17" t="e">
        <f>IF($C343="B",VLOOKUP($A343,Bat!$A$4:$BD$2323,D$1,FALSE),VLOOKUP($A343,Pit!$A$4:$AZ$2261,D$2,FALSE))</f>
        <v>#N/A</v>
      </c>
      <c r="E343" s="16" t="e">
        <f>IF($C343="B",VLOOKUP($A343,Bat!$A$4:$BD$2323,E$1,FALSE),VLOOKUP($A343,Pit!$A$4:$AZ$2261,E$2,FALSE))</f>
        <v>#N/A</v>
      </c>
      <c r="F343" s="16" t="e">
        <f>IF($C343="B",VLOOKUP($A343,Bat!$A$4:$BD$2323,F$1,FALSE),VLOOKUP($A343,Pit!$A$4:$AZ$2261,F$2,FALSE))</f>
        <v>#N/A</v>
      </c>
      <c r="G343" s="16" t="e">
        <f>IF($C343="B",VLOOKUP($A343,Bat!$A$4:$BD$2323,G$1,FALSE),VLOOKUP($A343,Pit!$A$4:$AZ$2261,G$2,FALSE))</f>
        <v>#N/A</v>
      </c>
      <c r="H343" s="16" t="e">
        <f>IF($C343="B",VLOOKUP($A343,Bat!$A$4:$BD$2323,H$1,FALSE),VLOOKUP($A343,Pit!$A$4:$AZ$2261,H$2,FALSE))</f>
        <v>#N/A</v>
      </c>
      <c r="I343" s="16" t="e">
        <f>IF($C343="B",VLOOKUP($A343,Bat!$A$4:$BD$2323,I$1,FALSE),VLOOKUP($A343,Pit!$A$4:$AZ$2261,I$2,FALSE))</f>
        <v>#N/A</v>
      </c>
      <c r="J343" s="16" t="e">
        <f>IF($C343="B",VLOOKUP($A343,Bat!$A$4:$BD$2323,J$1,FALSE),VLOOKUP($A343,Pit!$A$4:$AZ$2261,J$2,FALSE))</f>
        <v>#N/A</v>
      </c>
      <c r="K343" s="17" t="e">
        <f>IF($C343="B",VLOOKUP($A343,Bat!$A$4:$BD$2323,K$1,FALSE),VLOOKUP($A343,Pit!$A$4:$AZ$2261,K$2,FALSE))</f>
        <v>#N/A</v>
      </c>
      <c r="L343" s="16" t="e">
        <f>IF($C343="B",VLOOKUP($A343,Bat!$A$4:$BD$2323,L$1,FALSE),VLOOKUP($A343,Pit!$A$4:$AZ$2261,L$2,FALSE))</f>
        <v>#N/A</v>
      </c>
      <c r="M343" s="16" t="e">
        <f>IF($C343="B",VLOOKUP($A343,Bat!$A$4:$BD$2323,M$1,FALSE),VLOOKUP($A343,Pit!$A$4:$AZ$2261,M$2,FALSE))</f>
        <v>#N/A</v>
      </c>
      <c r="N343" s="16" t="e">
        <f>IF($C343="B",VLOOKUP($A343,Bat!$A$4:$BD$2323,N$1,FALSE),VLOOKUP($A343,Pit!$A$4:$AZ$2261,N$2,FALSE))</f>
        <v>#N/A</v>
      </c>
      <c r="O343" s="16" t="e">
        <f>IF($C343="B",VLOOKUP($A343,Bat!$A$4:$BD$2323,O$1,FALSE),VLOOKUP($A343,Pit!$A$4:$AZ$2261,O$2,FALSE))</f>
        <v>#N/A</v>
      </c>
      <c r="P343" s="17" t="e">
        <f>IF($C343="B",VLOOKUP($A343,Bat!$A$4:$BD$2323,P$1,FALSE),VLOOKUP($A343,Pit!$A$4:$AZ$2261,P$2,FALSE))</f>
        <v>#N/A</v>
      </c>
      <c r="Q343" s="18" t="e">
        <f>IF($C343="B",VLOOKUP($A343,Bat!$A$4:$BD$2323,Q$1,FALSE),VLOOKUP($A343,Pit!$A$4:$AZ$2261,Q$2,FALSE))</f>
        <v>#N/A</v>
      </c>
      <c r="R343" s="19" t="e">
        <f>IF($C343="B",VLOOKUP($A343,Bat!$A$4:$BD$2323,R$1,FALSE),VLOOKUP($A343,Pit!$A$4:$AZ$2261,R$2,FALSE))</f>
        <v>#N/A</v>
      </c>
      <c r="S343" s="20" t="e">
        <f>IF($C343="B",VLOOKUP($A343,Bat!$A$4:$BD$2323,S$1,FALSE),VLOOKUP($A343,Pit!$A$4:$AZ$2261,S$2,FALSE))</f>
        <v>#N/A</v>
      </c>
      <c r="T343" s="17" t="e">
        <f>IF(S343="Slot","",VLOOKUP(IF($C343="B",VLOOKUP($A343,Bat!$A$4:$AT$2323,T$1,FALSE),VLOOKUP($A343,Pit!$A$4:$BD$2261,T$2,FALSE)),COND!$A$34:$B$40,2,FALSE))</f>
        <v>#N/A</v>
      </c>
      <c r="U343" s="21" t="e">
        <f>IF($C343="B",VLOOKUP($A343,Bat!$A$4:$AR$1287,44,FALSE),VLOOKUP($A343,Pit!$A$4:$BB$1239,54,FALSE))</f>
        <v>#N/A</v>
      </c>
      <c r="W343" s="21" t="e">
        <f t="shared" si="22"/>
        <v>#N/A</v>
      </c>
      <c r="X343" s="22" t="e">
        <f t="shared" si="23"/>
        <v>#N/A</v>
      </c>
      <c r="Y343" s="16" t="str">
        <f>IF(ISERROR(VLOOKUP($E343&amp;$F343,Results!$A$2:$G$413,Y$1,FALSE)),"",VLOOKUP($E343&amp;$F343,Results!$A$2:$G$413,Y$1,FALSE))</f>
        <v/>
      </c>
      <c r="Z343" s="16" t="str">
        <f>IF(ISERROR(VLOOKUP($E343&amp;$F343,Results!$A$2:$G$413,Z$1,FALSE)),"",VLOOKUP($E343&amp;$F343,Results!$A$2:$G$413,Z$1,FALSE))</f>
        <v/>
      </c>
      <c r="AA343" s="16" t="str">
        <f>IF(ISERROR(VLOOKUP($E343&amp;$F343,Results!$A$2:$G$413,AA$1,FALSE)),"",VLOOKUP($E343&amp;$F343,Results!$A$2:$G$413,AA$1,FALSE))</f>
        <v/>
      </c>
      <c r="AB343" s="16" t="str">
        <f>IF(ISERROR(VLOOKUP($E343&amp;$F343,Results!$A$2:$G$413,AB$1,FALSE)),"",VLOOKUP($E343&amp;$F343,Results!$A$2:$G$413,AB$1,FALSE))</f>
        <v/>
      </c>
      <c r="AC343" s="16"/>
      <c r="AD343" s="20" t="str">
        <f>IF(ISERROR(VLOOKUP($AB343&amp;"-"&amp;$F343,Bonuses!$B$1:$G$1000,4,FALSE)),"",INT(VLOOKUP($AB343&amp;"-"&amp;$F343,Bonuses!$B$1:$G$1000,4,FALSE)))</f>
        <v/>
      </c>
      <c r="AE343" s="16" t="str">
        <f>IF(ISERROR(VLOOKUP($AB343&amp;"-"&amp;$F343,Bonuses!$B$1:$G$1000,5,FALSE)),"",IF(VLOOKUP($AB343&amp;"-"&amp;$F343,Bonuses!$B$1:$G$1000,5,FALSE)="","",VLOOKUP($AB343&amp;"-"&amp;$F343,Bonuses!$B$1:$G$1000,6,FALSE)&amp;" yrs, "&amp;VLOOKUP($AB343&amp;"-"&amp;$F343,Bonuses!$B$1:$G$1000,5,FALSE)))</f>
        <v/>
      </c>
    </row>
    <row r="344" spans="1:31" s="21" customFormat="1">
      <c r="A344" s="21" t="s">
        <v>816</v>
      </c>
      <c r="B344" s="21">
        <f t="shared" si="20"/>
        <v>1</v>
      </c>
      <c r="C344" s="21" t="str">
        <f t="shared" si="21"/>
        <v>P</v>
      </c>
      <c r="D344" s="17">
        <f>IF($C344="B",VLOOKUP($A344,Bat!$A$4:$BD$2323,D$1,FALSE),VLOOKUP($A344,Pit!$A$4:$AZ$2261,D$2,FALSE))</f>
        <v>2539</v>
      </c>
      <c r="E344" s="16" t="str">
        <f>IF($C344="B",VLOOKUP($A344,Bat!$A$4:$BD$2323,E$1,FALSE),VLOOKUP($A344,Pit!$A$4:$AZ$2261,E$2,FALSE))</f>
        <v>SP</v>
      </c>
      <c r="F344" s="16" t="str">
        <f>IF($C344="B",VLOOKUP($A344,Bat!$A$4:$BD$2323,F$1,FALSE),VLOOKUP($A344,Pit!$A$4:$AZ$2261,F$2,FALSE))</f>
        <v>Greg Alexander</v>
      </c>
      <c r="G344" s="16">
        <f>IF($C344="B",VLOOKUP($A344,Bat!$A$4:$BD$2323,G$1,FALSE),VLOOKUP($A344,Pit!$A$4:$AZ$2261,G$2,FALSE))</f>
        <v>21</v>
      </c>
      <c r="H344" s="16" t="str">
        <f>IF($C344="B",VLOOKUP($A344,Bat!$A$4:$BD$2323,H$1,FALSE),VLOOKUP($A344,Pit!$A$4:$AZ$2261,H$2,FALSE))</f>
        <v>L</v>
      </c>
      <c r="I344" s="16" t="str">
        <f>IF($C344="B",VLOOKUP($A344,Bat!$A$4:$BD$2323,I$1,FALSE),VLOOKUP($A344,Pit!$A$4:$AZ$2261,I$2,FALSE))</f>
        <v>L</v>
      </c>
      <c r="J344" s="16" t="str">
        <f>IF($C344="B",VLOOKUP($A344,Bat!$A$4:$BD$2323,J$1,FALSE),VLOOKUP($A344,Pit!$A$4:$AZ$2261,J$2,FALSE))</f>
        <v>Very High</v>
      </c>
      <c r="K344" s="17" t="str">
        <f>IF($C344="B",VLOOKUP($A344,Bat!$A$4:$BD$2323,K$1,FALSE),VLOOKUP($A344,Pit!$A$4:$AZ$2261,K$2,FALSE))</f>
        <v>Very High</v>
      </c>
      <c r="L344" s="16">
        <f>IF($C344="B",VLOOKUP($A344,Bat!$A$4:$BD$2323,L$1,FALSE),VLOOKUP($A344,Pit!$A$4:$AZ$2261,L$2,FALSE))</f>
        <v>4</v>
      </c>
      <c r="M344" s="16">
        <f>IF($C344="B",VLOOKUP($A344,Bat!$A$4:$BD$2323,M$1,FALSE),VLOOKUP($A344,Pit!$A$4:$AZ$2261,M$2,FALSE))</f>
        <v>6</v>
      </c>
      <c r="N344" s="16">
        <f>IF($C344="B",VLOOKUP($A344,Bat!$A$4:$BD$2323,N$1,FALSE),VLOOKUP($A344,Pit!$A$4:$AZ$2261,N$2,FALSE))</f>
        <v>5</v>
      </c>
      <c r="O344" s="16" t="str">
        <f>IF($C344="B",VLOOKUP($A344,Bat!$A$4:$BD$2323,O$1,FALSE),VLOOKUP($A344,Pit!$A$4:$AZ$2261,O$2,FALSE))</f>
        <v>84-86 Mph</v>
      </c>
      <c r="P344" s="17">
        <f>IF($C344="B",VLOOKUP($A344,Bat!$A$4:$BD$2323,P$1,FALSE),VLOOKUP($A344,Pit!$A$4:$AZ$2261,P$2,FALSE))</f>
        <v>9</v>
      </c>
      <c r="Q344" s="18">
        <f>IF($C344="B",VLOOKUP($A344,Bat!$A$4:$BD$2323,Q$1,FALSE),VLOOKUP($A344,Pit!$A$4:$AZ$2261,Q$2,FALSE))</f>
        <v>41.094783948612758</v>
      </c>
      <c r="R344" s="19">
        <f>IF($C344="B",VLOOKUP($A344,Bat!$A$4:$BD$2323,R$1,FALSE),VLOOKUP($A344,Pit!$A$4:$AZ$2261,R$2,FALSE))</f>
        <v>0.5694836789299158</v>
      </c>
      <c r="S344" s="20" t="str">
        <f>IF($C344="B",VLOOKUP($A344,Bat!$A$4:$BD$2323,S$1,FALSE),VLOOKUP($A344,Pit!$A$4:$AZ$2261,S$2,FALSE))</f>
        <v>Slot</v>
      </c>
      <c r="T344" s="17" t="str">
        <f>IF(S344="Slot","",VLOOKUP(IF($C344="B",VLOOKUP($A344,Bat!$A$4:$AT$2323,T$1,FALSE),VLOOKUP($A344,Pit!$A$4:$BD$2261,T$2,FALSE)),COND!$A$34:$B$40,2,FALSE))</f>
        <v/>
      </c>
      <c r="U344" s="21">
        <f>IF($C344="B",VLOOKUP($A344,Bat!$A$4:$AR$1287,44,FALSE),VLOOKUP($A344,Pit!$A$4:$BB$1239,54,FALSE))</f>
        <v>0</v>
      </c>
      <c r="W344" s="21">
        <f t="shared" si="22"/>
        <v>0</v>
      </c>
      <c r="X344" s="22" t="e">
        <f t="shared" si="23"/>
        <v>#N/A</v>
      </c>
      <c r="Y344" s="16" t="str">
        <f>IF(ISERROR(VLOOKUP($E344&amp;$F344,Results!$A$2:$G$413,Y$1,FALSE)),"",VLOOKUP($E344&amp;$F344,Results!$A$2:$G$413,Y$1,FALSE))</f>
        <v/>
      </c>
      <c r="Z344" s="16" t="str">
        <f>IF(ISERROR(VLOOKUP($E344&amp;$F344,Results!$A$2:$G$413,Z$1,FALSE)),"",VLOOKUP($E344&amp;$F344,Results!$A$2:$G$413,Z$1,FALSE))</f>
        <v/>
      </c>
      <c r="AA344" s="16" t="str">
        <f>IF(ISERROR(VLOOKUP($E344&amp;$F344,Results!$A$2:$G$413,AA$1,FALSE)),"",VLOOKUP($E344&amp;$F344,Results!$A$2:$G$413,AA$1,FALSE))</f>
        <v/>
      </c>
      <c r="AB344" s="16" t="str">
        <f>IF(ISERROR(VLOOKUP($E344&amp;$F344,Results!$A$2:$G$413,AB$1,FALSE)),"",VLOOKUP($E344&amp;$F344,Results!$A$2:$G$413,AB$1,FALSE))</f>
        <v/>
      </c>
      <c r="AC344" s="16"/>
      <c r="AD344" s="20" t="str">
        <f>IF(ISERROR(VLOOKUP($AB344&amp;"-"&amp;$F344,Bonuses!$B$1:$G$1000,4,FALSE)),"",INT(VLOOKUP($AB344&amp;"-"&amp;$F344,Bonuses!$B$1:$G$1000,4,FALSE)))</f>
        <v/>
      </c>
      <c r="AE344" s="16" t="str">
        <f>IF(ISERROR(VLOOKUP($AB344&amp;"-"&amp;$F344,Bonuses!$B$1:$G$1000,5,FALSE)),"",IF(VLOOKUP($AB344&amp;"-"&amp;$F344,Bonuses!$B$1:$G$1000,5,FALSE)="","",VLOOKUP($AB344&amp;"-"&amp;$F344,Bonuses!$B$1:$G$1000,6,FALSE)&amp;" yrs, "&amp;VLOOKUP($AB344&amp;"-"&amp;$F344,Bonuses!$B$1:$G$1000,5,FALSE)))</f>
        <v/>
      </c>
    </row>
    <row r="345" spans="1:31" s="21" customFormat="1">
      <c r="A345" s="21" t="s">
        <v>797</v>
      </c>
      <c r="B345" s="21">
        <f t="shared" si="20"/>
        <v>1</v>
      </c>
      <c r="C345" s="21" t="str">
        <f t="shared" si="21"/>
        <v>P</v>
      </c>
      <c r="D345" s="17">
        <f>IF($C345="B",VLOOKUP($A345,Bat!$A$4:$BD$2323,D$1,FALSE),VLOOKUP($A345,Pit!$A$4:$AZ$2261,D$2,FALSE))</f>
        <v>3036</v>
      </c>
      <c r="E345" s="16" t="str">
        <f>IF($C345="B",VLOOKUP($A345,Bat!$A$4:$BD$2323,E$1,FALSE),VLOOKUP($A345,Pit!$A$4:$AZ$2261,E$2,FALSE))</f>
        <v>SP</v>
      </c>
      <c r="F345" s="16" t="str">
        <f>IF($C345="B",VLOOKUP($A345,Bat!$A$4:$BD$2323,F$1,FALSE),VLOOKUP($A345,Pit!$A$4:$AZ$2261,F$2,FALSE))</f>
        <v>Raúl Díaz</v>
      </c>
      <c r="G345" s="16">
        <f>IF($C345="B",VLOOKUP($A345,Bat!$A$4:$BD$2323,G$1,FALSE),VLOOKUP($A345,Pit!$A$4:$AZ$2261,G$2,FALSE))</f>
        <v>22</v>
      </c>
      <c r="H345" s="16" t="str">
        <f>IF($C345="B",VLOOKUP($A345,Bat!$A$4:$BD$2323,H$1,FALSE),VLOOKUP($A345,Pit!$A$4:$AZ$2261,H$2,FALSE))</f>
        <v>R</v>
      </c>
      <c r="I345" s="16" t="str">
        <f>IF($C345="B",VLOOKUP($A345,Bat!$A$4:$BD$2323,I$1,FALSE),VLOOKUP($A345,Pit!$A$4:$AZ$2261,I$2,FALSE))</f>
        <v>R</v>
      </c>
      <c r="J345" s="16" t="str">
        <f>IF($C345="B",VLOOKUP($A345,Bat!$A$4:$BD$2323,J$1,FALSE),VLOOKUP($A345,Pit!$A$4:$AZ$2261,J$2,FALSE))</f>
        <v>High</v>
      </c>
      <c r="K345" s="17" t="str">
        <f>IF($C345="B",VLOOKUP($A345,Bat!$A$4:$BD$2323,K$1,FALSE),VLOOKUP($A345,Pit!$A$4:$AZ$2261,K$2,FALSE))</f>
        <v>Normal</v>
      </c>
      <c r="L345" s="16">
        <f>IF($C345="B",VLOOKUP($A345,Bat!$A$4:$BD$2323,L$1,FALSE),VLOOKUP($A345,Pit!$A$4:$AZ$2261,L$2,FALSE))</f>
        <v>6</v>
      </c>
      <c r="M345" s="16">
        <f>IF($C345="B",VLOOKUP($A345,Bat!$A$4:$BD$2323,M$1,FALSE),VLOOKUP($A345,Pit!$A$4:$AZ$2261,M$2,FALSE))</f>
        <v>5</v>
      </c>
      <c r="N345" s="16">
        <f>IF($C345="B",VLOOKUP($A345,Bat!$A$4:$BD$2323,N$1,FALSE),VLOOKUP($A345,Pit!$A$4:$AZ$2261,N$2,FALSE))</f>
        <v>4</v>
      </c>
      <c r="O345" s="16" t="str">
        <f>IF($C345="B",VLOOKUP($A345,Bat!$A$4:$BD$2323,O$1,FALSE),VLOOKUP($A345,Pit!$A$4:$AZ$2261,O$2,FALSE))</f>
        <v>93-95 Mph</v>
      </c>
      <c r="P345" s="17">
        <f>IF($C345="B",VLOOKUP($A345,Bat!$A$4:$BD$2323,P$1,FALSE),VLOOKUP($A345,Pit!$A$4:$AZ$2261,P$2,FALSE))</f>
        <v>7</v>
      </c>
      <c r="Q345" s="18">
        <f>IF($C345="B",VLOOKUP($A345,Bat!$A$4:$BD$2323,Q$1,FALSE),VLOOKUP($A345,Pit!$A$4:$AZ$2261,Q$2,FALSE))</f>
        <v>40.533214174384725</v>
      </c>
      <c r="R345" s="19">
        <f>IF($C345="B",VLOOKUP($A345,Bat!$A$4:$BD$2323,R$1,FALSE),VLOOKUP($A345,Pit!$A$4:$AZ$2261,R$2,FALSE))</f>
        <v>0.52490259737566647</v>
      </c>
      <c r="S345" s="20" t="str">
        <f>IF($C345="B",VLOOKUP($A345,Bat!$A$4:$BD$2323,S$1,FALSE),VLOOKUP($A345,Pit!$A$4:$AZ$2261,S$2,FALSE))</f>
        <v>Slot</v>
      </c>
      <c r="T345" s="17" t="str">
        <f>IF(S345="Slot","",VLOOKUP(IF($C345="B",VLOOKUP($A345,Bat!$A$4:$AT$2323,T$1,FALSE),VLOOKUP($A345,Pit!$A$4:$BD$2261,T$2,FALSE)),COND!$A$34:$B$40,2,FALSE))</f>
        <v/>
      </c>
      <c r="U345" s="21">
        <f>IF($C345="B",VLOOKUP($A345,Bat!$A$4:$AR$1287,44,FALSE),VLOOKUP($A345,Pit!$A$4:$BB$1239,54,FALSE))</f>
        <v>0</v>
      </c>
      <c r="W345" s="21">
        <f t="shared" si="22"/>
        <v>0</v>
      </c>
      <c r="X345" s="22" t="e">
        <f t="shared" si="23"/>
        <v>#N/A</v>
      </c>
      <c r="Y345" s="16" t="str">
        <f>IF(ISERROR(VLOOKUP($E345&amp;$F345,Results!$A$2:$G$413,Y$1,FALSE)),"",VLOOKUP($E345&amp;$F345,Results!$A$2:$G$413,Y$1,FALSE))</f>
        <v/>
      </c>
      <c r="Z345" s="16" t="str">
        <f>IF(ISERROR(VLOOKUP($E345&amp;$F345,Results!$A$2:$G$413,Z$1,FALSE)),"",VLOOKUP($E345&amp;$F345,Results!$A$2:$G$413,Z$1,FALSE))</f>
        <v/>
      </c>
      <c r="AA345" s="16" t="str">
        <f>IF(ISERROR(VLOOKUP($E345&amp;$F345,Results!$A$2:$G$413,AA$1,FALSE)),"",VLOOKUP($E345&amp;$F345,Results!$A$2:$G$413,AA$1,FALSE))</f>
        <v/>
      </c>
      <c r="AB345" s="16" t="str">
        <f>IF(ISERROR(VLOOKUP($E345&amp;$F345,Results!$A$2:$G$413,AB$1,FALSE)),"",VLOOKUP($E345&amp;$F345,Results!$A$2:$G$413,AB$1,FALSE))</f>
        <v/>
      </c>
      <c r="AC345" s="16"/>
      <c r="AD345" s="20" t="str">
        <f>IF(ISERROR(VLOOKUP($AB345&amp;"-"&amp;$F345,Bonuses!$B$1:$G$1000,4,FALSE)),"",INT(VLOOKUP($AB345&amp;"-"&amp;$F345,Bonuses!$B$1:$G$1000,4,FALSE)))</f>
        <v/>
      </c>
      <c r="AE345" s="16" t="str">
        <f>IF(ISERROR(VLOOKUP($AB345&amp;"-"&amp;$F345,Bonuses!$B$1:$G$1000,5,FALSE)),"",IF(VLOOKUP($AB345&amp;"-"&amp;$F345,Bonuses!$B$1:$G$1000,5,FALSE)="","",VLOOKUP($AB345&amp;"-"&amp;$F345,Bonuses!$B$1:$G$1000,6,FALSE)&amp;" yrs, "&amp;VLOOKUP($AB345&amp;"-"&amp;$F345,Bonuses!$B$1:$G$1000,5,FALSE)))</f>
        <v/>
      </c>
    </row>
    <row r="346" spans="1:31" s="21" customFormat="1">
      <c r="A346" s="21" t="s">
        <v>719</v>
      </c>
      <c r="B346" s="21">
        <f t="shared" si="20"/>
        <v>1</v>
      </c>
      <c r="C346" s="21" t="str">
        <f t="shared" si="21"/>
        <v>P</v>
      </c>
      <c r="D346" s="17">
        <f>IF($C346="B",VLOOKUP($A346,Bat!$A$4:$BD$2323,D$1,FALSE),VLOOKUP($A346,Pit!$A$4:$AZ$2261,D$2,FALSE))</f>
        <v>13757</v>
      </c>
      <c r="E346" s="16" t="str">
        <f>IF($C346="B",VLOOKUP($A346,Bat!$A$4:$BD$2323,E$1,FALSE),VLOOKUP($A346,Pit!$A$4:$AZ$2261,E$2,FALSE))</f>
        <v>SP</v>
      </c>
      <c r="F346" s="16" t="str">
        <f>IF($C346="B",VLOOKUP($A346,Bat!$A$4:$BD$2323,F$1,FALSE),VLOOKUP($A346,Pit!$A$4:$AZ$2261,F$2,FALSE))</f>
        <v>Jon Burris</v>
      </c>
      <c r="G346" s="16">
        <f>IF($C346="B",VLOOKUP($A346,Bat!$A$4:$BD$2323,G$1,FALSE),VLOOKUP($A346,Pit!$A$4:$AZ$2261,G$2,FALSE))</f>
        <v>18</v>
      </c>
      <c r="H346" s="16" t="str">
        <f>IF($C346="B",VLOOKUP($A346,Bat!$A$4:$BD$2323,H$1,FALSE),VLOOKUP($A346,Pit!$A$4:$AZ$2261,H$2,FALSE))</f>
        <v>S</v>
      </c>
      <c r="I346" s="16" t="str">
        <f>IF($C346="B",VLOOKUP($A346,Bat!$A$4:$BD$2323,I$1,FALSE),VLOOKUP($A346,Pit!$A$4:$AZ$2261,I$2,FALSE))</f>
        <v>R</v>
      </c>
      <c r="J346" s="16" t="str">
        <f>IF($C346="B",VLOOKUP($A346,Bat!$A$4:$BD$2323,J$1,FALSE),VLOOKUP($A346,Pit!$A$4:$AZ$2261,J$2,FALSE))</f>
        <v>Low</v>
      </c>
      <c r="K346" s="17" t="str">
        <f>IF($C346="B",VLOOKUP($A346,Bat!$A$4:$BD$2323,K$1,FALSE),VLOOKUP($A346,Pit!$A$4:$AZ$2261,K$2,FALSE))</f>
        <v>Very Low</v>
      </c>
      <c r="L346" s="16">
        <f>IF($C346="B",VLOOKUP($A346,Bat!$A$4:$BD$2323,L$1,FALSE),VLOOKUP($A346,Pit!$A$4:$AZ$2261,L$2,FALSE))</f>
        <v>4</v>
      </c>
      <c r="M346" s="16">
        <f>IF($C346="B",VLOOKUP($A346,Bat!$A$4:$BD$2323,M$1,FALSE),VLOOKUP($A346,Pit!$A$4:$AZ$2261,M$2,FALSE))</f>
        <v>7</v>
      </c>
      <c r="N346" s="16">
        <f>IF($C346="B",VLOOKUP($A346,Bat!$A$4:$BD$2323,N$1,FALSE),VLOOKUP($A346,Pit!$A$4:$AZ$2261,N$2,FALSE))</f>
        <v>5</v>
      </c>
      <c r="O346" s="16" t="str">
        <f>IF($C346="B",VLOOKUP($A346,Bat!$A$4:$BD$2323,O$1,FALSE),VLOOKUP($A346,Pit!$A$4:$AZ$2261,O$2,FALSE))</f>
        <v>84-86 Mph</v>
      </c>
      <c r="P346" s="17">
        <f>IF($C346="B",VLOOKUP($A346,Bat!$A$4:$BD$2323,P$1,FALSE),VLOOKUP($A346,Pit!$A$4:$AZ$2261,P$2,FALSE))</f>
        <v>6</v>
      </c>
      <c r="Q346" s="18">
        <f>IF($C346="B",VLOOKUP($A346,Bat!$A$4:$BD$2323,Q$1,FALSE),VLOOKUP($A346,Pit!$A$4:$AZ$2261,Q$2,FALSE))</f>
        <v>38.02551629276622</v>
      </c>
      <c r="R346" s="19">
        <f>IF($C346="B",VLOOKUP($A346,Bat!$A$4:$BD$2323,R$1,FALSE),VLOOKUP($A346,Pit!$A$4:$AZ$2261,R$2,FALSE))</f>
        <v>0.32582513825220494</v>
      </c>
      <c r="S346" s="20" t="str">
        <f>IF($C346="B",VLOOKUP($A346,Bat!$A$4:$BD$2323,S$1,FALSE),VLOOKUP($A346,Pit!$A$4:$AZ$2261,S$2,FALSE))</f>
        <v>Slot</v>
      </c>
      <c r="T346" s="17" t="str">
        <f>IF(S346="Slot","",VLOOKUP(IF($C346="B",VLOOKUP($A346,Bat!$A$4:$AT$2323,T$1,FALSE),VLOOKUP($A346,Pit!$A$4:$BD$2261,T$2,FALSE)),COND!$A$34:$B$40,2,FALSE))</f>
        <v/>
      </c>
      <c r="U346" s="21">
        <f>IF($C346="B",VLOOKUP($A346,Bat!$A$4:$AR$1287,44,FALSE),VLOOKUP($A346,Pit!$A$4:$BB$1239,54,FALSE))</f>
        <v>0</v>
      </c>
      <c r="W346" s="21">
        <f t="shared" si="22"/>
        <v>0</v>
      </c>
      <c r="X346" s="22" t="e">
        <f t="shared" si="23"/>
        <v>#N/A</v>
      </c>
      <c r="Y346" s="16" t="str">
        <f>IF(ISERROR(VLOOKUP($E346&amp;$F346,Results!$A$2:$G$413,Y$1,FALSE)),"",VLOOKUP($E346&amp;$F346,Results!$A$2:$G$413,Y$1,FALSE))</f>
        <v/>
      </c>
      <c r="Z346" s="16" t="str">
        <f>IF(ISERROR(VLOOKUP($E346&amp;$F346,Results!$A$2:$G$413,Z$1,FALSE)),"",VLOOKUP($E346&amp;$F346,Results!$A$2:$G$413,Z$1,FALSE))</f>
        <v/>
      </c>
      <c r="AA346" s="16" t="str">
        <f>IF(ISERROR(VLOOKUP($E346&amp;$F346,Results!$A$2:$G$413,AA$1,FALSE)),"",VLOOKUP($E346&amp;$F346,Results!$A$2:$G$413,AA$1,FALSE))</f>
        <v/>
      </c>
      <c r="AB346" s="16" t="str">
        <f>IF(ISERROR(VLOOKUP($E346&amp;$F346,Results!$A$2:$G$413,AB$1,FALSE)),"",VLOOKUP($E346&amp;$F346,Results!$A$2:$G$413,AB$1,FALSE))</f>
        <v/>
      </c>
      <c r="AC346" s="16"/>
      <c r="AD346" s="20" t="str">
        <f>IF(ISERROR(VLOOKUP($AB346&amp;"-"&amp;$F346,Bonuses!$B$1:$G$1000,4,FALSE)),"",INT(VLOOKUP($AB346&amp;"-"&amp;$F346,Bonuses!$B$1:$G$1000,4,FALSE)))</f>
        <v/>
      </c>
      <c r="AE346" s="16" t="str">
        <f>IF(ISERROR(VLOOKUP($AB346&amp;"-"&amp;$F346,Bonuses!$B$1:$G$1000,5,FALSE)),"",IF(VLOOKUP($AB346&amp;"-"&amp;$F346,Bonuses!$B$1:$G$1000,5,FALSE)="","",VLOOKUP($AB346&amp;"-"&amp;$F346,Bonuses!$B$1:$G$1000,6,FALSE)&amp;" yrs, "&amp;VLOOKUP($AB346&amp;"-"&amp;$F346,Bonuses!$B$1:$G$1000,5,FALSE)))</f>
        <v/>
      </c>
    </row>
    <row r="347" spans="1:31" s="21" customFormat="1">
      <c r="A347" s="21" t="s">
        <v>685</v>
      </c>
      <c r="B347" s="21">
        <f t="shared" si="20"/>
        <v>1</v>
      </c>
      <c r="C347" s="21" t="str">
        <f t="shared" si="21"/>
        <v>P</v>
      </c>
      <c r="D347" s="17">
        <f>IF($C347="B",VLOOKUP($A347,Bat!$A$4:$BD$2323,D$1,FALSE),VLOOKUP($A347,Pit!$A$4:$AZ$2261,D$2,FALSE))</f>
        <v>2843</v>
      </c>
      <c r="E347" s="16" t="str">
        <f>IF($C347="B",VLOOKUP($A347,Bat!$A$4:$BD$2323,E$1,FALSE),VLOOKUP($A347,Pit!$A$4:$AZ$2261,E$2,FALSE))</f>
        <v>MR</v>
      </c>
      <c r="F347" s="16" t="str">
        <f>IF($C347="B",VLOOKUP($A347,Bat!$A$4:$BD$2323,F$1,FALSE),VLOOKUP($A347,Pit!$A$4:$AZ$2261,F$2,FALSE))</f>
        <v>Rob Gunter</v>
      </c>
      <c r="G347" s="16">
        <f>IF($C347="B",VLOOKUP($A347,Bat!$A$4:$BD$2323,G$1,FALSE),VLOOKUP($A347,Pit!$A$4:$AZ$2261,G$2,FALSE))</f>
        <v>21</v>
      </c>
      <c r="H347" s="16" t="str">
        <f>IF($C347="B",VLOOKUP($A347,Bat!$A$4:$BD$2323,H$1,FALSE),VLOOKUP($A347,Pit!$A$4:$AZ$2261,H$2,FALSE))</f>
        <v>R</v>
      </c>
      <c r="I347" s="16" t="str">
        <f>IF($C347="B",VLOOKUP($A347,Bat!$A$4:$BD$2323,I$1,FALSE),VLOOKUP($A347,Pit!$A$4:$AZ$2261,I$2,FALSE))</f>
        <v>R</v>
      </c>
      <c r="J347" s="16" t="str">
        <f>IF($C347="B",VLOOKUP($A347,Bat!$A$4:$BD$2323,J$1,FALSE),VLOOKUP($A347,Pit!$A$4:$AZ$2261,J$2,FALSE))</f>
        <v>Very Low</v>
      </c>
      <c r="K347" s="17" t="str">
        <f>IF($C347="B",VLOOKUP($A347,Bat!$A$4:$BD$2323,K$1,FALSE),VLOOKUP($A347,Pit!$A$4:$AZ$2261,K$2,FALSE))</f>
        <v>Low</v>
      </c>
      <c r="L347" s="16">
        <f>IF($C347="B",VLOOKUP($A347,Bat!$A$4:$BD$2323,L$1,FALSE),VLOOKUP($A347,Pit!$A$4:$AZ$2261,L$2,FALSE))</f>
        <v>7</v>
      </c>
      <c r="M347" s="16">
        <f>IF($C347="B",VLOOKUP($A347,Bat!$A$4:$BD$2323,M$1,FALSE),VLOOKUP($A347,Pit!$A$4:$AZ$2261,M$2,FALSE))</f>
        <v>4</v>
      </c>
      <c r="N347" s="16">
        <f>IF($C347="B",VLOOKUP($A347,Bat!$A$4:$BD$2323,N$1,FALSE),VLOOKUP($A347,Pit!$A$4:$AZ$2261,N$2,FALSE))</f>
        <v>5</v>
      </c>
      <c r="O347" s="16" t="str">
        <f>IF($C347="B",VLOOKUP($A347,Bat!$A$4:$BD$2323,O$1,FALSE),VLOOKUP($A347,Pit!$A$4:$AZ$2261,O$2,FALSE))</f>
        <v>97-99 Mph</v>
      </c>
      <c r="P347" s="17">
        <f>IF($C347="B",VLOOKUP($A347,Bat!$A$4:$BD$2323,P$1,FALSE),VLOOKUP($A347,Pit!$A$4:$AZ$2261,P$2,FALSE))</f>
        <v>3</v>
      </c>
      <c r="Q347" s="18">
        <f>IF($C347="B",VLOOKUP($A347,Bat!$A$4:$BD$2323,Q$1,FALSE),VLOOKUP($A347,Pit!$A$4:$AZ$2261,Q$2,FALSE))</f>
        <v>37.655775032578653</v>
      </c>
      <c r="R347" s="19">
        <f>IF($C347="B",VLOOKUP($A347,Bat!$A$4:$BD$2323,R$1,FALSE),VLOOKUP($A347,Pit!$A$4:$AZ$2261,R$2,FALSE))</f>
        <v>0.29647265877260337</v>
      </c>
      <c r="S347" s="20" t="str">
        <f>IF($C347="B",VLOOKUP($A347,Bat!$A$4:$BD$2323,S$1,FALSE),VLOOKUP($A347,Pit!$A$4:$AZ$2261,S$2,FALSE))</f>
        <v>Slot</v>
      </c>
      <c r="T347" s="17" t="str">
        <f>IF(S347="Slot","",VLOOKUP(IF($C347="B",VLOOKUP($A347,Bat!$A$4:$AT$2323,T$1,FALSE),VLOOKUP($A347,Pit!$A$4:$BD$2261,T$2,FALSE)),COND!$A$34:$B$40,2,FALSE))</f>
        <v/>
      </c>
      <c r="U347" s="21">
        <f>IF($C347="B",VLOOKUP($A347,Bat!$A$4:$AR$1287,44,FALSE),VLOOKUP($A347,Pit!$A$4:$BB$1239,54,FALSE))</f>
        <v>0</v>
      </c>
      <c r="W347" s="21">
        <f t="shared" si="22"/>
        <v>0</v>
      </c>
      <c r="X347" s="22" t="e">
        <f t="shared" si="23"/>
        <v>#N/A</v>
      </c>
      <c r="Y347" s="16" t="str">
        <f>IF(ISERROR(VLOOKUP($E347&amp;$F347,Results!$A$2:$G$413,Y$1,FALSE)),"",VLOOKUP($E347&amp;$F347,Results!$A$2:$G$413,Y$1,FALSE))</f>
        <v/>
      </c>
      <c r="Z347" s="16" t="str">
        <f>IF(ISERROR(VLOOKUP($E347&amp;$F347,Results!$A$2:$G$413,Z$1,FALSE)),"",VLOOKUP($E347&amp;$F347,Results!$A$2:$G$413,Z$1,FALSE))</f>
        <v/>
      </c>
      <c r="AA347" s="16" t="str">
        <f>IF(ISERROR(VLOOKUP($E347&amp;$F347,Results!$A$2:$G$413,AA$1,FALSE)),"",VLOOKUP($E347&amp;$F347,Results!$A$2:$G$413,AA$1,FALSE))</f>
        <v/>
      </c>
      <c r="AB347" s="16" t="str">
        <f>IF(ISERROR(VLOOKUP($E347&amp;$F347,Results!$A$2:$G$413,AB$1,FALSE)),"",VLOOKUP($E347&amp;$F347,Results!$A$2:$G$413,AB$1,FALSE))</f>
        <v/>
      </c>
      <c r="AC347" s="16"/>
      <c r="AD347" s="20" t="str">
        <f>IF(ISERROR(VLOOKUP($AB347&amp;"-"&amp;$F347,Bonuses!$B$1:$G$1000,4,FALSE)),"",INT(VLOOKUP($AB347&amp;"-"&amp;$F347,Bonuses!$B$1:$G$1000,4,FALSE)))</f>
        <v/>
      </c>
      <c r="AE347" s="16" t="str">
        <f>IF(ISERROR(VLOOKUP($AB347&amp;"-"&amp;$F347,Bonuses!$B$1:$G$1000,5,FALSE)),"",IF(VLOOKUP($AB347&amp;"-"&amp;$F347,Bonuses!$B$1:$G$1000,5,FALSE)="","",VLOOKUP($AB347&amp;"-"&amp;$F347,Bonuses!$B$1:$G$1000,6,FALSE)&amp;" yrs, "&amp;VLOOKUP($AB347&amp;"-"&amp;$F347,Bonuses!$B$1:$G$1000,5,FALSE)))</f>
        <v/>
      </c>
    </row>
    <row r="348" spans="1:31" s="21" customFormat="1">
      <c r="A348" s="21" t="s">
        <v>87</v>
      </c>
      <c r="B348" s="21">
        <f t="shared" si="20"/>
        <v>1</v>
      </c>
      <c r="C348" s="21" t="str">
        <f t="shared" si="21"/>
        <v>P</v>
      </c>
      <c r="D348" s="17">
        <f>IF($C348="B",VLOOKUP($A348,Bat!$A$4:$BD$2323,D$1,FALSE),VLOOKUP($A348,Pit!$A$4:$AZ$2261,D$2,FALSE))</f>
        <v>13841</v>
      </c>
      <c r="E348" s="16" t="str">
        <f>IF($C348="B",VLOOKUP($A348,Bat!$A$4:$BD$2323,E$1,FALSE),VLOOKUP($A348,Pit!$A$4:$AZ$2261,E$2,FALSE))</f>
        <v>SP</v>
      </c>
      <c r="F348" s="16" t="str">
        <f>IF($C348="B",VLOOKUP($A348,Bat!$A$4:$BD$2323,F$1,FALSE),VLOOKUP($A348,Pit!$A$4:$AZ$2261,F$2,FALSE))</f>
        <v>Felipe Soriano</v>
      </c>
      <c r="G348" s="16">
        <f>IF($C348="B",VLOOKUP($A348,Bat!$A$4:$BD$2323,G$1,FALSE),VLOOKUP($A348,Pit!$A$4:$AZ$2261,G$2,FALSE))</f>
        <v>18</v>
      </c>
      <c r="H348" s="16" t="str">
        <f>IF($C348="B",VLOOKUP($A348,Bat!$A$4:$BD$2323,H$1,FALSE),VLOOKUP($A348,Pit!$A$4:$AZ$2261,H$2,FALSE))</f>
        <v>R</v>
      </c>
      <c r="I348" s="16" t="str">
        <f>IF($C348="B",VLOOKUP($A348,Bat!$A$4:$BD$2323,I$1,FALSE),VLOOKUP($A348,Pit!$A$4:$AZ$2261,I$2,FALSE))</f>
        <v>L</v>
      </c>
      <c r="J348" s="16" t="str">
        <f>IF($C348="B",VLOOKUP($A348,Bat!$A$4:$BD$2323,J$1,FALSE),VLOOKUP($A348,Pit!$A$4:$AZ$2261,J$2,FALSE))</f>
        <v>Low</v>
      </c>
      <c r="K348" s="17" t="str">
        <f>IF($C348="B",VLOOKUP($A348,Bat!$A$4:$BD$2323,K$1,FALSE),VLOOKUP($A348,Pit!$A$4:$AZ$2261,K$2,FALSE))</f>
        <v>Normal</v>
      </c>
      <c r="L348" s="16">
        <f>IF($C348="B",VLOOKUP($A348,Bat!$A$4:$BD$2323,L$1,FALSE),VLOOKUP($A348,Pit!$A$4:$AZ$2261,L$2,FALSE))</f>
        <v>4</v>
      </c>
      <c r="M348" s="16">
        <f>IF($C348="B",VLOOKUP($A348,Bat!$A$4:$BD$2323,M$1,FALSE),VLOOKUP($A348,Pit!$A$4:$AZ$2261,M$2,FALSE))</f>
        <v>5</v>
      </c>
      <c r="N348" s="16">
        <f>IF($C348="B",VLOOKUP($A348,Bat!$A$4:$BD$2323,N$1,FALSE),VLOOKUP($A348,Pit!$A$4:$AZ$2261,N$2,FALSE))</f>
        <v>6</v>
      </c>
      <c r="O348" s="16" t="str">
        <f>IF($C348="B",VLOOKUP($A348,Bat!$A$4:$BD$2323,O$1,FALSE),VLOOKUP($A348,Pit!$A$4:$AZ$2261,O$2,FALSE))</f>
        <v>84-86 Mph</v>
      </c>
      <c r="P348" s="17">
        <f>IF($C348="B",VLOOKUP($A348,Bat!$A$4:$BD$2323,P$1,FALSE),VLOOKUP($A348,Pit!$A$4:$AZ$2261,P$2,FALSE))</f>
        <v>5</v>
      </c>
      <c r="Q348" s="18">
        <f>IF($C348="B",VLOOKUP($A348,Bat!$A$4:$BD$2323,Q$1,FALSE),VLOOKUP($A348,Pit!$A$4:$AZ$2261,Q$2,FALSE))</f>
        <v>38.823040714087441</v>
      </c>
      <c r="R348" s="19">
        <f>IF($C348="B",VLOOKUP($A348,Bat!$A$4:$BD$2323,R$1,FALSE),VLOOKUP($A348,Pit!$A$4:$AZ$2261,R$2,FALSE))</f>
        <v>0.38913784292421499</v>
      </c>
      <c r="S348" s="20" t="str">
        <f>IF($C348="B",VLOOKUP($A348,Bat!$A$4:$BD$2323,S$1,FALSE),VLOOKUP($A348,Pit!$A$4:$AZ$2261,S$2,FALSE))</f>
        <v>Slot</v>
      </c>
      <c r="T348" s="17" t="str">
        <f>IF(S348="Slot","",VLOOKUP(IF($C348="B",VLOOKUP($A348,Bat!$A$4:$AT$2323,T$1,FALSE),VLOOKUP($A348,Pit!$A$4:$BD$2261,T$2,FALSE)),COND!$A$34:$B$40,2,FALSE))</f>
        <v/>
      </c>
      <c r="U348" s="21">
        <f>IF($C348="B",VLOOKUP($A348,Bat!$A$4:$AR$1287,44,FALSE),VLOOKUP($A348,Pit!$A$4:$BB$1239,54,FALSE))</f>
        <v>0</v>
      </c>
      <c r="W348" s="21">
        <f t="shared" si="22"/>
        <v>0</v>
      </c>
      <c r="X348" s="22" t="e">
        <f t="shared" si="23"/>
        <v>#N/A</v>
      </c>
      <c r="Y348" s="16" t="str">
        <f>IF(ISERROR(VLOOKUP($E348&amp;$F348,Results!$A$2:$G$413,Y$1,FALSE)),"",VLOOKUP($E348&amp;$F348,Results!$A$2:$G$413,Y$1,FALSE))</f>
        <v/>
      </c>
      <c r="Z348" s="16" t="str">
        <f>IF(ISERROR(VLOOKUP($E348&amp;$F348,Results!$A$2:$G$413,Z$1,FALSE)),"",VLOOKUP($E348&amp;$F348,Results!$A$2:$G$413,Z$1,FALSE))</f>
        <v/>
      </c>
      <c r="AA348" s="16" t="str">
        <f>IF(ISERROR(VLOOKUP($E348&amp;$F348,Results!$A$2:$G$413,AA$1,FALSE)),"",VLOOKUP($E348&amp;$F348,Results!$A$2:$G$413,AA$1,FALSE))</f>
        <v/>
      </c>
      <c r="AB348" s="16" t="str">
        <f>IF(ISERROR(VLOOKUP($E348&amp;$F348,Results!$A$2:$G$413,AB$1,FALSE)),"",VLOOKUP($E348&amp;$F348,Results!$A$2:$G$413,AB$1,FALSE))</f>
        <v/>
      </c>
      <c r="AC348" s="16"/>
      <c r="AD348" s="20" t="str">
        <f>IF(ISERROR(VLOOKUP($AB348&amp;"-"&amp;$F348,Bonuses!$B$1:$G$1000,4,FALSE)),"",INT(VLOOKUP($AB348&amp;"-"&amp;$F348,Bonuses!$B$1:$G$1000,4,FALSE)))</f>
        <v/>
      </c>
      <c r="AE348" s="16" t="str">
        <f>IF(ISERROR(VLOOKUP($AB348&amp;"-"&amp;$F348,Bonuses!$B$1:$G$1000,5,FALSE)),"",IF(VLOOKUP($AB348&amp;"-"&amp;$F348,Bonuses!$B$1:$G$1000,5,FALSE)="","",VLOOKUP($AB348&amp;"-"&amp;$F348,Bonuses!$B$1:$G$1000,6,FALSE)&amp;" yrs, "&amp;VLOOKUP($AB348&amp;"-"&amp;$F348,Bonuses!$B$1:$G$1000,5,FALSE)))</f>
        <v/>
      </c>
    </row>
    <row r="349" spans="1:31" s="21" customFormat="1">
      <c r="A349" s="21" t="s">
        <v>716</v>
      </c>
      <c r="B349" s="21">
        <f t="shared" si="20"/>
        <v>1</v>
      </c>
      <c r="C349" s="21" t="str">
        <f t="shared" si="21"/>
        <v>P</v>
      </c>
      <c r="D349" s="17">
        <f>IF($C349="B",VLOOKUP($A349,Bat!$A$4:$BD$2323,D$1,FALSE),VLOOKUP($A349,Pit!$A$4:$AZ$2261,D$2,FALSE))</f>
        <v>1457</v>
      </c>
      <c r="E349" s="16" t="str">
        <f>IF($C349="B",VLOOKUP($A349,Bat!$A$4:$BD$2323,E$1,FALSE),VLOOKUP($A349,Pit!$A$4:$AZ$2261,E$2,FALSE))</f>
        <v>SP</v>
      </c>
      <c r="F349" s="16" t="str">
        <f>IF($C349="B",VLOOKUP($A349,Bat!$A$4:$BD$2323,F$1,FALSE),VLOOKUP($A349,Pit!$A$4:$AZ$2261,F$2,FALSE))</f>
        <v>Eric Gardner</v>
      </c>
      <c r="G349" s="16">
        <f>IF($C349="B",VLOOKUP($A349,Bat!$A$4:$BD$2323,G$1,FALSE),VLOOKUP($A349,Pit!$A$4:$AZ$2261,G$2,FALSE))</f>
        <v>18</v>
      </c>
      <c r="H349" s="16" t="str">
        <f>IF($C349="B",VLOOKUP($A349,Bat!$A$4:$BD$2323,H$1,FALSE),VLOOKUP($A349,Pit!$A$4:$AZ$2261,H$2,FALSE))</f>
        <v>R</v>
      </c>
      <c r="I349" s="16" t="str">
        <f>IF($C349="B",VLOOKUP($A349,Bat!$A$4:$BD$2323,I$1,FALSE),VLOOKUP($A349,Pit!$A$4:$AZ$2261,I$2,FALSE))</f>
        <v>R</v>
      </c>
      <c r="J349" s="16" t="str">
        <f>IF($C349="B",VLOOKUP($A349,Bat!$A$4:$BD$2323,J$1,FALSE),VLOOKUP($A349,Pit!$A$4:$AZ$2261,J$2,FALSE))</f>
        <v>Very Low</v>
      </c>
      <c r="K349" s="17" t="str">
        <f>IF($C349="B",VLOOKUP($A349,Bat!$A$4:$BD$2323,K$1,FALSE),VLOOKUP($A349,Pit!$A$4:$AZ$2261,K$2,FALSE))</f>
        <v>Normal</v>
      </c>
      <c r="L349" s="16">
        <f>IF($C349="B",VLOOKUP($A349,Bat!$A$4:$BD$2323,L$1,FALSE),VLOOKUP($A349,Pit!$A$4:$AZ$2261,L$2,FALSE))</f>
        <v>4</v>
      </c>
      <c r="M349" s="16">
        <f>IF($C349="B",VLOOKUP($A349,Bat!$A$4:$BD$2323,M$1,FALSE),VLOOKUP($A349,Pit!$A$4:$AZ$2261,M$2,FALSE))</f>
        <v>7</v>
      </c>
      <c r="N349" s="16">
        <f>IF($C349="B",VLOOKUP($A349,Bat!$A$4:$BD$2323,N$1,FALSE),VLOOKUP($A349,Pit!$A$4:$AZ$2261,N$2,FALSE))</f>
        <v>5</v>
      </c>
      <c r="O349" s="16" t="str">
        <f>IF($C349="B",VLOOKUP($A349,Bat!$A$4:$BD$2323,O$1,FALSE),VLOOKUP($A349,Pit!$A$4:$AZ$2261,O$2,FALSE))</f>
        <v>90-92 Mph</v>
      </c>
      <c r="P349" s="17">
        <f>IF($C349="B",VLOOKUP($A349,Bat!$A$4:$BD$2323,P$1,FALSE),VLOOKUP($A349,Pit!$A$4:$AZ$2261,P$2,FALSE))</f>
        <v>3</v>
      </c>
      <c r="Q349" s="18">
        <f>IF($C349="B",VLOOKUP($A349,Bat!$A$4:$BD$2323,Q$1,FALSE),VLOOKUP($A349,Pit!$A$4:$AZ$2261,Q$2,FALSE))</f>
        <v>37.501421383711339</v>
      </c>
      <c r="R349" s="19">
        <f>IF($C349="B",VLOOKUP($A349,Bat!$A$4:$BD$2323,R$1,FALSE),VLOOKUP($A349,Pit!$A$4:$AZ$2261,R$2,FALSE))</f>
        <v>0.28421905659501279</v>
      </c>
      <c r="S349" s="20" t="str">
        <f>IF($C349="B",VLOOKUP($A349,Bat!$A$4:$BD$2323,S$1,FALSE),VLOOKUP($A349,Pit!$A$4:$AZ$2261,S$2,FALSE))</f>
        <v>Slot</v>
      </c>
      <c r="T349" s="17" t="str">
        <f>IF(S349="Slot","",VLOOKUP(IF($C349="B",VLOOKUP($A349,Bat!$A$4:$AT$2323,T$1,FALSE),VLOOKUP($A349,Pit!$A$4:$BD$2261,T$2,FALSE)),COND!$A$34:$B$40,2,FALSE))</f>
        <v/>
      </c>
      <c r="U349" s="21">
        <f>IF($C349="B",VLOOKUP($A349,Bat!$A$4:$AR$1287,44,FALSE),VLOOKUP($A349,Pit!$A$4:$BB$1239,54,FALSE))</f>
        <v>0</v>
      </c>
      <c r="W349" s="21">
        <f t="shared" si="22"/>
        <v>0</v>
      </c>
      <c r="X349" s="22" t="e">
        <f t="shared" si="23"/>
        <v>#N/A</v>
      </c>
      <c r="Y349" s="16" t="str">
        <f>IF(ISERROR(VLOOKUP($E349&amp;$F349,Results!$A$2:$G$413,Y$1,FALSE)),"",VLOOKUP($E349&amp;$F349,Results!$A$2:$G$413,Y$1,FALSE))</f>
        <v/>
      </c>
      <c r="Z349" s="16" t="str">
        <f>IF(ISERROR(VLOOKUP($E349&amp;$F349,Results!$A$2:$G$413,Z$1,FALSE)),"",VLOOKUP($E349&amp;$F349,Results!$A$2:$G$413,Z$1,FALSE))</f>
        <v/>
      </c>
      <c r="AA349" s="16" t="str">
        <f>IF(ISERROR(VLOOKUP($E349&amp;$F349,Results!$A$2:$G$413,AA$1,FALSE)),"",VLOOKUP($E349&amp;$F349,Results!$A$2:$G$413,AA$1,FALSE))</f>
        <v/>
      </c>
      <c r="AB349" s="16" t="str">
        <f>IF(ISERROR(VLOOKUP($E349&amp;$F349,Results!$A$2:$G$413,AB$1,FALSE)),"",VLOOKUP($E349&amp;$F349,Results!$A$2:$G$413,AB$1,FALSE))</f>
        <v/>
      </c>
      <c r="AC349" s="16"/>
      <c r="AD349" s="20" t="str">
        <f>IF(ISERROR(VLOOKUP($AB349&amp;"-"&amp;$F349,Bonuses!$B$1:$G$1000,4,FALSE)),"",INT(VLOOKUP($AB349&amp;"-"&amp;$F349,Bonuses!$B$1:$G$1000,4,FALSE)))</f>
        <v/>
      </c>
      <c r="AE349" s="16" t="str">
        <f>IF(ISERROR(VLOOKUP($AB349&amp;"-"&amp;$F349,Bonuses!$B$1:$G$1000,5,FALSE)),"",IF(VLOOKUP($AB349&amp;"-"&amp;$F349,Bonuses!$B$1:$G$1000,5,FALSE)="","",VLOOKUP($AB349&amp;"-"&amp;$F349,Bonuses!$B$1:$G$1000,6,FALSE)&amp;" yrs, "&amp;VLOOKUP($AB349&amp;"-"&amp;$F349,Bonuses!$B$1:$G$1000,5,FALSE)))</f>
        <v/>
      </c>
    </row>
    <row r="350" spans="1:31" s="21" customFormat="1">
      <c r="A350" s="21" t="s">
        <v>659</v>
      </c>
      <c r="B350" s="21">
        <f t="shared" si="20"/>
        <v>1</v>
      </c>
      <c r="C350" s="21" t="str">
        <f t="shared" si="21"/>
        <v>P</v>
      </c>
      <c r="D350" s="17">
        <f>IF($C350="B",VLOOKUP($A350,Bat!$A$4:$BD$2323,D$1,FALSE),VLOOKUP($A350,Pit!$A$4:$AZ$2261,D$2,FALSE))</f>
        <v>1838</v>
      </c>
      <c r="E350" s="16" t="str">
        <f>IF($C350="B",VLOOKUP($A350,Bat!$A$4:$BD$2323,E$1,FALSE),VLOOKUP($A350,Pit!$A$4:$AZ$2261,E$2,FALSE))</f>
        <v>SP</v>
      </c>
      <c r="F350" s="16" t="str">
        <f>IF($C350="B",VLOOKUP($A350,Bat!$A$4:$BD$2323,F$1,FALSE),VLOOKUP($A350,Pit!$A$4:$AZ$2261,F$2,FALSE))</f>
        <v>Andy Thompson</v>
      </c>
      <c r="G350" s="16">
        <f>IF($C350="B",VLOOKUP($A350,Bat!$A$4:$BD$2323,G$1,FALSE),VLOOKUP($A350,Pit!$A$4:$AZ$2261,G$2,FALSE))</f>
        <v>23</v>
      </c>
      <c r="H350" s="16" t="str">
        <f>IF($C350="B",VLOOKUP($A350,Bat!$A$4:$BD$2323,H$1,FALSE),VLOOKUP($A350,Pit!$A$4:$AZ$2261,H$2,FALSE))</f>
        <v>R</v>
      </c>
      <c r="I350" s="16" t="str">
        <f>IF($C350="B",VLOOKUP($A350,Bat!$A$4:$BD$2323,I$1,FALSE),VLOOKUP($A350,Pit!$A$4:$AZ$2261,I$2,FALSE))</f>
        <v>R</v>
      </c>
      <c r="J350" s="16" t="str">
        <f>IF($C350="B",VLOOKUP($A350,Bat!$A$4:$BD$2323,J$1,FALSE),VLOOKUP($A350,Pit!$A$4:$AZ$2261,J$2,FALSE))</f>
        <v>Very Low</v>
      </c>
      <c r="K350" s="17" t="str">
        <f>IF($C350="B",VLOOKUP($A350,Bat!$A$4:$BD$2323,K$1,FALSE),VLOOKUP($A350,Pit!$A$4:$AZ$2261,K$2,FALSE))</f>
        <v>High</v>
      </c>
      <c r="L350" s="16">
        <f>IF($C350="B",VLOOKUP($A350,Bat!$A$4:$BD$2323,L$1,FALSE),VLOOKUP($A350,Pit!$A$4:$AZ$2261,L$2,FALSE))</f>
        <v>4</v>
      </c>
      <c r="M350" s="16">
        <f>IF($C350="B",VLOOKUP($A350,Bat!$A$4:$BD$2323,M$1,FALSE),VLOOKUP($A350,Pit!$A$4:$AZ$2261,M$2,FALSE))</f>
        <v>5</v>
      </c>
      <c r="N350" s="16">
        <f>IF($C350="B",VLOOKUP($A350,Bat!$A$4:$BD$2323,N$1,FALSE),VLOOKUP($A350,Pit!$A$4:$AZ$2261,N$2,FALSE))</f>
        <v>6</v>
      </c>
      <c r="O350" s="16" t="str">
        <f>IF($C350="B",VLOOKUP($A350,Bat!$A$4:$BD$2323,O$1,FALSE),VLOOKUP($A350,Pit!$A$4:$AZ$2261,O$2,FALSE))</f>
        <v>89-90 Mph</v>
      </c>
      <c r="P350" s="17">
        <f>IF($C350="B",VLOOKUP($A350,Bat!$A$4:$BD$2323,P$1,FALSE),VLOOKUP($A350,Pit!$A$4:$AZ$2261,P$2,FALSE))</f>
        <v>7</v>
      </c>
      <c r="Q350" s="18">
        <f>IF($C350="B",VLOOKUP($A350,Bat!$A$4:$BD$2323,Q$1,FALSE),VLOOKUP($A350,Pit!$A$4:$AZ$2261,Q$2,FALSE))</f>
        <v>37.93005058424518</v>
      </c>
      <c r="R350" s="19">
        <f>IF($C350="B",VLOOKUP($A350,Bat!$A$4:$BD$2323,R$1,FALSE),VLOOKUP($A350,Pit!$A$4:$AZ$2261,R$2,FALSE))</f>
        <v>0.31824644592842172</v>
      </c>
      <c r="S350" s="20">
        <f>IF($C350="B",VLOOKUP($A350,Bat!$A$4:$BD$2323,S$1,FALSE),VLOOKUP($A350,Pit!$A$4:$AZ$2261,S$2,FALSE))</f>
        <v>2200000</v>
      </c>
      <c r="T350" s="17" t="str">
        <f>IF(S350="Slot","",VLOOKUP(IF($C350="B",VLOOKUP($A350,Bat!$A$4:$AT$2323,T$1,FALSE),VLOOKUP($A350,Pit!$A$4:$BD$2261,T$2,FALSE)),COND!$A$34:$B$40,2,FALSE))</f>
        <v>EH</v>
      </c>
      <c r="U350" s="21">
        <f>IF($C350="B",VLOOKUP($A350,Bat!$A$4:$AR$1287,44,FALSE),VLOOKUP($A350,Pit!$A$4:$BB$1239,54,FALSE))</f>
        <v>0</v>
      </c>
      <c r="W350" s="21">
        <f t="shared" si="22"/>
        <v>0</v>
      </c>
      <c r="X350" s="22" t="e">
        <f t="shared" si="23"/>
        <v>#N/A</v>
      </c>
      <c r="Y350" s="16" t="str">
        <f>IF(ISERROR(VLOOKUP($E350&amp;$F350,Results!$A$2:$G$413,Y$1,FALSE)),"",VLOOKUP($E350&amp;$F350,Results!$A$2:$G$413,Y$1,FALSE))</f>
        <v/>
      </c>
      <c r="Z350" s="16" t="str">
        <f>IF(ISERROR(VLOOKUP($E350&amp;$F350,Results!$A$2:$G$413,Z$1,FALSE)),"",VLOOKUP($E350&amp;$F350,Results!$A$2:$G$413,Z$1,FALSE))</f>
        <v/>
      </c>
      <c r="AA350" s="16" t="str">
        <f>IF(ISERROR(VLOOKUP($E350&amp;$F350,Results!$A$2:$G$413,AA$1,FALSE)),"",VLOOKUP($E350&amp;$F350,Results!$A$2:$G$413,AA$1,FALSE))</f>
        <v/>
      </c>
      <c r="AB350" s="16" t="str">
        <f>IF(ISERROR(VLOOKUP($E350&amp;$F350,Results!$A$2:$G$413,AB$1,FALSE)),"",VLOOKUP($E350&amp;$F350,Results!$A$2:$G$413,AB$1,FALSE))</f>
        <v/>
      </c>
      <c r="AC350" s="16"/>
      <c r="AD350" s="20" t="str">
        <f>IF(ISERROR(VLOOKUP($AB350&amp;"-"&amp;$F350,Bonuses!$B$1:$G$1000,4,FALSE)),"",INT(VLOOKUP($AB350&amp;"-"&amp;$F350,Bonuses!$B$1:$G$1000,4,FALSE)))</f>
        <v/>
      </c>
      <c r="AE350" s="16" t="str">
        <f>IF(ISERROR(VLOOKUP($AB350&amp;"-"&amp;$F350,Bonuses!$B$1:$G$1000,5,FALSE)),"",IF(VLOOKUP($AB350&amp;"-"&amp;$F350,Bonuses!$B$1:$G$1000,5,FALSE)="","",VLOOKUP($AB350&amp;"-"&amp;$F350,Bonuses!$B$1:$G$1000,6,FALSE)&amp;" yrs, "&amp;VLOOKUP($AB350&amp;"-"&amp;$F350,Bonuses!$B$1:$G$1000,5,FALSE)))</f>
        <v/>
      </c>
    </row>
    <row r="351" spans="1:31" s="21" customFormat="1">
      <c r="A351" s="21" t="s">
        <v>647</v>
      </c>
      <c r="B351" s="21">
        <f t="shared" si="20"/>
        <v>1</v>
      </c>
      <c r="C351" s="21" t="str">
        <f t="shared" si="21"/>
        <v>P</v>
      </c>
      <c r="D351" s="17">
        <f>IF($C351="B",VLOOKUP($A351,Bat!$A$4:$BD$2323,D$1,FALSE),VLOOKUP($A351,Pit!$A$4:$AZ$2261,D$2,FALSE))</f>
        <v>2463</v>
      </c>
      <c r="E351" s="16" t="str">
        <f>IF($C351="B",VLOOKUP($A351,Bat!$A$4:$BD$2323,E$1,FALSE),VLOOKUP($A351,Pit!$A$4:$AZ$2261,E$2,FALSE))</f>
        <v>MR</v>
      </c>
      <c r="F351" s="16" t="str">
        <f>IF($C351="B",VLOOKUP($A351,Bat!$A$4:$BD$2323,F$1,FALSE),VLOOKUP($A351,Pit!$A$4:$AZ$2261,F$2,FALSE))</f>
        <v>Denny Davis</v>
      </c>
      <c r="G351" s="16">
        <f>IF($C351="B",VLOOKUP($A351,Bat!$A$4:$BD$2323,G$1,FALSE),VLOOKUP($A351,Pit!$A$4:$AZ$2261,G$2,FALSE))</f>
        <v>21</v>
      </c>
      <c r="H351" s="16" t="str">
        <f>IF($C351="B",VLOOKUP($A351,Bat!$A$4:$BD$2323,H$1,FALSE),VLOOKUP($A351,Pit!$A$4:$AZ$2261,H$2,FALSE))</f>
        <v>R</v>
      </c>
      <c r="I351" s="16" t="str">
        <f>IF($C351="B",VLOOKUP($A351,Bat!$A$4:$BD$2323,I$1,FALSE),VLOOKUP($A351,Pit!$A$4:$AZ$2261,I$2,FALSE))</f>
        <v>R</v>
      </c>
      <c r="J351" s="16" t="str">
        <f>IF($C351="B",VLOOKUP($A351,Bat!$A$4:$BD$2323,J$1,FALSE),VLOOKUP($A351,Pit!$A$4:$AZ$2261,J$2,FALSE))</f>
        <v>High</v>
      </c>
      <c r="K351" s="17" t="str">
        <f>IF($C351="B",VLOOKUP($A351,Bat!$A$4:$BD$2323,K$1,FALSE),VLOOKUP($A351,Pit!$A$4:$AZ$2261,K$2,FALSE))</f>
        <v>Very High</v>
      </c>
      <c r="L351" s="16">
        <f>IF($C351="B",VLOOKUP($A351,Bat!$A$4:$BD$2323,L$1,FALSE),VLOOKUP($A351,Pit!$A$4:$AZ$2261,L$2,FALSE))</f>
        <v>7</v>
      </c>
      <c r="M351" s="16">
        <f>IF($C351="B",VLOOKUP($A351,Bat!$A$4:$BD$2323,M$1,FALSE),VLOOKUP($A351,Pit!$A$4:$AZ$2261,M$2,FALSE))</f>
        <v>4</v>
      </c>
      <c r="N351" s="16">
        <f>IF($C351="B",VLOOKUP($A351,Bat!$A$4:$BD$2323,N$1,FALSE),VLOOKUP($A351,Pit!$A$4:$AZ$2261,N$2,FALSE))</f>
        <v>4</v>
      </c>
      <c r="O351" s="16" t="str">
        <f>IF($C351="B",VLOOKUP($A351,Bat!$A$4:$BD$2323,O$1,FALSE),VLOOKUP($A351,Pit!$A$4:$AZ$2261,O$2,FALSE))</f>
        <v>95-97 Mph</v>
      </c>
      <c r="P351" s="17">
        <f>IF($C351="B",VLOOKUP($A351,Bat!$A$4:$BD$2323,P$1,FALSE),VLOOKUP($A351,Pit!$A$4:$AZ$2261,P$2,FALSE))</f>
        <v>1</v>
      </c>
      <c r="Q351" s="18">
        <f>IF($C351="B",VLOOKUP($A351,Bat!$A$4:$BD$2323,Q$1,FALSE),VLOOKUP($A351,Pit!$A$4:$AZ$2261,Q$2,FALSE))</f>
        <v>39.608852706110937</v>
      </c>
      <c r="R351" s="19">
        <f>IF($C351="B",VLOOKUP($A351,Bat!$A$4:$BD$2323,R$1,FALSE),VLOOKUP($A351,Pit!$A$4:$AZ$2261,R$2,FALSE))</f>
        <v>0.45152073835491041</v>
      </c>
      <c r="S351" s="20" t="str">
        <f>IF($C351="B",VLOOKUP($A351,Bat!$A$4:$BD$2323,S$1,FALSE),VLOOKUP($A351,Pit!$A$4:$AZ$2261,S$2,FALSE))</f>
        <v>Slot</v>
      </c>
      <c r="T351" s="17" t="str">
        <f>IF(S351="Slot","",VLOOKUP(IF($C351="B",VLOOKUP($A351,Bat!$A$4:$AT$2323,T$1,FALSE),VLOOKUP($A351,Pit!$A$4:$BD$2261,T$2,FALSE)),COND!$A$34:$B$40,2,FALSE))</f>
        <v/>
      </c>
      <c r="U351" s="21">
        <f>IF($C351="B",VLOOKUP($A351,Bat!$A$4:$AR$1287,44,FALSE),VLOOKUP($A351,Pit!$A$4:$BB$1239,54,FALSE))</f>
        <v>0</v>
      </c>
      <c r="W351" s="21">
        <f t="shared" si="22"/>
        <v>0</v>
      </c>
      <c r="X351" s="22" t="e">
        <f t="shared" si="23"/>
        <v>#N/A</v>
      </c>
      <c r="Y351" s="16" t="str">
        <f>IF(ISERROR(VLOOKUP($E351&amp;$F351,Results!$A$2:$G$413,Y$1,FALSE)),"",VLOOKUP($E351&amp;$F351,Results!$A$2:$G$413,Y$1,FALSE))</f>
        <v/>
      </c>
      <c r="Z351" s="16" t="str">
        <f>IF(ISERROR(VLOOKUP($E351&amp;$F351,Results!$A$2:$G$413,Z$1,FALSE)),"",VLOOKUP($E351&amp;$F351,Results!$A$2:$G$413,Z$1,FALSE))</f>
        <v/>
      </c>
      <c r="AA351" s="16" t="str">
        <f>IF(ISERROR(VLOOKUP($E351&amp;$F351,Results!$A$2:$G$413,AA$1,FALSE)),"",VLOOKUP($E351&amp;$F351,Results!$A$2:$G$413,AA$1,FALSE))</f>
        <v/>
      </c>
      <c r="AB351" s="16" t="str">
        <f>IF(ISERROR(VLOOKUP($E351&amp;$F351,Results!$A$2:$G$413,AB$1,FALSE)),"",VLOOKUP($E351&amp;$F351,Results!$A$2:$G$413,AB$1,FALSE))</f>
        <v/>
      </c>
      <c r="AC351" s="16"/>
      <c r="AD351" s="20" t="str">
        <f>IF(ISERROR(VLOOKUP($AB351&amp;"-"&amp;$F351,Bonuses!$B$1:$G$1000,4,FALSE)),"",INT(VLOOKUP($AB351&amp;"-"&amp;$F351,Bonuses!$B$1:$G$1000,4,FALSE)))</f>
        <v/>
      </c>
      <c r="AE351" s="16" t="str">
        <f>IF(ISERROR(VLOOKUP($AB351&amp;"-"&amp;$F351,Bonuses!$B$1:$G$1000,5,FALSE)),"",IF(VLOOKUP($AB351&amp;"-"&amp;$F351,Bonuses!$B$1:$G$1000,5,FALSE)="","",VLOOKUP($AB351&amp;"-"&amp;$F351,Bonuses!$B$1:$G$1000,6,FALSE)&amp;" yrs, "&amp;VLOOKUP($AB351&amp;"-"&amp;$F351,Bonuses!$B$1:$G$1000,5,FALSE)))</f>
        <v/>
      </c>
    </row>
    <row r="352" spans="1:31" s="21" customFormat="1">
      <c r="A352" s="21" t="s">
        <v>803</v>
      </c>
      <c r="B352" s="21">
        <f t="shared" si="20"/>
        <v>1</v>
      </c>
      <c r="C352" s="21" t="str">
        <f t="shared" si="21"/>
        <v>P</v>
      </c>
      <c r="D352" s="17">
        <f>IF($C352="B",VLOOKUP($A352,Bat!$A$4:$BD$2323,D$1,FALSE),VLOOKUP($A352,Pit!$A$4:$AZ$2261,D$2,FALSE))</f>
        <v>11978</v>
      </c>
      <c r="E352" s="16" t="str">
        <f>IF($C352="B",VLOOKUP($A352,Bat!$A$4:$BD$2323,E$1,FALSE),VLOOKUP($A352,Pit!$A$4:$AZ$2261,E$2,FALSE))</f>
        <v>SP</v>
      </c>
      <c r="F352" s="16" t="str">
        <f>IF($C352="B",VLOOKUP($A352,Bat!$A$4:$BD$2323,F$1,FALSE),VLOOKUP($A352,Pit!$A$4:$AZ$2261,F$2,FALSE))</f>
        <v>Ed Boerboom</v>
      </c>
      <c r="G352" s="16">
        <f>IF($C352="B",VLOOKUP($A352,Bat!$A$4:$BD$2323,G$1,FALSE),VLOOKUP($A352,Pit!$A$4:$AZ$2261,G$2,FALSE))</f>
        <v>22</v>
      </c>
      <c r="H352" s="16" t="str">
        <f>IF($C352="B",VLOOKUP($A352,Bat!$A$4:$BD$2323,H$1,FALSE),VLOOKUP($A352,Pit!$A$4:$AZ$2261,H$2,FALSE))</f>
        <v>R</v>
      </c>
      <c r="I352" s="16" t="str">
        <f>IF($C352="B",VLOOKUP($A352,Bat!$A$4:$BD$2323,I$1,FALSE),VLOOKUP($A352,Pit!$A$4:$AZ$2261,I$2,FALSE))</f>
        <v>R</v>
      </c>
      <c r="J352" s="16" t="str">
        <f>IF($C352="B",VLOOKUP($A352,Bat!$A$4:$BD$2323,J$1,FALSE),VLOOKUP($A352,Pit!$A$4:$AZ$2261,J$2,FALSE))</f>
        <v>Very Low</v>
      </c>
      <c r="K352" s="17" t="str">
        <f>IF($C352="B",VLOOKUP($A352,Bat!$A$4:$BD$2323,K$1,FALSE),VLOOKUP($A352,Pit!$A$4:$AZ$2261,K$2,FALSE))</f>
        <v>High</v>
      </c>
      <c r="L352" s="16">
        <f>IF($C352="B",VLOOKUP($A352,Bat!$A$4:$BD$2323,L$1,FALSE),VLOOKUP($A352,Pit!$A$4:$AZ$2261,L$2,FALSE))</f>
        <v>5</v>
      </c>
      <c r="M352" s="16">
        <f>IF($C352="B",VLOOKUP($A352,Bat!$A$4:$BD$2323,M$1,FALSE),VLOOKUP($A352,Pit!$A$4:$AZ$2261,M$2,FALSE))</f>
        <v>6</v>
      </c>
      <c r="N352" s="16">
        <f>IF($C352="B",VLOOKUP($A352,Bat!$A$4:$BD$2323,N$1,FALSE),VLOOKUP($A352,Pit!$A$4:$AZ$2261,N$2,FALSE))</f>
        <v>4</v>
      </c>
      <c r="O352" s="16" t="str">
        <f>IF($C352="B",VLOOKUP($A352,Bat!$A$4:$BD$2323,O$1,FALSE),VLOOKUP($A352,Pit!$A$4:$AZ$2261,O$2,FALSE))</f>
        <v>96-98 Mph</v>
      </c>
      <c r="P352" s="17">
        <f>IF($C352="B",VLOOKUP($A352,Bat!$A$4:$BD$2323,P$1,FALSE),VLOOKUP($A352,Pit!$A$4:$AZ$2261,P$2,FALSE))</f>
        <v>9</v>
      </c>
      <c r="Q352" s="18">
        <f>IF($C352="B",VLOOKUP($A352,Bat!$A$4:$BD$2323,Q$1,FALSE),VLOOKUP($A352,Pit!$A$4:$AZ$2261,Q$2,FALSE))</f>
        <v>37.697711718634487</v>
      </c>
      <c r="R352" s="19">
        <f>IF($C352="B",VLOOKUP($A352,Bat!$A$4:$BD$2323,R$1,FALSE),VLOOKUP($A352,Pit!$A$4:$AZ$2261,R$2,FALSE))</f>
        <v>0.29980186719330254</v>
      </c>
      <c r="S352" s="20">
        <f>IF($C352="B",VLOOKUP($A352,Bat!$A$4:$BD$2323,S$1,FALSE),VLOOKUP($A352,Pit!$A$4:$AZ$2261,S$2,FALSE))</f>
        <v>2800000</v>
      </c>
      <c r="T352" s="17" t="str">
        <f>IF(S352="Slot","",VLOOKUP(IF($C352="B",VLOOKUP($A352,Bat!$A$4:$AT$2323,T$1,FALSE),VLOOKUP($A352,Pit!$A$4:$BD$2261,T$2,FALSE)),COND!$A$34:$B$40,2,FALSE))</f>
        <v>EH</v>
      </c>
      <c r="U352" s="21">
        <f>IF($C352="B",VLOOKUP($A352,Bat!$A$4:$AR$1287,44,FALSE),VLOOKUP($A352,Pit!$A$4:$BB$1239,54,FALSE))</f>
        <v>0</v>
      </c>
      <c r="W352" s="21">
        <f t="shared" si="22"/>
        <v>0</v>
      </c>
      <c r="X352" s="22" t="e">
        <f t="shared" si="23"/>
        <v>#N/A</v>
      </c>
      <c r="Y352" s="16" t="str">
        <f>IF(ISERROR(VLOOKUP($E352&amp;$F352,Results!$A$2:$G$413,Y$1,FALSE)),"",VLOOKUP($E352&amp;$F352,Results!$A$2:$G$413,Y$1,FALSE))</f>
        <v/>
      </c>
      <c r="Z352" s="16" t="str">
        <f>IF(ISERROR(VLOOKUP($E352&amp;$F352,Results!$A$2:$G$413,Z$1,FALSE)),"",VLOOKUP($E352&amp;$F352,Results!$A$2:$G$413,Z$1,FALSE))</f>
        <v/>
      </c>
      <c r="AA352" s="16" t="str">
        <f>IF(ISERROR(VLOOKUP($E352&amp;$F352,Results!$A$2:$G$413,AA$1,FALSE)),"",VLOOKUP($E352&amp;$F352,Results!$A$2:$G$413,AA$1,FALSE))</f>
        <v/>
      </c>
      <c r="AB352" s="16" t="str">
        <f>IF(ISERROR(VLOOKUP($E352&amp;$F352,Results!$A$2:$G$413,AB$1,FALSE)),"",VLOOKUP($E352&amp;$F352,Results!$A$2:$G$413,AB$1,FALSE))</f>
        <v/>
      </c>
      <c r="AC352" s="16"/>
      <c r="AD352" s="20" t="str">
        <f>IF(ISERROR(VLOOKUP($AB352&amp;"-"&amp;$F352,Bonuses!$B$1:$G$1000,4,FALSE)),"",INT(VLOOKUP($AB352&amp;"-"&amp;$F352,Bonuses!$B$1:$G$1000,4,FALSE)))</f>
        <v/>
      </c>
      <c r="AE352" s="16" t="str">
        <f>IF(ISERROR(VLOOKUP($AB352&amp;"-"&amp;$F352,Bonuses!$B$1:$G$1000,5,FALSE)),"",IF(VLOOKUP($AB352&amp;"-"&amp;$F352,Bonuses!$B$1:$G$1000,5,FALSE)="","",VLOOKUP($AB352&amp;"-"&amp;$F352,Bonuses!$B$1:$G$1000,6,FALSE)&amp;" yrs, "&amp;VLOOKUP($AB352&amp;"-"&amp;$F352,Bonuses!$B$1:$G$1000,5,FALSE)))</f>
        <v/>
      </c>
    </row>
    <row r="353" spans="1:31" s="21" customFormat="1">
      <c r="A353" s="21" t="s">
        <v>267</v>
      </c>
      <c r="B353" s="21">
        <f t="shared" si="20"/>
        <v>1</v>
      </c>
      <c r="C353" s="21" t="str">
        <f t="shared" si="21"/>
        <v>P</v>
      </c>
      <c r="D353" s="17" t="e">
        <f>IF($C353="B",VLOOKUP($A353,Bat!$A$4:$BD$2323,D$1,FALSE),VLOOKUP($A353,Pit!$A$4:$AZ$2261,D$2,FALSE))</f>
        <v>#N/A</v>
      </c>
      <c r="E353" s="16" t="e">
        <f>IF($C353="B",VLOOKUP($A353,Bat!$A$4:$BD$2323,E$1,FALSE),VLOOKUP($A353,Pit!$A$4:$AZ$2261,E$2,FALSE))</f>
        <v>#N/A</v>
      </c>
      <c r="F353" s="16" t="e">
        <f>IF($C353="B",VLOOKUP($A353,Bat!$A$4:$BD$2323,F$1,FALSE),VLOOKUP($A353,Pit!$A$4:$AZ$2261,F$2,FALSE))</f>
        <v>#N/A</v>
      </c>
      <c r="G353" s="16" t="e">
        <f>IF($C353="B",VLOOKUP($A353,Bat!$A$4:$BD$2323,G$1,FALSE),VLOOKUP($A353,Pit!$A$4:$AZ$2261,G$2,FALSE))</f>
        <v>#N/A</v>
      </c>
      <c r="H353" s="16" t="e">
        <f>IF($C353="B",VLOOKUP($A353,Bat!$A$4:$BD$2323,H$1,FALSE),VLOOKUP($A353,Pit!$A$4:$AZ$2261,H$2,FALSE))</f>
        <v>#N/A</v>
      </c>
      <c r="I353" s="16" t="e">
        <f>IF($C353="B",VLOOKUP($A353,Bat!$A$4:$BD$2323,I$1,FALSE),VLOOKUP($A353,Pit!$A$4:$AZ$2261,I$2,FALSE))</f>
        <v>#N/A</v>
      </c>
      <c r="J353" s="16" t="e">
        <f>IF($C353="B",VLOOKUP($A353,Bat!$A$4:$BD$2323,J$1,FALSE),VLOOKUP($A353,Pit!$A$4:$AZ$2261,J$2,FALSE))</f>
        <v>#N/A</v>
      </c>
      <c r="K353" s="17" t="e">
        <f>IF($C353="B",VLOOKUP($A353,Bat!$A$4:$BD$2323,K$1,FALSE),VLOOKUP($A353,Pit!$A$4:$AZ$2261,K$2,FALSE))</f>
        <v>#N/A</v>
      </c>
      <c r="L353" s="16" t="e">
        <f>IF($C353="B",VLOOKUP($A353,Bat!$A$4:$BD$2323,L$1,FALSE),VLOOKUP($A353,Pit!$A$4:$AZ$2261,L$2,FALSE))</f>
        <v>#N/A</v>
      </c>
      <c r="M353" s="16" t="e">
        <f>IF($C353="B",VLOOKUP($A353,Bat!$A$4:$BD$2323,M$1,FALSE),VLOOKUP($A353,Pit!$A$4:$AZ$2261,M$2,FALSE))</f>
        <v>#N/A</v>
      </c>
      <c r="N353" s="16" t="e">
        <f>IF($C353="B",VLOOKUP($A353,Bat!$A$4:$BD$2323,N$1,FALSE),VLOOKUP($A353,Pit!$A$4:$AZ$2261,N$2,FALSE))</f>
        <v>#N/A</v>
      </c>
      <c r="O353" s="16" t="e">
        <f>IF($C353="B",VLOOKUP($A353,Bat!$A$4:$BD$2323,O$1,FALSE),VLOOKUP($A353,Pit!$A$4:$AZ$2261,O$2,FALSE))</f>
        <v>#N/A</v>
      </c>
      <c r="P353" s="17" t="e">
        <f>IF($C353="B",VLOOKUP($A353,Bat!$A$4:$BD$2323,P$1,FALSE),VLOOKUP($A353,Pit!$A$4:$AZ$2261,P$2,FALSE))</f>
        <v>#N/A</v>
      </c>
      <c r="Q353" s="18" t="e">
        <f>IF($C353="B",VLOOKUP($A353,Bat!$A$4:$BD$2323,Q$1,FALSE),VLOOKUP($A353,Pit!$A$4:$AZ$2261,Q$2,FALSE))</f>
        <v>#N/A</v>
      </c>
      <c r="R353" s="19" t="e">
        <f>IF($C353="B",VLOOKUP($A353,Bat!$A$4:$BD$2323,R$1,FALSE),VLOOKUP($A353,Pit!$A$4:$AZ$2261,R$2,FALSE))</f>
        <v>#N/A</v>
      </c>
      <c r="S353" s="20" t="e">
        <f>IF($C353="B",VLOOKUP($A353,Bat!$A$4:$BD$2323,S$1,FALSE),VLOOKUP($A353,Pit!$A$4:$AZ$2261,S$2,FALSE))</f>
        <v>#N/A</v>
      </c>
      <c r="T353" s="17" t="e">
        <f>IF(S353="Slot","",VLOOKUP(IF($C353="B",VLOOKUP($A353,Bat!$A$4:$AT$2323,T$1,FALSE),VLOOKUP($A353,Pit!$A$4:$BD$2261,T$2,FALSE)),COND!$A$34:$B$40,2,FALSE))</f>
        <v>#N/A</v>
      </c>
      <c r="U353" s="21" t="e">
        <f>IF($C353="B",VLOOKUP($A353,Bat!$A$4:$AR$1287,44,FALSE),VLOOKUP($A353,Pit!$A$4:$BB$1239,54,FALSE))</f>
        <v>#N/A</v>
      </c>
      <c r="W353" s="21" t="e">
        <f t="shared" si="22"/>
        <v>#N/A</v>
      </c>
      <c r="X353" s="22" t="e">
        <f t="shared" si="23"/>
        <v>#N/A</v>
      </c>
      <c r="Y353" s="16" t="str">
        <f>IF(ISERROR(VLOOKUP($E353&amp;$F353,Results!$A$2:$G$413,Y$1,FALSE)),"",VLOOKUP($E353&amp;$F353,Results!$A$2:$G$413,Y$1,FALSE))</f>
        <v/>
      </c>
      <c r="Z353" s="16" t="str">
        <f>IF(ISERROR(VLOOKUP($E353&amp;$F353,Results!$A$2:$G$413,Z$1,FALSE)),"",VLOOKUP($E353&amp;$F353,Results!$A$2:$G$413,Z$1,FALSE))</f>
        <v/>
      </c>
      <c r="AA353" s="16" t="str">
        <f>IF(ISERROR(VLOOKUP($E353&amp;$F353,Results!$A$2:$G$413,AA$1,FALSE)),"",VLOOKUP($E353&amp;$F353,Results!$A$2:$G$413,AA$1,FALSE))</f>
        <v/>
      </c>
      <c r="AB353" s="16" t="str">
        <f>IF(ISERROR(VLOOKUP($E353&amp;$F353,Results!$A$2:$G$413,AB$1,FALSE)),"",VLOOKUP($E353&amp;$F353,Results!$A$2:$G$413,AB$1,FALSE))</f>
        <v/>
      </c>
      <c r="AC353" s="16"/>
      <c r="AD353" s="20" t="str">
        <f>IF(ISERROR(VLOOKUP($AB353&amp;"-"&amp;$F353,Bonuses!$B$1:$G$1000,4,FALSE)),"",INT(VLOOKUP($AB353&amp;"-"&amp;$F353,Bonuses!$B$1:$G$1000,4,FALSE)))</f>
        <v/>
      </c>
      <c r="AE353" s="16" t="str">
        <f>IF(ISERROR(VLOOKUP($AB353&amp;"-"&amp;$F353,Bonuses!$B$1:$G$1000,5,FALSE)),"",IF(VLOOKUP($AB353&amp;"-"&amp;$F353,Bonuses!$B$1:$G$1000,5,FALSE)="","",VLOOKUP($AB353&amp;"-"&amp;$F353,Bonuses!$B$1:$G$1000,6,FALSE)&amp;" yrs, "&amp;VLOOKUP($AB353&amp;"-"&amp;$F353,Bonuses!$B$1:$G$1000,5,FALSE)))</f>
        <v/>
      </c>
    </row>
    <row r="354" spans="1:31" s="21" customFormat="1">
      <c r="A354" s="21" t="s">
        <v>680</v>
      </c>
      <c r="B354" s="21">
        <f t="shared" si="20"/>
        <v>1</v>
      </c>
      <c r="C354" s="21" t="str">
        <f t="shared" si="21"/>
        <v>P</v>
      </c>
      <c r="D354" s="17">
        <f>IF($C354="B",VLOOKUP($A354,Bat!$A$4:$BD$2323,D$1,FALSE),VLOOKUP($A354,Pit!$A$4:$AZ$2261,D$2,FALSE))</f>
        <v>7780</v>
      </c>
      <c r="E354" s="16" t="str">
        <f>IF($C354="B",VLOOKUP($A354,Bat!$A$4:$BD$2323,E$1,FALSE),VLOOKUP($A354,Pit!$A$4:$AZ$2261,E$2,FALSE))</f>
        <v>MR</v>
      </c>
      <c r="F354" s="16" t="str">
        <f>IF($C354="B",VLOOKUP($A354,Bat!$A$4:$BD$2323,F$1,FALSE),VLOOKUP($A354,Pit!$A$4:$AZ$2261,F$2,FALSE))</f>
        <v>Jim Lehman</v>
      </c>
      <c r="G354" s="16">
        <f>IF($C354="B",VLOOKUP($A354,Bat!$A$4:$BD$2323,G$1,FALSE),VLOOKUP($A354,Pit!$A$4:$AZ$2261,G$2,FALSE))</f>
        <v>21</v>
      </c>
      <c r="H354" s="16" t="str">
        <f>IF($C354="B",VLOOKUP($A354,Bat!$A$4:$BD$2323,H$1,FALSE),VLOOKUP($A354,Pit!$A$4:$AZ$2261,H$2,FALSE))</f>
        <v>L</v>
      </c>
      <c r="I354" s="16" t="str">
        <f>IF($C354="B",VLOOKUP($A354,Bat!$A$4:$BD$2323,I$1,FALSE),VLOOKUP($A354,Pit!$A$4:$AZ$2261,I$2,FALSE))</f>
        <v>R</v>
      </c>
      <c r="J354" s="16" t="str">
        <f>IF($C354="B",VLOOKUP($A354,Bat!$A$4:$BD$2323,J$1,FALSE),VLOOKUP($A354,Pit!$A$4:$AZ$2261,J$2,FALSE))</f>
        <v>Very High</v>
      </c>
      <c r="K354" s="17" t="str">
        <f>IF($C354="B",VLOOKUP($A354,Bat!$A$4:$BD$2323,K$1,FALSE),VLOOKUP($A354,Pit!$A$4:$AZ$2261,K$2,FALSE))</f>
        <v>Normal</v>
      </c>
      <c r="L354" s="16">
        <f>IF($C354="B",VLOOKUP($A354,Bat!$A$4:$BD$2323,L$1,FALSE),VLOOKUP($A354,Pit!$A$4:$AZ$2261,L$2,FALSE))</f>
        <v>6</v>
      </c>
      <c r="M354" s="16">
        <f>IF($C354="B",VLOOKUP($A354,Bat!$A$4:$BD$2323,M$1,FALSE),VLOOKUP($A354,Pit!$A$4:$AZ$2261,M$2,FALSE))</f>
        <v>4</v>
      </c>
      <c r="N354" s="16">
        <f>IF($C354="B",VLOOKUP($A354,Bat!$A$4:$BD$2323,N$1,FALSE),VLOOKUP($A354,Pit!$A$4:$AZ$2261,N$2,FALSE))</f>
        <v>5</v>
      </c>
      <c r="O354" s="16" t="str">
        <f>IF($C354="B",VLOOKUP($A354,Bat!$A$4:$BD$2323,O$1,FALSE),VLOOKUP($A354,Pit!$A$4:$AZ$2261,O$2,FALSE))</f>
        <v>90-92 Mph</v>
      </c>
      <c r="P354" s="17">
        <f>IF($C354="B",VLOOKUP($A354,Bat!$A$4:$BD$2323,P$1,FALSE),VLOOKUP($A354,Pit!$A$4:$AZ$2261,P$2,FALSE))</f>
        <v>6</v>
      </c>
      <c r="Q354" s="18">
        <f>IF($C354="B",VLOOKUP($A354,Bat!$A$4:$BD$2323,Q$1,FALSE),VLOOKUP($A354,Pit!$A$4:$AZ$2261,Q$2,FALSE))</f>
        <v>38.364056275334875</v>
      </c>
      <c r="R354" s="19">
        <f>IF($C354="B",VLOOKUP($A354,Bat!$A$4:$BD$2323,R$1,FALSE),VLOOKUP($A354,Pit!$A$4:$AZ$2261,R$2,FALSE))</f>
        <v>0.35270065624641028</v>
      </c>
      <c r="S354" s="20" t="str">
        <f>IF($C354="B",VLOOKUP($A354,Bat!$A$4:$BD$2323,S$1,FALSE),VLOOKUP($A354,Pit!$A$4:$AZ$2261,S$2,FALSE))</f>
        <v>Slot</v>
      </c>
      <c r="T354" s="17" t="str">
        <f>IF(S354="Slot","",VLOOKUP(IF($C354="B",VLOOKUP($A354,Bat!$A$4:$AT$2323,T$1,FALSE),VLOOKUP($A354,Pit!$A$4:$BD$2261,T$2,FALSE)),COND!$A$34:$B$40,2,FALSE))</f>
        <v/>
      </c>
      <c r="U354" s="21">
        <f>IF($C354="B",VLOOKUP($A354,Bat!$A$4:$AR$1287,44,FALSE),VLOOKUP($A354,Pit!$A$4:$BB$1239,54,FALSE))</f>
        <v>0</v>
      </c>
      <c r="W354" s="21">
        <f t="shared" si="22"/>
        <v>0</v>
      </c>
      <c r="X354" s="22" t="e">
        <f t="shared" si="23"/>
        <v>#N/A</v>
      </c>
      <c r="Y354" s="16" t="str">
        <f>IF(ISERROR(VLOOKUP($E354&amp;$F354,Results!$A$2:$G$413,Y$1,FALSE)),"",VLOOKUP($E354&amp;$F354,Results!$A$2:$G$413,Y$1,FALSE))</f>
        <v/>
      </c>
      <c r="Z354" s="16" t="str">
        <f>IF(ISERROR(VLOOKUP($E354&amp;$F354,Results!$A$2:$G$413,Z$1,FALSE)),"",VLOOKUP($E354&amp;$F354,Results!$A$2:$G$413,Z$1,FALSE))</f>
        <v/>
      </c>
      <c r="AA354" s="16" t="str">
        <f>IF(ISERROR(VLOOKUP($E354&amp;$F354,Results!$A$2:$G$413,AA$1,FALSE)),"",VLOOKUP($E354&amp;$F354,Results!$A$2:$G$413,AA$1,FALSE))</f>
        <v/>
      </c>
      <c r="AB354" s="16" t="str">
        <f>IF(ISERROR(VLOOKUP($E354&amp;$F354,Results!$A$2:$G$413,AB$1,FALSE)),"",VLOOKUP($E354&amp;$F354,Results!$A$2:$G$413,AB$1,FALSE))</f>
        <v/>
      </c>
      <c r="AC354" s="16"/>
      <c r="AD354" s="20" t="str">
        <f>IF(ISERROR(VLOOKUP($AB354&amp;"-"&amp;$F354,Bonuses!$B$1:$G$1000,4,FALSE)),"",INT(VLOOKUP($AB354&amp;"-"&amp;$F354,Bonuses!$B$1:$G$1000,4,FALSE)))</f>
        <v/>
      </c>
      <c r="AE354" s="16" t="str">
        <f>IF(ISERROR(VLOOKUP($AB354&amp;"-"&amp;$F354,Bonuses!$B$1:$G$1000,5,FALSE)),"",IF(VLOOKUP($AB354&amp;"-"&amp;$F354,Bonuses!$B$1:$G$1000,5,FALSE)="","",VLOOKUP($AB354&amp;"-"&amp;$F354,Bonuses!$B$1:$G$1000,6,FALSE)&amp;" yrs, "&amp;VLOOKUP($AB354&amp;"-"&amp;$F354,Bonuses!$B$1:$G$1000,5,FALSE)))</f>
        <v/>
      </c>
    </row>
    <row r="355" spans="1:31" s="21" customFormat="1">
      <c r="A355" s="21" t="s">
        <v>793</v>
      </c>
      <c r="B355" s="21">
        <f t="shared" si="20"/>
        <v>1</v>
      </c>
      <c r="C355" s="21" t="str">
        <f t="shared" si="21"/>
        <v>P</v>
      </c>
      <c r="D355" s="17">
        <f>IF($C355="B",VLOOKUP($A355,Bat!$A$4:$BD$2323,D$1,FALSE),VLOOKUP($A355,Pit!$A$4:$AZ$2261,D$2,FALSE))</f>
        <v>2286</v>
      </c>
      <c r="E355" s="16" t="str">
        <f>IF($C355="B",VLOOKUP($A355,Bat!$A$4:$BD$2323,E$1,FALSE),VLOOKUP($A355,Pit!$A$4:$AZ$2261,E$2,FALSE))</f>
        <v>SP</v>
      </c>
      <c r="F355" s="16" t="str">
        <f>IF($C355="B",VLOOKUP($A355,Bat!$A$4:$BD$2323,F$1,FALSE),VLOOKUP($A355,Pit!$A$4:$AZ$2261,F$2,FALSE))</f>
        <v>Arlen Roberts</v>
      </c>
      <c r="G355" s="16">
        <f>IF($C355="B",VLOOKUP($A355,Bat!$A$4:$BD$2323,G$1,FALSE),VLOOKUP($A355,Pit!$A$4:$AZ$2261,G$2,FALSE))</f>
        <v>21</v>
      </c>
      <c r="H355" s="16" t="str">
        <f>IF($C355="B",VLOOKUP($A355,Bat!$A$4:$BD$2323,H$1,FALSE),VLOOKUP($A355,Pit!$A$4:$AZ$2261,H$2,FALSE))</f>
        <v>L</v>
      </c>
      <c r="I355" s="16" t="str">
        <f>IF($C355="B",VLOOKUP($A355,Bat!$A$4:$BD$2323,I$1,FALSE),VLOOKUP($A355,Pit!$A$4:$AZ$2261,I$2,FALSE))</f>
        <v>R</v>
      </c>
      <c r="J355" s="16" t="str">
        <f>IF($C355="B",VLOOKUP($A355,Bat!$A$4:$BD$2323,J$1,FALSE),VLOOKUP($A355,Pit!$A$4:$AZ$2261,J$2,FALSE))</f>
        <v>Normal</v>
      </c>
      <c r="K355" s="17" t="str">
        <f>IF($C355="B",VLOOKUP($A355,Bat!$A$4:$BD$2323,K$1,FALSE),VLOOKUP($A355,Pit!$A$4:$AZ$2261,K$2,FALSE))</f>
        <v>Very High</v>
      </c>
      <c r="L355" s="16">
        <f>IF($C355="B",VLOOKUP($A355,Bat!$A$4:$BD$2323,L$1,FALSE),VLOOKUP($A355,Pit!$A$4:$AZ$2261,L$2,FALSE))</f>
        <v>6</v>
      </c>
      <c r="M355" s="16">
        <f>IF($C355="B",VLOOKUP($A355,Bat!$A$4:$BD$2323,M$1,FALSE),VLOOKUP($A355,Pit!$A$4:$AZ$2261,M$2,FALSE))</f>
        <v>4</v>
      </c>
      <c r="N355" s="16">
        <f>IF($C355="B",VLOOKUP($A355,Bat!$A$4:$BD$2323,N$1,FALSE),VLOOKUP($A355,Pit!$A$4:$AZ$2261,N$2,FALSE))</f>
        <v>4</v>
      </c>
      <c r="O355" s="16" t="str">
        <f>IF($C355="B",VLOOKUP($A355,Bat!$A$4:$BD$2323,O$1,FALSE),VLOOKUP($A355,Pit!$A$4:$AZ$2261,O$2,FALSE))</f>
        <v>95-97 Mph</v>
      </c>
      <c r="P355" s="17">
        <f>IF($C355="B",VLOOKUP($A355,Bat!$A$4:$BD$2323,P$1,FALSE),VLOOKUP($A355,Pit!$A$4:$AZ$2261,P$2,FALSE))</f>
        <v>6</v>
      </c>
      <c r="Q355" s="18">
        <f>IF($C355="B",VLOOKUP($A355,Bat!$A$4:$BD$2323,Q$1,FALSE),VLOOKUP($A355,Pit!$A$4:$AZ$2261,Q$2,FALSE))</f>
        <v>38.189899661937389</v>
      </c>
      <c r="R355" s="19">
        <f>IF($C355="B",VLOOKUP($A355,Bat!$A$4:$BD$2323,R$1,FALSE),VLOOKUP($A355,Pit!$A$4:$AZ$2261,R$2,FALSE))</f>
        <v>0.33887496522563171</v>
      </c>
      <c r="S355" s="20" t="str">
        <f>IF($C355="B",VLOOKUP($A355,Bat!$A$4:$BD$2323,S$1,FALSE),VLOOKUP($A355,Pit!$A$4:$AZ$2261,S$2,FALSE))</f>
        <v>Slot</v>
      </c>
      <c r="T355" s="17" t="str">
        <f>IF(S355="Slot","",VLOOKUP(IF($C355="B",VLOOKUP($A355,Bat!$A$4:$AT$2323,T$1,FALSE),VLOOKUP($A355,Pit!$A$4:$BD$2261,T$2,FALSE)),COND!$A$34:$B$40,2,FALSE))</f>
        <v/>
      </c>
      <c r="U355" s="21">
        <f>IF($C355="B",VLOOKUP($A355,Bat!$A$4:$AR$1287,44,FALSE),VLOOKUP($A355,Pit!$A$4:$BB$1239,54,FALSE))</f>
        <v>0</v>
      </c>
      <c r="W355" s="21">
        <f t="shared" si="22"/>
        <v>0</v>
      </c>
      <c r="X355" s="22" t="e">
        <f t="shared" si="23"/>
        <v>#N/A</v>
      </c>
      <c r="Y355" s="16" t="str">
        <f>IF(ISERROR(VLOOKUP($E355&amp;$F355,Results!$A$2:$G$413,Y$1,FALSE)),"",VLOOKUP($E355&amp;$F355,Results!$A$2:$G$413,Y$1,FALSE))</f>
        <v/>
      </c>
      <c r="Z355" s="16" t="str">
        <f>IF(ISERROR(VLOOKUP($E355&amp;$F355,Results!$A$2:$G$413,Z$1,FALSE)),"",VLOOKUP($E355&amp;$F355,Results!$A$2:$G$413,Z$1,FALSE))</f>
        <v/>
      </c>
      <c r="AA355" s="16" t="str">
        <f>IF(ISERROR(VLOOKUP($E355&amp;$F355,Results!$A$2:$G$413,AA$1,FALSE)),"",VLOOKUP($E355&amp;$F355,Results!$A$2:$G$413,AA$1,FALSE))</f>
        <v/>
      </c>
      <c r="AB355" s="16" t="str">
        <f>IF(ISERROR(VLOOKUP($E355&amp;$F355,Results!$A$2:$G$413,AB$1,FALSE)),"",VLOOKUP($E355&amp;$F355,Results!$A$2:$G$413,AB$1,FALSE))</f>
        <v/>
      </c>
      <c r="AC355" s="16"/>
      <c r="AD355" s="20" t="str">
        <f>IF(ISERROR(VLOOKUP($AB355&amp;"-"&amp;$F355,Bonuses!$B$1:$G$1000,4,FALSE)),"",INT(VLOOKUP($AB355&amp;"-"&amp;$F355,Bonuses!$B$1:$G$1000,4,FALSE)))</f>
        <v/>
      </c>
      <c r="AE355" s="16" t="str">
        <f>IF(ISERROR(VLOOKUP($AB355&amp;"-"&amp;$F355,Bonuses!$B$1:$G$1000,5,FALSE)),"",IF(VLOOKUP($AB355&amp;"-"&amp;$F355,Bonuses!$B$1:$G$1000,5,FALSE)="","",VLOOKUP($AB355&amp;"-"&amp;$F355,Bonuses!$B$1:$G$1000,6,FALSE)&amp;" yrs, "&amp;VLOOKUP($AB355&amp;"-"&amp;$F355,Bonuses!$B$1:$G$1000,5,FALSE)))</f>
        <v/>
      </c>
    </row>
    <row r="356" spans="1:31" s="21" customFormat="1">
      <c r="A356" s="21" t="s">
        <v>788</v>
      </c>
      <c r="B356" s="21">
        <f t="shared" si="20"/>
        <v>1</v>
      </c>
      <c r="C356" s="21" t="str">
        <f t="shared" si="21"/>
        <v>P</v>
      </c>
      <c r="D356" s="17">
        <f>IF($C356="B",VLOOKUP($A356,Bat!$A$4:$BD$2323,D$1,FALSE),VLOOKUP($A356,Pit!$A$4:$AZ$2261,D$2,FALSE))</f>
        <v>2149</v>
      </c>
      <c r="E356" s="16" t="str">
        <f>IF($C356="B",VLOOKUP($A356,Bat!$A$4:$BD$2323,E$1,FALSE),VLOOKUP($A356,Pit!$A$4:$AZ$2261,E$2,FALSE))</f>
        <v>SP</v>
      </c>
      <c r="F356" s="16" t="str">
        <f>IF($C356="B",VLOOKUP($A356,Bat!$A$4:$BD$2323,F$1,FALSE),VLOOKUP($A356,Pit!$A$4:$AZ$2261,F$2,FALSE))</f>
        <v>Chris Longworth</v>
      </c>
      <c r="G356" s="16">
        <f>IF($C356="B",VLOOKUP($A356,Bat!$A$4:$BD$2323,G$1,FALSE),VLOOKUP($A356,Pit!$A$4:$AZ$2261,G$2,FALSE))</f>
        <v>21</v>
      </c>
      <c r="H356" s="16" t="str">
        <f>IF($C356="B",VLOOKUP($A356,Bat!$A$4:$BD$2323,H$1,FALSE),VLOOKUP($A356,Pit!$A$4:$AZ$2261,H$2,FALSE))</f>
        <v>L</v>
      </c>
      <c r="I356" s="16" t="str">
        <f>IF($C356="B",VLOOKUP($A356,Bat!$A$4:$BD$2323,I$1,FALSE),VLOOKUP($A356,Pit!$A$4:$AZ$2261,I$2,FALSE))</f>
        <v>L</v>
      </c>
      <c r="J356" s="16" t="str">
        <f>IF($C356="B",VLOOKUP($A356,Bat!$A$4:$BD$2323,J$1,FALSE),VLOOKUP($A356,Pit!$A$4:$AZ$2261,J$2,FALSE))</f>
        <v>Very High</v>
      </c>
      <c r="K356" s="17" t="str">
        <f>IF($C356="B",VLOOKUP($A356,Bat!$A$4:$BD$2323,K$1,FALSE),VLOOKUP($A356,Pit!$A$4:$AZ$2261,K$2,FALSE))</f>
        <v>Very High</v>
      </c>
      <c r="L356" s="16">
        <f>IF($C356="B",VLOOKUP($A356,Bat!$A$4:$BD$2323,L$1,FALSE),VLOOKUP($A356,Pit!$A$4:$AZ$2261,L$2,FALSE))</f>
        <v>6</v>
      </c>
      <c r="M356" s="16">
        <f>IF($C356="B",VLOOKUP($A356,Bat!$A$4:$BD$2323,M$1,FALSE),VLOOKUP($A356,Pit!$A$4:$AZ$2261,M$2,FALSE))</f>
        <v>4</v>
      </c>
      <c r="N356" s="16">
        <f>IF($C356="B",VLOOKUP($A356,Bat!$A$4:$BD$2323,N$1,FALSE),VLOOKUP($A356,Pit!$A$4:$AZ$2261,N$2,FALSE))</f>
        <v>4</v>
      </c>
      <c r="O356" s="16" t="str">
        <f>IF($C356="B",VLOOKUP($A356,Bat!$A$4:$BD$2323,O$1,FALSE),VLOOKUP($A356,Pit!$A$4:$AZ$2261,O$2,FALSE))</f>
        <v>96-98 Mph</v>
      </c>
      <c r="P356" s="17">
        <f>IF($C356="B",VLOOKUP($A356,Bat!$A$4:$BD$2323,P$1,FALSE),VLOOKUP($A356,Pit!$A$4:$AZ$2261,P$2,FALSE))</f>
        <v>6</v>
      </c>
      <c r="Q356" s="18">
        <f>IF($C356="B",VLOOKUP($A356,Bat!$A$4:$BD$2323,Q$1,FALSE),VLOOKUP($A356,Pit!$A$4:$AZ$2261,Q$2,FALSE))</f>
        <v>38.422472026037809</v>
      </c>
      <c r="R356" s="19">
        <f>IF($C356="B",VLOOKUP($A356,Bat!$A$4:$BD$2323,R$1,FALSE),VLOOKUP($A356,Pit!$A$4:$AZ$2261,R$2,FALSE))</f>
        <v>0.35733808059803279</v>
      </c>
      <c r="S356" s="20" t="str">
        <f>IF($C356="B",VLOOKUP($A356,Bat!$A$4:$BD$2323,S$1,FALSE),VLOOKUP($A356,Pit!$A$4:$AZ$2261,S$2,FALSE))</f>
        <v>Slot</v>
      </c>
      <c r="T356" s="17" t="str">
        <f>IF(S356="Slot","",VLOOKUP(IF($C356="B",VLOOKUP($A356,Bat!$A$4:$AT$2323,T$1,FALSE),VLOOKUP($A356,Pit!$A$4:$BD$2261,T$2,FALSE)),COND!$A$34:$B$40,2,FALSE))</f>
        <v/>
      </c>
      <c r="U356" s="21">
        <f>IF($C356="B",VLOOKUP($A356,Bat!$A$4:$AR$1287,44,FALSE),VLOOKUP($A356,Pit!$A$4:$BB$1239,54,FALSE))</f>
        <v>0</v>
      </c>
      <c r="W356" s="21">
        <f t="shared" si="22"/>
        <v>0</v>
      </c>
      <c r="X356" s="22" t="e">
        <f t="shared" si="23"/>
        <v>#N/A</v>
      </c>
      <c r="Y356" s="16" t="str">
        <f>IF(ISERROR(VLOOKUP($E356&amp;$F356,Results!$A$2:$G$413,Y$1,FALSE)),"",VLOOKUP($E356&amp;$F356,Results!$A$2:$G$413,Y$1,FALSE))</f>
        <v/>
      </c>
      <c r="Z356" s="16" t="str">
        <f>IF(ISERROR(VLOOKUP($E356&amp;$F356,Results!$A$2:$G$413,Z$1,FALSE)),"",VLOOKUP($E356&amp;$F356,Results!$A$2:$G$413,Z$1,FALSE))</f>
        <v/>
      </c>
      <c r="AA356" s="16" t="str">
        <f>IF(ISERROR(VLOOKUP($E356&amp;$F356,Results!$A$2:$G$413,AA$1,FALSE)),"",VLOOKUP($E356&amp;$F356,Results!$A$2:$G$413,AA$1,FALSE))</f>
        <v/>
      </c>
      <c r="AB356" s="16" t="str">
        <f>IF(ISERROR(VLOOKUP($E356&amp;$F356,Results!$A$2:$G$413,AB$1,FALSE)),"",VLOOKUP($E356&amp;$F356,Results!$A$2:$G$413,AB$1,FALSE))</f>
        <v/>
      </c>
      <c r="AC356" s="16"/>
      <c r="AD356" s="20" t="str">
        <f>IF(ISERROR(VLOOKUP($AB356&amp;"-"&amp;$F356,Bonuses!$B$1:$G$1000,4,FALSE)),"",INT(VLOOKUP($AB356&amp;"-"&amp;$F356,Bonuses!$B$1:$G$1000,4,FALSE)))</f>
        <v/>
      </c>
      <c r="AE356" s="16" t="str">
        <f>IF(ISERROR(VLOOKUP($AB356&amp;"-"&amp;$F356,Bonuses!$B$1:$G$1000,5,FALSE)),"",IF(VLOOKUP($AB356&amp;"-"&amp;$F356,Bonuses!$B$1:$G$1000,5,FALSE)="","",VLOOKUP($AB356&amp;"-"&amp;$F356,Bonuses!$B$1:$G$1000,6,FALSE)&amp;" yrs, "&amp;VLOOKUP($AB356&amp;"-"&amp;$F356,Bonuses!$B$1:$G$1000,5,FALSE)))</f>
        <v/>
      </c>
    </row>
    <row r="357" spans="1:31" s="21" customFormat="1">
      <c r="A357" s="21" t="s">
        <v>270</v>
      </c>
      <c r="B357" s="21">
        <f t="shared" si="20"/>
        <v>1</v>
      </c>
      <c r="C357" s="21" t="str">
        <f t="shared" si="21"/>
        <v>P</v>
      </c>
      <c r="D357" s="17" t="e">
        <f>IF($C357="B",VLOOKUP($A357,Bat!$A$4:$BD$2323,D$1,FALSE),VLOOKUP($A357,Pit!$A$4:$AZ$2261,D$2,FALSE))</f>
        <v>#N/A</v>
      </c>
      <c r="E357" s="16" t="e">
        <f>IF($C357="B",VLOOKUP($A357,Bat!$A$4:$BD$2323,E$1,FALSE),VLOOKUP($A357,Pit!$A$4:$AZ$2261,E$2,FALSE))</f>
        <v>#N/A</v>
      </c>
      <c r="F357" s="16" t="e">
        <f>IF($C357="B",VLOOKUP($A357,Bat!$A$4:$BD$2323,F$1,FALSE),VLOOKUP($A357,Pit!$A$4:$AZ$2261,F$2,FALSE))</f>
        <v>#N/A</v>
      </c>
      <c r="G357" s="16" t="e">
        <f>IF($C357="B",VLOOKUP($A357,Bat!$A$4:$BD$2323,G$1,FALSE),VLOOKUP($A357,Pit!$A$4:$AZ$2261,G$2,FALSE))</f>
        <v>#N/A</v>
      </c>
      <c r="H357" s="16" t="e">
        <f>IF($C357="B",VLOOKUP($A357,Bat!$A$4:$BD$2323,H$1,FALSE),VLOOKUP($A357,Pit!$A$4:$AZ$2261,H$2,FALSE))</f>
        <v>#N/A</v>
      </c>
      <c r="I357" s="16" t="e">
        <f>IF($C357="B",VLOOKUP($A357,Bat!$A$4:$BD$2323,I$1,FALSE),VLOOKUP($A357,Pit!$A$4:$AZ$2261,I$2,FALSE))</f>
        <v>#N/A</v>
      </c>
      <c r="J357" s="16" t="e">
        <f>IF($C357="B",VLOOKUP($A357,Bat!$A$4:$BD$2323,J$1,FALSE),VLOOKUP($A357,Pit!$A$4:$AZ$2261,J$2,FALSE))</f>
        <v>#N/A</v>
      </c>
      <c r="K357" s="17" t="e">
        <f>IF($C357="B",VLOOKUP($A357,Bat!$A$4:$BD$2323,K$1,FALSE),VLOOKUP($A357,Pit!$A$4:$AZ$2261,K$2,FALSE))</f>
        <v>#N/A</v>
      </c>
      <c r="L357" s="16" t="e">
        <f>IF($C357="B",VLOOKUP($A357,Bat!$A$4:$BD$2323,L$1,FALSE),VLOOKUP($A357,Pit!$A$4:$AZ$2261,L$2,FALSE))</f>
        <v>#N/A</v>
      </c>
      <c r="M357" s="16" t="e">
        <f>IF($C357="B",VLOOKUP($A357,Bat!$A$4:$BD$2323,M$1,FALSE),VLOOKUP($A357,Pit!$A$4:$AZ$2261,M$2,FALSE))</f>
        <v>#N/A</v>
      </c>
      <c r="N357" s="16" t="e">
        <f>IF($C357="B",VLOOKUP($A357,Bat!$A$4:$BD$2323,N$1,FALSE),VLOOKUP($A357,Pit!$A$4:$AZ$2261,N$2,FALSE))</f>
        <v>#N/A</v>
      </c>
      <c r="O357" s="16" t="e">
        <f>IF($C357="B",VLOOKUP($A357,Bat!$A$4:$BD$2323,O$1,FALSE),VLOOKUP($A357,Pit!$A$4:$AZ$2261,O$2,FALSE))</f>
        <v>#N/A</v>
      </c>
      <c r="P357" s="17" t="e">
        <f>IF($C357="B",VLOOKUP($A357,Bat!$A$4:$BD$2323,P$1,FALSE),VLOOKUP($A357,Pit!$A$4:$AZ$2261,P$2,FALSE))</f>
        <v>#N/A</v>
      </c>
      <c r="Q357" s="18" t="e">
        <f>IF($C357="B",VLOOKUP($A357,Bat!$A$4:$BD$2323,Q$1,FALSE),VLOOKUP($A357,Pit!$A$4:$AZ$2261,Q$2,FALSE))</f>
        <v>#N/A</v>
      </c>
      <c r="R357" s="19" t="e">
        <f>IF($C357="B",VLOOKUP($A357,Bat!$A$4:$BD$2323,R$1,FALSE),VLOOKUP($A357,Pit!$A$4:$AZ$2261,R$2,FALSE))</f>
        <v>#N/A</v>
      </c>
      <c r="S357" s="20" t="e">
        <f>IF($C357="B",VLOOKUP($A357,Bat!$A$4:$BD$2323,S$1,FALSE),VLOOKUP($A357,Pit!$A$4:$AZ$2261,S$2,FALSE))</f>
        <v>#N/A</v>
      </c>
      <c r="T357" s="17" t="e">
        <f>IF(S357="Slot","",VLOOKUP(IF($C357="B",VLOOKUP($A357,Bat!$A$4:$AT$2323,T$1,FALSE),VLOOKUP($A357,Pit!$A$4:$BD$2261,T$2,FALSE)),COND!$A$34:$B$40,2,FALSE))</f>
        <v>#N/A</v>
      </c>
      <c r="U357" s="21" t="e">
        <f>IF($C357="B",VLOOKUP($A357,Bat!$A$4:$AR$1287,44,FALSE),VLOOKUP($A357,Pit!$A$4:$BB$1239,54,FALSE))</f>
        <v>#N/A</v>
      </c>
      <c r="W357" s="21" t="e">
        <f t="shared" si="22"/>
        <v>#N/A</v>
      </c>
      <c r="X357" s="22" t="e">
        <f t="shared" si="23"/>
        <v>#N/A</v>
      </c>
      <c r="Y357" s="16" t="str">
        <f>IF(ISERROR(VLOOKUP($E357&amp;$F357,Results!$A$2:$G$413,Y$1,FALSE)),"",VLOOKUP($E357&amp;$F357,Results!$A$2:$G$413,Y$1,FALSE))</f>
        <v/>
      </c>
      <c r="Z357" s="16" t="str">
        <f>IF(ISERROR(VLOOKUP($E357&amp;$F357,Results!$A$2:$G$413,Z$1,FALSE)),"",VLOOKUP($E357&amp;$F357,Results!$A$2:$G$413,Z$1,FALSE))</f>
        <v/>
      </c>
      <c r="AA357" s="16" t="str">
        <f>IF(ISERROR(VLOOKUP($E357&amp;$F357,Results!$A$2:$G$413,AA$1,FALSE)),"",VLOOKUP($E357&amp;$F357,Results!$A$2:$G$413,AA$1,FALSE))</f>
        <v/>
      </c>
      <c r="AB357" s="16" t="str">
        <f>IF(ISERROR(VLOOKUP($E357&amp;$F357,Results!$A$2:$G$413,AB$1,FALSE)),"",VLOOKUP($E357&amp;$F357,Results!$A$2:$G$413,AB$1,FALSE))</f>
        <v/>
      </c>
      <c r="AC357" s="16"/>
      <c r="AD357" s="20" t="str">
        <f>IF(ISERROR(VLOOKUP($AB357&amp;"-"&amp;$F357,Bonuses!$B$1:$G$1000,4,FALSE)),"",INT(VLOOKUP($AB357&amp;"-"&amp;$F357,Bonuses!$B$1:$G$1000,4,FALSE)))</f>
        <v/>
      </c>
      <c r="AE357" s="16" t="str">
        <f>IF(ISERROR(VLOOKUP($AB357&amp;"-"&amp;$F357,Bonuses!$B$1:$G$1000,5,FALSE)),"",IF(VLOOKUP($AB357&amp;"-"&amp;$F357,Bonuses!$B$1:$G$1000,5,FALSE)="","",VLOOKUP($AB357&amp;"-"&amp;$F357,Bonuses!$B$1:$G$1000,6,FALSE)&amp;" yrs, "&amp;VLOOKUP($AB357&amp;"-"&amp;$F357,Bonuses!$B$1:$G$1000,5,FALSE)))</f>
        <v/>
      </c>
    </row>
    <row r="358" spans="1:31" s="21" customFormat="1">
      <c r="A358" s="21" t="s">
        <v>671</v>
      </c>
      <c r="B358" s="21">
        <f t="shared" si="20"/>
        <v>1</v>
      </c>
      <c r="C358" s="21" t="str">
        <f t="shared" si="21"/>
        <v>P</v>
      </c>
      <c r="D358" s="17">
        <f>IF($C358="B",VLOOKUP($A358,Bat!$A$4:$BD$2323,D$1,FALSE),VLOOKUP($A358,Pit!$A$4:$AZ$2261,D$2,FALSE))</f>
        <v>11035</v>
      </c>
      <c r="E358" s="16" t="str">
        <f>IF($C358="B",VLOOKUP($A358,Bat!$A$4:$BD$2323,E$1,FALSE),VLOOKUP($A358,Pit!$A$4:$AZ$2261,E$2,FALSE))</f>
        <v>SP</v>
      </c>
      <c r="F358" s="16" t="str">
        <f>IF($C358="B",VLOOKUP($A358,Bat!$A$4:$BD$2323,F$1,FALSE),VLOOKUP($A358,Pit!$A$4:$AZ$2261,F$2,FALSE))</f>
        <v>Gabriel Sandoval</v>
      </c>
      <c r="G358" s="16">
        <f>IF($C358="B",VLOOKUP($A358,Bat!$A$4:$BD$2323,G$1,FALSE),VLOOKUP($A358,Pit!$A$4:$AZ$2261,G$2,FALSE))</f>
        <v>23</v>
      </c>
      <c r="H358" s="16" t="str">
        <f>IF($C358="B",VLOOKUP($A358,Bat!$A$4:$BD$2323,H$1,FALSE),VLOOKUP($A358,Pit!$A$4:$AZ$2261,H$2,FALSE))</f>
        <v>L</v>
      </c>
      <c r="I358" s="16" t="str">
        <f>IF($C358="B",VLOOKUP($A358,Bat!$A$4:$BD$2323,I$1,FALSE),VLOOKUP($A358,Pit!$A$4:$AZ$2261,I$2,FALSE))</f>
        <v>L</v>
      </c>
      <c r="J358" s="16" t="str">
        <f>IF($C358="B",VLOOKUP($A358,Bat!$A$4:$BD$2323,J$1,FALSE),VLOOKUP($A358,Pit!$A$4:$AZ$2261,J$2,FALSE))</f>
        <v>Very High</v>
      </c>
      <c r="K358" s="17" t="str">
        <f>IF($C358="B",VLOOKUP($A358,Bat!$A$4:$BD$2323,K$1,FALSE),VLOOKUP($A358,Pit!$A$4:$AZ$2261,K$2,FALSE))</f>
        <v>Low</v>
      </c>
      <c r="L358" s="16">
        <f>IF($C358="B",VLOOKUP($A358,Bat!$A$4:$BD$2323,L$1,FALSE),VLOOKUP($A358,Pit!$A$4:$AZ$2261,L$2,FALSE))</f>
        <v>5</v>
      </c>
      <c r="M358" s="16">
        <f>IF($C358="B",VLOOKUP($A358,Bat!$A$4:$BD$2323,M$1,FALSE),VLOOKUP($A358,Pit!$A$4:$AZ$2261,M$2,FALSE))</f>
        <v>6</v>
      </c>
      <c r="N358" s="16">
        <f>IF($C358="B",VLOOKUP($A358,Bat!$A$4:$BD$2323,N$1,FALSE),VLOOKUP($A358,Pit!$A$4:$AZ$2261,N$2,FALSE))</f>
        <v>4</v>
      </c>
      <c r="O358" s="16" t="str">
        <f>IF($C358="B",VLOOKUP($A358,Bat!$A$4:$BD$2323,O$1,FALSE),VLOOKUP($A358,Pit!$A$4:$AZ$2261,O$2,FALSE))</f>
        <v>91-93 Mph</v>
      </c>
      <c r="P358" s="17">
        <f>IF($C358="B",VLOOKUP($A358,Bat!$A$4:$BD$2323,P$1,FALSE),VLOOKUP($A358,Pit!$A$4:$AZ$2261,P$2,FALSE))</f>
        <v>4</v>
      </c>
      <c r="Q358" s="18">
        <f>IF($C358="B",VLOOKUP($A358,Bat!$A$4:$BD$2323,Q$1,FALSE),VLOOKUP($A358,Pit!$A$4:$AZ$2261,Q$2,FALSE))</f>
        <v>37.646668819171964</v>
      </c>
      <c r="R358" s="19">
        <f>IF($C358="B",VLOOKUP($A358,Bat!$A$4:$BD$2323,R$1,FALSE),VLOOKUP($A358,Pit!$A$4:$AZ$2261,R$2,FALSE))</f>
        <v>0.29574974799434423</v>
      </c>
      <c r="S358" s="20">
        <f>IF($C358="B",VLOOKUP($A358,Bat!$A$4:$BD$2323,S$1,FALSE),VLOOKUP($A358,Pit!$A$4:$AZ$2261,S$2,FALSE))</f>
        <v>2200000</v>
      </c>
      <c r="T358" s="17" t="str">
        <f>IF(S358="Slot","",VLOOKUP(IF($C358="B",VLOOKUP($A358,Bat!$A$4:$AT$2323,T$1,FALSE),VLOOKUP($A358,Pit!$A$4:$BD$2261,T$2,FALSE)),COND!$A$34:$B$40,2,FALSE))</f>
        <v>EH</v>
      </c>
      <c r="U358" s="21">
        <f>IF($C358="B",VLOOKUP($A358,Bat!$A$4:$AR$1287,44,FALSE),VLOOKUP($A358,Pit!$A$4:$BB$1239,54,FALSE))</f>
        <v>0</v>
      </c>
      <c r="W358" s="21">
        <f t="shared" si="22"/>
        <v>0</v>
      </c>
      <c r="X358" s="22" t="e">
        <f t="shared" si="23"/>
        <v>#N/A</v>
      </c>
      <c r="Y358" s="16" t="str">
        <f>IF(ISERROR(VLOOKUP($E358&amp;$F358,Results!$A$2:$G$413,Y$1,FALSE)),"",VLOOKUP($E358&amp;$F358,Results!$A$2:$G$413,Y$1,FALSE))</f>
        <v/>
      </c>
      <c r="Z358" s="16" t="str">
        <f>IF(ISERROR(VLOOKUP($E358&amp;$F358,Results!$A$2:$G$413,Z$1,FALSE)),"",VLOOKUP($E358&amp;$F358,Results!$A$2:$G$413,Z$1,FALSE))</f>
        <v/>
      </c>
      <c r="AA358" s="16" t="str">
        <f>IF(ISERROR(VLOOKUP($E358&amp;$F358,Results!$A$2:$G$413,AA$1,FALSE)),"",VLOOKUP($E358&amp;$F358,Results!$A$2:$G$413,AA$1,FALSE))</f>
        <v/>
      </c>
      <c r="AB358" s="16" t="str">
        <f>IF(ISERROR(VLOOKUP($E358&amp;$F358,Results!$A$2:$G$413,AB$1,FALSE)),"",VLOOKUP($E358&amp;$F358,Results!$A$2:$G$413,AB$1,FALSE))</f>
        <v/>
      </c>
      <c r="AC358" s="16"/>
      <c r="AD358" s="20" t="str">
        <f>IF(ISERROR(VLOOKUP($AB358&amp;"-"&amp;$F358,Bonuses!$B$1:$G$1000,4,FALSE)),"",INT(VLOOKUP($AB358&amp;"-"&amp;$F358,Bonuses!$B$1:$G$1000,4,FALSE)))</f>
        <v/>
      </c>
      <c r="AE358" s="16" t="str">
        <f>IF(ISERROR(VLOOKUP($AB358&amp;"-"&amp;$F358,Bonuses!$B$1:$G$1000,5,FALSE)),"",IF(VLOOKUP($AB358&amp;"-"&amp;$F358,Bonuses!$B$1:$G$1000,5,FALSE)="","",VLOOKUP($AB358&amp;"-"&amp;$F358,Bonuses!$B$1:$G$1000,6,FALSE)&amp;" yrs, "&amp;VLOOKUP($AB358&amp;"-"&amp;$F358,Bonuses!$B$1:$G$1000,5,FALSE)))</f>
        <v/>
      </c>
    </row>
    <row r="359" spans="1:31" s="21" customFormat="1">
      <c r="A359" s="21" t="s">
        <v>85</v>
      </c>
      <c r="B359" s="21">
        <f t="shared" si="20"/>
        <v>1</v>
      </c>
      <c r="C359" s="21" t="str">
        <f t="shared" si="21"/>
        <v>P</v>
      </c>
      <c r="D359" s="17" t="e">
        <f>IF($C359="B",VLOOKUP($A359,Bat!$A$4:$BD$2323,D$1,FALSE),VLOOKUP($A359,Pit!$A$4:$AZ$2261,D$2,FALSE))</f>
        <v>#N/A</v>
      </c>
      <c r="E359" s="16" t="e">
        <f>IF($C359="B",VLOOKUP($A359,Bat!$A$4:$BD$2323,E$1,FALSE),VLOOKUP($A359,Pit!$A$4:$AZ$2261,E$2,FALSE))</f>
        <v>#N/A</v>
      </c>
      <c r="F359" s="16" t="e">
        <f>IF($C359="B",VLOOKUP($A359,Bat!$A$4:$BD$2323,F$1,FALSE),VLOOKUP($A359,Pit!$A$4:$AZ$2261,F$2,FALSE))</f>
        <v>#N/A</v>
      </c>
      <c r="G359" s="16" t="e">
        <f>IF($C359="B",VLOOKUP($A359,Bat!$A$4:$BD$2323,G$1,FALSE),VLOOKUP($A359,Pit!$A$4:$AZ$2261,G$2,FALSE))</f>
        <v>#N/A</v>
      </c>
      <c r="H359" s="16" t="e">
        <f>IF($C359="B",VLOOKUP($A359,Bat!$A$4:$BD$2323,H$1,FALSE),VLOOKUP($A359,Pit!$A$4:$AZ$2261,H$2,FALSE))</f>
        <v>#N/A</v>
      </c>
      <c r="I359" s="16" t="e">
        <f>IF($C359="B",VLOOKUP($A359,Bat!$A$4:$BD$2323,I$1,FALSE),VLOOKUP($A359,Pit!$A$4:$AZ$2261,I$2,FALSE))</f>
        <v>#N/A</v>
      </c>
      <c r="J359" s="16" t="e">
        <f>IF($C359="B",VLOOKUP($A359,Bat!$A$4:$BD$2323,J$1,FALSE),VLOOKUP($A359,Pit!$A$4:$AZ$2261,J$2,FALSE))</f>
        <v>#N/A</v>
      </c>
      <c r="K359" s="17" t="e">
        <f>IF($C359="B",VLOOKUP($A359,Bat!$A$4:$BD$2323,K$1,FALSE),VLOOKUP($A359,Pit!$A$4:$AZ$2261,K$2,FALSE))</f>
        <v>#N/A</v>
      </c>
      <c r="L359" s="16" t="e">
        <f>IF($C359="B",VLOOKUP($A359,Bat!$A$4:$BD$2323,L$1,FALSE),VLOOKUP($A359,Pit!$A$4:$AZ$2261,L$2,FALSE))</f>
        <v>#N/A</v>
      </c>
      <c r="M359" s="16" t="e">
        <f>IF($C359="B",VLOOKUP($A359,Bat!$A$4:$BD$2323,M$1,FALSE),VLOOKUP($A359,Pit!$A$4:$AZ$2261,M$2,FALSE))</f>
        <v>#N/A</v>
      </c>
      <c r="N359" s="16" t="e">
        <f>IF($C359="B",VLOOKUP($A359,Bat!$A$4:$BD$2323,N$1,FALSE),VLOOKUP($A359,Pit!$A$4:$AZ$2261,N$2,FALSE))</f>
        <v>#N/A</v>
      </c>
      <c r="O359" s="16" t="e">
        <f>IF($C359="B",VLOOKUP($A359,Bat!$A$4:$BD$2323,O$1,FALSE),VLOOKUP($A359,Pit!$A$4:$AZ$2261,O$2,FALSE))</f>
        <v>#N/A</v>
      </c>
      <c r="P359" s="17" t="e">
        <f>IF($C359="B",VLOOKUP($A359,Bat!$A$4:$BD$2323,P$1,FALSE),VLOOKUP($A359,Pit!$A$4:$AZ$2261,P$2,FALSE))</f>
        <v>#N/A</v>
      </c>
      <c r="Q359" s="18" t="e">
        <f>IF($C359="B",VLOOKUP($A359,Bat!$A$4:$BD$2323,Q$1,FALSE),VLOOKUP($A359,Pit!$A$4:$AZ$2261,Q$2,FALSE))</f>
        <v>#N/A</v>
      </c>
      <c r="R359" s="19" t="e">
        <f>IF($C359="B",VLOOKUP($A359,Bat!$A$4:$BD$2323,R$1,FALSE),VLOOKUP($A359,Pit!$A$4:$AZ$2261,R$2,FALSE))</f>
        <v>#N/A</v>
      </c>
      <c r="S359" s="20" t="e">
        <f>IF($C359="B",VLOOKUP($A359,Bat!$A$4:$BD$2323,S$1,FALSE),VLOOKUP($A359,Pit!$A$4:$AZ$2261,S$2,FALSE))</f>
        <v>#N/A</v>
      </c>
      <c r="T359" s="17" t="e">
        <f>IF(S359="Slot","",VLOOKUP(IF($C359="B",VLOOKUP($A359,Bat!$A$4:$AT$2323,T$1,FALSE),VLOOKUP($A359,Pit!$A$4:$BD$2261,T$2,FALSE)),COND!$A$34:$B$40,2,FALSE))</f>
        <v>#N/A</v>
      </c>
      <c r="U359" s="21" t="e">
        <f>IF($C359="B",VLOOKUP($A359,Bat!$A$4:$AR$1287,44,FALSE),VLOOKUP($A359,Pit!$A$4:$BB$1239,54,FALSE))</f>
        <v>#N/A</v>
      </c>
      <c r="W359" s="21" t="e">
        <f t="shared" si="22"/>
        <v>#N/A</v>
      </c>
      <c r="X359" s="22" t="e">
        <f t="shared" si="23"/>
        <v>#N/A</v>
      </c>
      <c r="Y359" s="16" t="str">
        <f>IF(ISERROR(VLOOKUP($E359&amp;$F359,Results!$A$2:$G$413,Y$1,FALSE)),"",VLOOKUP($E359&amp;$F359,Results!$A$2:$G$413,Y$1,FALSE))</f>
        <v/>
      </c>
      <c r="Z359" s="16" t="str">
        <f>IF(ISERROR(VLOOKUP($E359&amp;$F359,Results!$A$2:$G$413,Z$1,FALSE)),"",VLOOKUP($E359&amp;$F359,Results!$A$2:$G$413,Z$1,FALSE))</f>
        <v/>
      </c>
      <c r="AA359" s="16" t="str">
        <f>IF(ISERROR(VLOOKUP($E359&amp;$F359,Results!$A$2:$G$413,AA$1,FALSE)),"",VLOOKUP($E359&amp;$F359,Results!$A$2:$G$413,AA$1,FALSE))</f>
        <v/>
      </c>
      <c r="AB359" s="16" t="str">
        <f>IF(ISERROR(VLOOKUP($E359&amp;$F359,Results!$A$2:$G$413,AB$1,FALSE)),"",VLOOKUP($E359&amp;$F359,Results!$A$2:$G$413,AB$1,FALSE))</f>
        <v/>
      </c>
      <c r="AC359" s="16"/>
      <c r="AD359" s="20" t="str">
        <f>IF(ISERROR(VLOOKUP($AB359&amp;"-"&amp;$F359,Bonuses!$B$1:$G$1000,4,FALSE)),"",INT(VLOOKUP($AB359&amp;"-"&amp;$F359,Bonuses!$B$1:$G$1000,4,FALSE)))</f>
        <v/>
      </c>
      <c r="AE359" s="16" t="str">
        <f>IF(ISERROR(VLOOKUP($AB359&amp;"-"&amp;$F359,Bonuses!$B$1:$G$1000,5,FALSE)),"",IF(VLOOKUP($AB359&amp;"-"&amp;$F359,Bonuses!$B$1:$G$1000,5,FALSE)="","",VLOOKUP($AB359&amp;"-"&amp;$F359,Bonuses!$B$1:$G$1000,6,FALSE)&amp;" yrs, "&amp;VLOOKUP($AB359&amp;"-"&amp;$F359,Bonuses!$B$1:$G$1000,5,FALSE)))</f>
        <v/>
      </c>
    </row>
    <row r="360" spans="1:31" s="21" customFormat="1">
      <c r="A360" s="21" t="s">
        <v>792</v>
      </c>
      <c r="B360" s="21">
        <f t="shared" si="20"/>
        <v>1</v>
      </c>
      <c r="C360" s="21" t="str">
        <f t="shared" si="21"/>
        <v>P</v>
      </c>
      <c r="D360" s="17">
        <f>IF($C360="B",VLOOKUP($A360,Bat!$A$4:$BD$2323,D$1,FALSE),VLOOKUP($A360,Pit!$A$4:$AZ$2261,D$2,FALSE))</f>
        <v>4041</v>
      </c>
      <c r="E360" s="16" t="str">
        <f>IF($C360="B",VLOOKUP($A360,Bat!$A$4:$BD$2323,E$1,FALSE),VLOOKUP($A360,Pit!$A$4:$AZ$2261,E$2,FALSE))</f>
        <v>SP</v>
      </c>
      <c r="F360" s="16" t="str">
        <f>IF($C360="B",VLOOKUP($A360,Bat!$A$4:$BD$2323,F$1,FALSE),VLOOKUP($A360,Pit!$A$4:$AZ$2261,F$2,FALSE))</f>
        <v>Miguel Salazar</v>
      </c>
      <c r="G360" s="16">
        <f>IF($C360="B",VLOOKUP($A360,Bat!$A$4:$BD$2323,G$1,FALSE),VLOOKUP($A360,Pit!$A$4:$AZ$2261,G$2,FALSE))</f>
        <v>21</v>
      </c>
      <c r="H360" s="16" t="str">
        <f>IF($C360="B",VLOOKUP($A360,Bat!$A$4:$BD$2323,H$1,FALSE),VLOOKUP($A360,Pit!$A$4:$AZ$2261,H$2,FALSE))</f>
        <v>R</v>
      </c>
      <c r="I360" s="16" t="str">
        <f>IF($C360="B",VLOOKUP($A360,Bat!$A$4:$BD$2323,I$1,FALSE),VLOOKUP($A360,Pit!$A$4:$AZ$2261,I$2,FALSE))</f>
        <v>R</v>
      </c>
      <c r="J360" s="16" t="str">
        <f>IF($C360="B",VLOOKUP($A360,Bat!$A$4:$BD$2323,J$1,FALSE),VLOOKUP($A360,Pit!$A$4:$AZ$2261,J$2,FALSE))</f>
        <v>Normal</v>
      </c>
      <c r="K360" s="17" t="str">
        <f>IF($C360="B",VLOOKUP($A360,Bat!$A$4:$BD$2323,K$1,FALSE),VLOOKUP($A360,Pit!$A$4:$AZ$2261,K$2,FALSE))</f>
        <v>Low</v>
      </c>
      <c r="L360" s="16">
        <f>IF($C360="B",VLOOKUP($A360,Bat!$A$4:$BD$2323,L$1,FALSE),VLOOKUP($A360,Pit!$A$4:$AZ$2261,L$2,FALSE))</f>
        <v>6</v>
      </c>
      <c r="M360" s="16">
        <f>IF($C360="B",VLOOKUP($A360,Bat!$A$4:$BD$2323,M$1,FALSE),VLOOKUP($A360,Pit!$A$4:$AZ$2261,M$2,FALSE))</f>
        <v>4</v>
      </c>
      <c r="N360" s="16">
        <f>IF($C360="B",VLOOKUP($A360,Bat!$A$4:$BD$2323,N$1,FALSE),VLOOKUP($A360,Pit!$A$4:$AZ$2261,N$2,FALSE))</f>
        <v>4</v>
      </c>
      <c r="O360" s="16" t="str">
        <f>IF($C360="B",VLOOKUP($A360,Bat!$A$4:$BD$2323,O$1,FALSE),VLOOKUP($A360,Pit!$A$4:$AZ$2261,O$2,FALSE))</f>
        <v>96-98 Mph</v>
      </c>
      <c r="P360" s="17">
        <f>IF($C360="B",VLOOKUP($A360,Bat!$A$4:$BD$2323,P$1,FALSE),VLOOKUP($A360,Pit!$A$4:$AZ$2261,P$2,FALSE))</f>
        <v>9</v>
      </c>
      <c r="Q360" s="18">
        <f>IF($C360="B",VLOOKUP($A360,Bat!$A$4:$BD$2323,Q$1,FALSE),VLOOKUP($A360,Pit!$A$4:$AZ$2261,Q$2,FALSE))</f>
        <v>37.127054642090059</v>
      </c>
      <c r="R360" s="19">
        <f>IF($C360="B",VLOOKUP($A360,Bat!$A$4:$BD$2323,R$1,FALSE),VLOOKUP($A360,Pit!$A$4:$AZ$2261,R$2,FALSE))</f>
        <v>0.25449937614682722</v>
      </c>
      <c r="S360" s="20" t="str">
        <f>IF($C360="B",VLOOKUP($A360,Bat!$A$4:$BD$2323,S$1,FALSE),VLOOKUP($A360,Pit!$A$4:$AZ$2261,S$2,FALSE))</f>
        <v>Slot</v>
      </c>
      <c r="T360" s="17" t="str">
        <f>IF(S360="Slot","",VLOOKUP(IF($C360="B",VLOOKUP($A360,Bat!$A$4:$AT$2323,T$1,FALSE),VLOOKUP($A360,Pit!$A$4:$BD$2261,T$2,FALSE)),COND!$A$34:$B$40,2,FALSE))</f>
        <v/>
      </c>
      <c r="U360" s="21">
        <f>IF($C360="B",VLOOKUP($A360,Bat!$A$4:$AR$1287,44,FALSE),VLOOKUP($A360,Pit!$A$4:$BB$1239,54,FALSE))</f>
        <v>0</v>
      </c>
      <c r="W360" s="21">
        <f t="shared" si="22"/>
        <v>0</v>
      </c>
      <c r="X360" s="22" t="e">
        <f t="shared" si="23"/>
        <v>#N/A</v>
      </c>
      <c r="Y360" s="16" t="str">
        <f>IF(ISERROR(VLOOKUP($E360&amp;$F360,Results!$A$2:$G$413,Y$1,FALSE)),"",VLOOKUP($E360&amp;$F360,Results!$A$2:$G$413,Y$1,FALSE))</f>
        <v/>
      </c>
      <c r="Z360" s="16" t="str">
        <f>IF(ISERROR(VLOOKUP($E360&amp;$F360,Results!$A$2:$G$413,Z$1,FALSE)),"",VLOOKUP($E360&amp;$F360,Results!$A$2:$G$413,Z$1,FALSE))</f>
        <v/>
      </c>
      <c r="AA360" s="16" t="str">
        <f>IF(ISERROR(VLOOKUP($E360&amp;$F360,Results!$A$2:$G$413,AA$1,FALSE)),"",VLOOKUP($E360&amp;$F360,Results!$A$2:$G$413,AA$1,FALSE))</f>
        <v/>
      </c>
      <c r="AB360" s="16" t="str">
        <f>IF(ISERROR(VLOOKUP($E360&amp;$F360,Results!$A$2:$G$413,AB$1,FALSE)),"",VLOOKUP($E360&amp;$F360,Results!$A$2:$G$413,AB$1,FALSE))</f>
        <v/>
      </c>
      <c r="AC360" s="16"/>
      <c r="AD360" s="20" t="str">
        <f>IF(ISERROR(VLOOKUP($AB360&amp;"-"&amp;$F360,Bonuses!$B$1:$G$1000,4,FALSE)),"",INT(VLOOKUP($AB360&amp;"-"&amp;$F360,Bonuses!$B$1:$G$1000,4,FALSE)))</f>
        <v/>
      </c>
      <c r="AE360" s="16" t="str">
        <f>IF(ISERROR(VLOOKUP($AB360&amp;"-"&amp;$F360,Bonuses!$B$1:$G$1000,5,FALSE)),"",IF(VLOOKUP($AB360&amp;"-"&amp;$F360,Bonuses!$B$1:$G$1000,5,FALSE)="","",VLOOKUP($AB360&amp;"-"&amp;$F360,Bonuses!$B$1:$G$1000,6,FALSE)&amp;" yrs, "&amp;VLOOKUP($AB360&amp;"-"&amp;$F360,Bonuses!$B$1:$G$1000,5,FALSE)))</f>
        <v/>
      </c>
    </row>
    <row r="361" spans="1:31" s="21" customFormat="1">
      <c r="A361" s="21" t="s">
        <v>662</v>
      </c>
      <c r="B361" s="21">
        <f t="shared" si="20"/>
        <v>1</v>
      </c>
      <c r="C361" s="21" t="str">
        <f t="shared" si="21"/>
        <v>P</v>
      </c>
      <c r="D361" s="17">
        <f>IF($C361="B",VLOOKUP($A361,Bat!$A$4:$BD$2323,D$1,FALSE),VLOOKUP($A361,Pit!$A$4:$AZ$2261,D$2,FALSE))</f>
        <v>2847</v>
      </c>
      <c r="E361" s="16" t="str">
        <f>IF($C361="B",VLOOKUP($A361,Bat!$A$4:$BD$2323,E$1,FALSE),VLOOKUP($A361,Pit!$A$4:$AZ$2261,E$2,FALSE))</f>
        <v>MR</v>
      </c>
      <c r="F361" s="16" t="str">
        <f>IF($C361="B",VLOOKUP($A361,Bat!$A$4:$BD$2323,F$1,FALSE),VLOOKUP($A361,Pit!$A$4:$AZ$2261,F$2,FALSE))</f>
        <v>Michael Burgess</v>
      </c>
      <c r="G361" s="16">
        <f>IF($C361="B",VLOOKUP($A361,Bat!$A$4:$BD$2323,G$1,FALSE),VLOOKUP($A361,Pit!$A$4:$AZ$2261,G$2,FALSE))</f>
        <v>21</v>
      </c>
      <c r="H361" s="16" t="str">
        <f>IF($C361="B",VLOOKUP($A361,Bat!$A$4:$BD$2323,H$1,FALSE),VLOOKUP($A361,Pit!$A$4:$AZ$2261,H$2,FALSE))</f>
        <v>R</v>
      </c>
      <c r="I361" s="16" t="str">
        <f>IF($C361="B",VLOOKUP($A361,Bat!$A$4:$BD$2323,I$1,FALSE),VLOOKUP($A361,Pit!$A$4:$AZ$2261,I$2,FALSE))</f>
        <v>R</v>
      </c>
      <c r="J361" s="16" t="str">
        <f>IF($C361="B",VLOOKUP($A361,Bat!$A$4:$BD$2323,J$1,FALSE),VLOOKUP($A361,Pit!$A$4:$AZ$2261,J$2,FALSE))</f>
        <v>Low</v>
      </c>
      <c r="K361" s="17" t="str">
        <f>IF($C361="B",VLOOKUP($A361,Bat!$A$4:$BD$2323,K$1,FALSE),VLOOKUP($A361,Pit!$A$4:$AZ$2261,K$2,FALSE))</f>
        <v>Very High</v>
      </c>
      <c r="L361" s="16">
        <f>IF($C361="B",VLOOKUP($A361,Bat!$A$4:$BD$2323,L$1,FALSE),VLOOKUP($A361,Pit!$A$4:$AZ$2261,L$2,FALSE))</f>
        <v>7</v>
      </c>
      <c r="M361" s="16">
        <f>IF($C361="B",VLOOKUP($A361,Bat!$A$4:$BD$2323,M$1,FALSE),VLOOKUP($A361,Pit!$A$4:$AZ$2261,M$2,FALSE))</f>
        <v>4</v>
      </c>
      <c r="N361" s="16">
        <f>IF($C361="B",VLOOKUP($A361,Bat!$A$4:$BD$2323,N$1,FALSE),VLOOKUP($A361,Pit!$A$4:$AZ$2261,N$2,FALSE))</f>
        <v>4</v>
      </c>
      <c r="O361" s="16" t="str">
        <f>IF($C361="B",VLOOKUP($A361,Bat!$A$4:$BD$2323,O$1,FALSE),VLOOKUP($A361,Pit!$A$4:$AZ$2261,O$2,FALSE))</f>
        <v>97-99 Mph</v>
      </c>
      <c r="P361" s="17">
        <f>IF($C361="B",VLOOKUP($A361,Bat!$A$4:$BD$2323,P$1,FALSE),VLOOKUP($A361,Pit!$A$4:$AZ$2261,P$2,FALSE))</f>
        <v>3</v>
      </c>
      <c r="Q361" s="18">
        <f>IF($C361="B",VLOOKUP($A361,Bat!$A$4:$BD$2323,Q$1,FALSE),VLOOKUP($A361,Pit!$A$4:$AZ$2261,Q$2,FALSE))</f>
        <v>37.398231333943563</v>
      </c>
      <c r="R361" s="19">
        <f>IF($C361="B",VLOOKUP($A361,Bat!$A$4:$BD$2323,R$1,FALSE),VLOOKUP($A361,Pit!$A$4:$AZ$2261,R$2,FALSE))</f>
        <v>0.27602715554298746</v>
      </c>
      <c r="S361" s="20" t="str">
        <f>IF($C361="B",VLOOKUP($A361,Bat!$A$4:$BD$2323,S$1,FALSE),VLOOKUP($A361,Pit!$A$4:$AZ$2261,S$2,FALSE))</f>
        <v>Slot</v>
      </c>
      <c r="T361" s="17" t="str">
        <f>IF(S361="Slot","",VLOOKUP(IF($C361="B",VLOOKUP($A361,Bat!$A$4:$AT$2323,T$1,FALSE),VLOOKUP($A361,Pit!$A$4:$BD$2261,T$2,FALSE)),COND!$A$34:$B$40,2,FALSE))</f>
        <v/>
      </c>
      <c r="U361" s="21">
        <f>IF($C361="B",VLOOKUP($A361,Bat!$A$4:$AR$1287,44,FALSE),VLOOKUP($A361,Pit!$A$4:$BB$1239,54,FALSE))</f>
        <v>0</v>
      </c>
      <c r="W361" s="21">
        <f t="shared" si="22"/>
        <v>0</v>
      </c>
      <c r="X361" s="22" t="e">
        <f t="shared" si="23"/>
        <v>#N/A</v>
      </c>
      <c r="Y361" s="16" t="str">
        <f>IF(ISERROR(VLOOKUP($E361&amp;$F361,Results!$A$2:$G$413,Y$1,FALSE)),"",VLOOKUP($E361&amp;$F361,Results!$A$2:$G$413,Y$1,FALSE))</f>
        <v/>
      </c>
      <c r="Z361" s="16" t="str">
        <f>IF(ISERROR(VLOOKUP($E361&amp;$F361,Results!$A$2:$G$413,Z$1,FALSE)),"",VLOOKUP($E361&amp;$F361,Results!$A$2:$G$413,Z$1,FALSE))</f>
        <v/>
      </c>
      <c r="AA361" s="16" t="str">
        <f>IF(ISERROR(VLOOKUP($E361&amp;$F361,Results!$A$2:$G$413,AA$1,FALSE)),"",VLOOKUP($E361&amp;$F361,Results!$A$2:$G$413,AA$1,FALSE))</f>
        <v/>
      </c>
      <c r="AB361" s="16" t="str">
        <f>IF(ISERROR(VLOOKUP($E361&amp;$F361,Results!$A$2:$G$413,AB$1,FALSE)),"",VLOOKUP($E361&amp;$F361,Results!$A$2:$G$413,AB$1,FALSE))</f>
        <v/>
      </c>
      <c r="AC361" s="16"/>
      <c r="AD361" s="20" t="str">
        <f>IF(ISERROR(VLOOKUP($AB361&amp;"-"&amp;$F361,Bonuses!$B$1:$G$1000,4,FALSE)),"",INT(VLOOKUP($AB361&amp;"-"&amp;$F361,Bonuses!$B$1:$G$1000,4,FALSE)))</f>
        <v/>
      </c>
      <c r="AE361" s="16" t="str">
        <f>IF(ISERROR(VLOOKUP($AB361&amp;"-"&amp;$F361,Bonuses!$B$1:$G$1000,5,FALSE)),"",IF(VLOOKUP($AB361&amp;"-"&amp;$F361,Bonuses!$B$1:$G$1000,5,FALSE)="","",VLOOKUP($AB361&amp;"-"&amp;$F361,Bonuses!$B$1:$G$1000,6,FALSE)&amp;" yrs, "&amp;VLOOKUP($AB361&amp;"-"&amp;$F361,Bonuses!$B$1:$G$1000,5,FALSE)))</f>
        <v/>
      </c>
    </row>
    <row r="362" spans="1:31" s="21" customFormat="1">
      <c r="A362" s="21" t="s">
        <v>806</v>
      </c>
      <c r="B362" s="21">
        <f t="shared" si="20"/>
        <v>1</v>
      </c>
      <c r="C362" s="21" t="str">
        <f t="shared" si="21"/>
        <v>P</v>
      </c>
      <c r="D362" s="17">
        <f>IF($C362="B",VLOOKUP($A362,Bat!$A$4:$BD$2323,D$1,FALSE),VLOOKUP($A362,Pit!$A$4:$AZ$2261,D$2,FALSE))</f>
        <v>13913</v>
      </c>
      <c r="E362" s="16" t="str">
        <f>IF($C362="B",VLOOKUP($A362,Bat!$A$4:$BD$2323,E$1,FALSE),VLOOKUP($A362,Pit!$A$4:$AZ$2261,E$2,FALSE))</f>
        <v>SP</v>
      </c>
      <c r="F362" s="16" t="str">
        <f>IF($C362="B",VLOOKUP($A362,Bat!$A$4:$BD$2323,F$1,FALSE),VLOOKUP($A362,Pit!$A$4:$AZ$2261,F$2,FALSE))</f>
        <v>Tomás Miranda</v>
      </c>
      <c r="G362" s="16">
        <f>IF($C362="B",VLOOKUP($A362,Bat!$A$4:$BD$2323,G$1,FALSE),VLOOKUP($A362,Pit!$A$4:$AZ$2261,G$2,FALSE))</f>
        <v>20</v>
      </c>
      <c r="H362" s="16" t="str">
        <f>IF($C362="B",VLOOKUP($A362,Bat!$A$4:$BD$2323,H$1,FALSE),VLOOKUP($A362,Pit!$A$4:$AZ$2261,H$2,FALSE))</f>
        <v>S</v>
      </c>
      <c r="I362" s="16" t="str">
        <f>IF($C362="B",VLOOKUP($A362,Bat!$A$4:$BD$2323,I$1,FALSE),VLOOKUP($A362,Pit!$A$4:$AZ$2261,I$2,FALSE))</f>
        <v>R</v>
      </c>
      <c r="J362" s="16" t="str">
        <f>IF($C362="B",VLOOKUP($A362,Bat!$A$4:$BD$2323,J$1,FALSE),VLOOKUP($A362,Pit!$A$4:$AZ$2261,J$2,FALSE))</f>
        <v>Normal</v>
      </c>
      <c r="K362" s="17" t="str">
        <f>IF($C362="B",VLOOKUP($A362,Bat!$A$4:$BD$2323,K$1,FALSE),VLOOKUP($A362,Pit!$A$4:$AZ$2261,K$2,FALSE))</f>
        <v>High</v>
      </c>
      <c r="L362" s="16">
        <f>IF($C362="B",VLOOKUP($A362,Bat!$A$4:$BD$2323,L$1,FALSE),VLOOKUP($A362,Pit!$A$4:$AZ$2261,L$2,FALSE))</f>
        <v>4</v>
      </c>
      <c r="M362" s="16">
        <f>IF($C362="B",VLOOKUP($A362,Bat!$A$4:$BD$2323,M$1,FALSE),VLOOKUP($A362,Pit!$A$4:$AZ$2261,M$2,FALSE))</f>
        <v>4</v>
      </c>
      <c r="N362" s="16">
        <f>IF($C362="B",VLOOKUP($A362,Bat!$A$4:$BD$2323,N$1,FALSE),VLOOKUP($A362,Pit!$A$4:$AZ$2261,N$2,FALSE))</f>
        <v>6</v>
      </c>
      <c r="O362" s="16" t="str">
        <f>IF($C362="B",VLOOKUP($A362,Bat!$A$4:$BD$2323,O$1,FALSE),VLOOKUP($A362,Pit!$A$4:$AZ$2261,O$2,FALSE))</f>
        <v>93-95 Mph</v>
      </c>
      <c r="P362" s="17">
        <f>IF($C362="B",VLOOKUP($A362,Bat!$A$4:$BD$2323,P$1,FALSE),VLOOKUP($A362,Pit!$A$4:$AZ$2261,P$2,FALSE))</f>
        <v>8</v>
      </c>
      <c r="Q362" s="18">
        <f>IF($C362="B",VLOOKUP($A362,Bat!$A$4:$BD$2323,Q$1,FALSE),VLOOKUP($A362,Pit!$A$4:$AZ$2261,Q$2,FALSE))</f>
        <v>37.759062667518464</v>
      </c>
      <c r="R362" s="19">
        <f>IF($C362="B",VLOOKUP($A362,Bat!$A$4:$BD$2323,R$1,FALSE),VLOOKUP($A362,Pit!$A$4:$AZ$2261,R$2,FALSE))</f>
        <v>0.30467230677382834</v>
      </c>
      <c r="S362" s="20">
        <f>IF($C362="B",VLOOKUP($A362,Bat!$A$4:$BD$2323,S$1,FALSE),VLOOKUP($A362,Pit!$A$4:$AZ$2261,S$2,FALSE))</f>
        <v>190000</v>
      </c>
      <c r="T362" s="17" t="str">
        <f>IF(S362="Slot","",VLOOKUP(IF($C362="B",VLOOKUP($A362,Bat!$A$4:$AT$2323,T$1,FALSE),VLOOKUP($A362,Pit!$A$4:$BD$2261,T$2,FALSE)),COND!$A$34:$B$40,2,FALSE))</f>
        <v>H</v>
      </c>
      <c r="U362" s="21">
        <f>IF($C362="B",VLOOKUP($A362,Bat!$A$4:$AR$1287,44,FALSE),VLOOKUP($A362,Pit!$A$4:$BB$1239,54,FALSE))</f>
        <v>0</v>
      </c>
      <c r="W362" s="21">
        <f t="shared" si="22"/>
        <v>0</v>
      </c>
      <c r="X362" s="22" t="e">
        <f t="shared" si="23"/>
        <v>#N/A</v>
      </c>
      <c r="Y362" s="16" t="str">
        <f>IF(ISERROR(VLOOKUP($E362&amp;$F362,Results!$A$2:$G$413,Y$1,FALSE)),"",VLOOKUP($E362&amp;$F362,Results!$A$2:$G$413,Y$1,FALSE))</f>
        <v/>
      </c>
      <c r="Z362" s="16" t="str">
        <f>IF(ISERROR(VLOOKUP($E362&amp;$F362,Results!$A$2:$G$413,Z$1,FALSE)),"",VLOOKUP($E362&amp;$F362,Results!$A$2:$G$413,Z$1,FALSE))</f>
        <v/>
      </c>
      <c r="AA362" s="16" t="str">
        <f>IF(ISERROR(VLOOKUP($E362&amp;$F362,Results!$A$2:$G$413,AA$1,FALSE)),"",VLOOKUP($E362&amp;$F362,Results!$A$2:$G$413,AA$1,FALSE))</f>
        <v/>
      </c>
      <c r="AB362" s="16" t="str">
        <f>IF(ISERROR(VLOOKUP($E362&amp;$F362,Results!$A$2:$G$413,AB$1,FALSE)),"",VLOOKUP($E362&amp;$F362,Results!$A$2:$G$413,AB$1,FALSE))</f>
        <v/>
      </c>
      <c r="AC362" s="16"/>
      <c r="AD362" s="20" t="str">
        <f>IF(ISERROR(VLOOKUP($AB362&amp;"-"&amp;$F362,Bonuses!$B$1:$G$1000,4,FALSE)),"",INT(VLOOKUP($AB362&amp;"-"&amp;$F362,Bonuses!$B$1:$G$1000,4,FALSE)))</f>
        <v/>
      </c>
      <c r="AE362" s="16" t="str">
        <f>IF(ISERROR(VLOOKUP($AB362&amp;"-"&amp;$F362,Bonuses!$B$1:$G$1000,5,FALSE)),"",IF(VLOOKUP($AB362&amp;"-"&amp;$F362,Bonuses!$B$1:$G$1000,5,FALSE)="","",VLOOKUP($AB362&amp;"-"&amp;$F362,Bonuses!$B$1:$G$1000,6,FALSE)&amp;" yrs, "&amp;VLOOKUP($AB362&amp;"-"&amp;$F362,Bonuses!$B$1:$G$1000,5,FALSE)))</f>
        <v/>
      </c>
    </row>
    <row r="363" spans="1:31" s="21" customFormat="1">
      <c r="A363" s="21" t="s">
        <v>714</v>
      </c>
      <c r="B363" s="21">
        <f t="shared" si="20"/>
        <v>1</v>
      </c>
      <c r="C363" s="21" t="str">
        <f t="shared" si="21"/>
        <v>P</v>
      </c>
      <c r="D363" s="17">
        <f>IF($C363="B",VLOOKUP($A363,Bat!$A$4:$BD$2323,D$1,FALSE),VLOOKUP($A363,Pit!$A$4:$AZ$2261,D$2,FALSE))</f>
        <v>2426</v>
      </c>
      <c r="E363" s="16" t="str">
        <f>IF($C363="B",VLOOKUP($A363,Bat!$A$4:$BD$2323,E$1,FALSE),VLOOKUP($A363,Pit!$A$4:$AZ$2261,E$2,FALSE))</f>
        <v>MR</v>
      </c>
      <c r="F363" s="16" t="str">
        <f>IF($C363="B",VLOOKUP($A363,Bat!$A$4:$BD$2323,F$1,FALSE),VLOOKUP($A363,Pit!$A$4:$AZ$2261,F$2,FALSE))</f>
        <v>Sean Robinson</v>
      </c>
      <c r="G363" s="16">
        <f>IF($C363="B",VLOOKUP($A363,Bat!$A$4:$BD$2323,G$1,FALSE),VLOOKUP($A363,Pit!$A$4:$AZ$2261,G$2,FALSE))</f>
        <v>21</v>
      </c>
      <c r="H363" s="16" t="str">
        <f>IF($C363="B",VLOOKUP($A363,Bat!$A$4:$BD$2323,H$1,FALSE),VLOOKUP($A363,Pit!$A$4:$AZ$2261,H$2,FALSE))</f>
        <v>R</v>
      </c>
      <c r="I363" s="16" t="str">
        <f>IF($C363="B",VLOOKUP($A363,Bat!$A$4:$BD$2323,I$1,FALSE),VLOOKUP($A363,Pit!$A$4:$AZ$2261,I$2,FALSE))</f>
        <v>R</v>
      </c>
      <c r="J363" s="16" t="str">
        <f>IF($C363="B",VLOOKUP($A363,Bat!$A$4:$BD$2323,J$1,FALSE),VLOOKUP($A363,Pit!$A$4:$AZ$2261,J$2,FALSE))</f>
        <v>Normal</v>
      </c>
      <c r="K363" s="17" t="str">
        <f>IF($C363="B",VLOOKUP($A363,Bat!$A$4:$BD$2323,K$1,FALSE),VLOOKUP($A363,Pit!$A$4:$AZ$2261,K$2,FALSE))</f>
        <v>Low</v>
      </c>
      <c r="L363" s="16">
        <f>IF($C363="B",VLOOKUP($A363,Bat!$A$4:$BD$2323,L$1,FALSE),VLOOKUP($A363,Pit!$A$4:$AZ$2261,L$2,FALSE))</f>
        <v>6</v>
      </c>
      <c r="M363" s="16">
        <f>IF($C363="B",VLOOKUP($A363,Bat!$A$4:$BD$2323,M$1,FALSE),VLOOKUP($A363,Pit!$A$4:$AZ$2261,M$2,FALSE))</f>
        <v>5</v>
      </c>
      <c r="N363" s="16">
        <f>IF($C363="B",VLOOKUP($A363,Bat!$A$4:$BD$2323,N$1,FALSE),VLOOKUP($A363,Pit!$A$4:$AZ$2261,N$2,FALSE))</f>
        <v>4</v>
      </c>
      <c r="O363" s="16" t="str">
        <f>IF($C363="B",VLOOKUP($A363,Bat!$A$4:$BD$2323,O$1,FALSE),VLOOKUP($A363,Pit!$A$4:$AZ$2261,O$2,FALSE))</f>
        <v>92-94 Mph</v>
      </c>
      <c r="P363" s="17">
        <f>IF($C363="B",VLOOKUP($A363,Bat!$A$4:$BD$2323,P$1,FALSE),VLOOKUP($A363,Pit!$A$4:$AZ$2261,P$2,FALSE))</f>
        <v>6</v>
      </c>
      <c r="Q363" s="18">
        <f>IF($C363="B",VLOOKUP($A363,Bat!$A$4:$BD$2323,Q$1,FALSE),VLOOKUP($A363,Pit!$A$4:$AZ$2261,Q$2,FALSE))</f>
        <v>35.725797700648954</v>
      </c>
      <c r="R363" s="19">
        <f>IF($C363="B",VLOOKUP($A363,Bat!$A$4:$BD$2323,R$1,FALSE),VLOOKUP($A363,Pit!$A$4:$AZ$2261,R$2,FALSE))</f>
        <v>0.14325843539156993</v>
      </c>
      <c r="S363" s="20" t="str">
        <f>IF($C363="B",VLOOKUP($A363,Bat!$A$4:$BD$2323,S$1,FALSE),VLOOKUP($A363,Pit!$A$4:$AZ$2261,S$2,FALSE))</f>
        <v>Slot</v>
      </c>
      <c r="T363" s="17" t="str">
        <f>IF(S363="Slot","",VLOOKUP(IF($C363="B",VLOOKUP($A363,Bat!$A$4:$AT$2323,T$1,FALSE),VLOOKUP($A363,Pit!$A$4:$BD$2261,T$2,FALSE)),COND!$A$34:$B$40,2,FALSE))</f>
        <v/>
      </c>
      <c r="U363" s="21">
        <f>IF($C363="B",VLOOKUP($A363,Bat!$A$4:$AR$1287,44,FALSE),VLOOKUP($A363,Pit!$A$4:$BB$1239,54,FALSE))</f>
        <v>0</v>
      </c>
      <c r="W363" s="21">
        <f t="shared" si="22"/>
        <v>0</v>
      </c>
      <c r="X363" s="22" t="e">
        <f t="shared" si="23"/>
        <v>#N/A</v>
      </c>
      <c r="Y363" s="16" t="str">
        <f>IF(ISERROR(VLOOKUP($E363&amp;$F363,Results!$A$2:$G$413,Y$1,FALSE)),"",VLOOKUP($E363&amp;$F363,Results!$A$2:$G$413,Y$1,FALSE))</f>
        <v/>
      </c>
      <c r="Z363" s="16" t="str">
        <f>IF(ISERROR(VLOOKUP($E363&amp;$F363,Results!$A$2:$G$413,Z$1,FALSE)),"",VLOOKUP($E363&amp;$F363,Results!$A$2:$G$413,Z$1,FALSE))</f>
        <v/>
      </c>
      <c r="AA363" s="16" t="str">
        <f>IF(ISERROR(VLOOKUP($E363&amp;$F363,Results!$A$2:$G$413,AA$1,FALSE)),"",VLOOKUP($E363&amp;$F363,Results!$A$2:$G$413,AA$1,FALSE))</f>
        <v/>
      </c>
      <c r="AB363" s="16" t="str">
        <f>IF(ISERROR(VLOOKUP($E363&amp;$F363,Results!$A$2:$G$413,AB$1,FALSE)),"",VLOOKUP($E363&amp;$F363,Results!$A$2:$G$413,AB$1,FALSE))</f>
        <v/>
      </c>
      <c r="AC363" s="16"/>
      <c r="AD363" s="20" t="str">
        <f>IF(ISERROR(VLOOKUP($AB363&amp;"-"&amp;$F363,Bonuses!$B$1:$G$1000,4,FALSE)),"",INT(VLOOKUP($AB363&amp;"-"&amp;$F363,Bonuses!$B$1:$G$1000,4,FALSE)))</f>
        <v/>
      </c>
      <c r="AE363" s="16" t="str">
        <f>IF(ISERROR(VLOOKUP($AB363&amp;"-"&amp;$F363,Bonuses!$B$1:$G$1000,5,FALSE)),"",IF(VLOOKUP($AB363&amp;"-"&amp;$F363,Bonuses!$B$1:$G$1000,5,FALSE)="","",VLOOKUP($AB363&amp;"-"&amp;$F363,Bonuses!$B$1:$G$1000,6,FALSE)&amp;" yrs, "&amp;VLOOKUP($AB363&amp;"-"&amp;$F363,Bonuses!$B$1:$G$1000,5,FALSE)))</f>
        <v/>
      </c>
    </row>
    <row r="364" spans="1:31" s="21" customFormat="1">
      <c r="A364" s="21" t="s">
        <v>718</v>
      </c>
      <c r="B364" s="21">
        <f t="shared" si="20"/>
        <v>1</v>
      </c>
      <c r="C364" s="21" t="str">
        <f t="shared" si="21"/>
        <v>P</v>
      </c>
      <c r="D364" s="17">
        <f>IF($C364="B",VLOOKUP($A364,Bat!$A$4:$BD$2323,D$1,FALSE),VLOOKUP($A364,Pit!$A$4:$AZ$2261,D$2,FALSE))</f>
        <v>1363</v>
      </c>
      <c r="E364" s="16" t="str">
        <f>IF($C364="B",VLOOKUP($A364,Bat!$A$4:$BD$2323,E$1,FALSE),VLOOKUP($A364,Pit!$A$4:$AZ$2261,E$2,FALSE))</f>
        <v>MR</v>
      </c>
      <c r="F364" s="16" t="str">
        <f>IF($C364="B",VLOOKUP($A364,Bat!$A$4:$BD$2323,F$1,FALSE),VLOOKUP($A364,Pit!$A$4:$AZ$2261,F$2,FALSE))</f>
        <v>Daniel Vaughn</v>
      </c>
      <c r="G364" s="16">
        <f>IF($C364="B",VLOOKUP($A364,Bat!$A$4:$BD$2323,G$1,FALSE),VLOOKUP($A364,Pit!$A$4:$AZ$2261,G$2,FALSE))</f>
        <v>18</v>
      </c>
      <c r="H364" s="16" t="str">
        <f>IF($C364="B",VLOOKUP($A364,Bat!$A$4:$BD$2323,H$1,FALSE),VLOOKUP($A364,Pit!$A$4:$AZ$2261,H$2,FALSE))</f>
        <v>R</v>
      </c>
      <c r="I364" s="16" t="str">
        <f>IF($C364="B",VLOOKUP($A364,Bat!$A$4:$BD$2323,I$1,FALSE),VLOOKUP($A364,Pit!$A$4:$AZ$2261,I$2,FALSE))</f>
        <v>R</v>
      </c>
      <c r="J364" s="16" t="str">
        <f>IF($C364="B",VLOOKUP($A364,Bat!$A$4:$BD$2323,J$1,FALSE),VLOOKUP($A364,Pit!$A$4:$AZ$2261,J$2,FALSE))</f>
        <v>Low</v>
      </c>
      <c r="K364" s="17" t="str">
        <f>IF($C364="B",VLOOKUP($A364,Bat!$A$4:$BD$2323,K$1,FALSE),VLOOKUP($A364,Pit!$A$4:$AZ$2261,K$2,FALSE))</f>
        <v>High</v>
      </c>
      <c r="L364" s="16">
        <f>IF($C364="B",VLOOKUP($A364,Bat!$A$4:$BD$2323,L$1,FALSE),VLOOKUP($A364,Pit!$A$4:$AZ$2261,L$2,FALSE))</f>
        <v>7</v>
      </c>
      <c r="M364" s="16">
        <f>IF($C364="B",VLOOKUP($A364,Bat!$A$4:$BD$2323,M$1,FALSE),VLOOKUP($A364,Pit!$A$4:$AZ$2261,M$2,FALSE))</f>
        <v>4</v>
      </c>
      <c r="N364" s="16">
        <f>IF($C364="B",VLOOKUP($A364,Bat!$A$4:$BD$2323,N$1,FALSE),VLOOKUP($A364,Pit!$A$4:$AZ$2261,N$2,FALSE))</f>
        <v>4</v>
      </c>
      <c r="O364" s="16" t="str">
        <f>IF($C364="B",VLOOKUP($A364,Bat!$A$4:$BD$2323,O$1,FALSE),VLOOKUP($A364,Pit!$A$4:$AZ$2261,O$2,FALSE))</f>
        <v>92-94 Mph</v>
      </c>
      <c r="P364" s="17">
        <f>IF($C364="B",VLOOKUP($A364,Bat!$A$4:$BD$2323,P$1,FALSE),VLOOKUP($A364,Pit!$A$4:$AZ$2261,P$2,FALSE))</f>
        <v>1</v>
      </c>
      <c r="Q364" s="18">
        <f>IF($C364="B",VLOOKUP($A364,Bat!$A$4:$BD$2323,Q$1,FALSE),VLOOKUP($A364,Pit!$A$4:$AZ$2261,Q$2,FALSE))</f>
        <v>36.092487614728</v>
      </c>
      <c r="R364" s="19">
        <f>IF($C364="B",VLOOKUP($A364,Bat!$A$4:$BD$2323,R$1,FALSE),VLOOKUP($A364,Pit!$A$4:$AZ$2261,R$2,FALSE))</f>
        <v>0.17236867906013414</v>
      </c>
      <c r="S364" s="20" t="str">
        <f>IF($C364="B",VLOOKUP($A364,Bat!$A$4:$BD$2323,S$1,FALSE),VLOOKUP($A364,Pit!$A$4:$AZ$2261,S$2,FALSE))</f>
        <v>Slot</v>
      </c>
      <c r="T364" s="17" t="str">
        <f>IF(S364="Slot","",VLOOKUP(IF($C364="B",VLOOKUP($A364,Bat!$A$4:$AT$2323,T$1,FALSE),VLOOKUP($A364,Pit!$A$4:$BD$2261,T$2,FALSE)),COND!$A$34:$B$40,2,FALSE))</f>
        <v/>
      </c>
      <c r="U364" s="21">
        <f>IF($C364="B",VLOOKUP($A364,Bat!$A$4:$AR$1287,44,FALSE),VLOOKUP($A364,Pit!$A$4:$BB$1239,54,FALSE))</f>
        <v>0</v>
      </c>
      <c r="W364" s="21">
        <f t="shared" si="22"/>
        <v>0</v>
      </c>
      <c r="X364" s="22" t="e">
        <f t="shared" si="23"/>
        <v>#N/A</v>
      </c>
      <c r="Y364" s="16" t="str">
        <f>IF(ISERROR(VLOOKUP($E364&amp;$F364,Results!$A$2:$G$413,Y$1,FALSE)),"",VLOOKUP($E364&amp;$F364,Results!$A$2:$G$413,Y$1,FALSE))</f>
        <v/>
      </c>
      <c r="Z364" s="16" t="str">
        <f>IF(ISERROR(VLOOKUP($E364&amp;$F364,Results!$A$2:$G$413,Z$1,FALSE)),"",VLOOKUP($E364&amp;$F364,Results!$A$2:$G$413,Z$1,FALSE))</f>
        <v/>
      </c>
      <c r="AA364" s="16" t="str">
        <f>IF(ISERROR(VLOOKUP($E364&amp;$F364,Results!$A$2:$G$413,AA$1,FALSE)),"",VLOOKUP($E364&amp;$F364,Results!$A$2:$G$413,AA$1,FALSE))</f>
        <v/>
      </c>
      <c r="AB364" s="16" t="str">
        <f>IF(ISERROR(VLOOKUP($E364&amp;$F364,Results!$A$2:$G$413,AB$1,FALSE)),"",VLOOKUP($E364&amp;$F364,Results!$A$2:$G$413,AB$1,FALSE))</f>
        <v/>
      </c>
      <c r="AC364" s="16"/>
      <c r="AD364" s="20" t="str">
        <f>IF(ISERROR(VLOOKUP($AB364&amp;"-"&amp;$F364,Bonuses!$B$1:$G$1000,4,FALSE)),"",INT(VLOOKUP($AB364&amp;"-"&amp;$F364,Bonuses!$B$1:$G$1000,4,FALSE)))</f>
        <v/>
      </c>
      <c r="AE364" s="16" t="str">
        <f>IF(ISERROR(VLOOKUP($AB364&amp;"-"&amp;$F364,Bonuses!$B$1:$G$1000,5,FALSE)),"",IF(VLOOKUP($AB364&amp;"-"&amp;$F364,Bonuses!$B$1:$G$1000,5,FALSE)="","",VLOOKUP($AB364&amp;"-"&amp;$F364,Bonuses!$B$1:$G$1000,6,FALSE)&amp;" yrs, "&amp;VLOOKUP($AB364&amp;"-"&amp;$F364,Bonuses!$B$1:$G$1000,5,FALSE)))</f>
        <v/>
      </c>
    </row>
    <row r="365" spans="1:31" s="21" customFormat="1">
      <c r="A365" s="21" t="s">
        <v>651</v>
      </c>
      <c r="B365" s="21">
        <f t="shared" si="20"/>
        <v>1</v>
      </c>
      <c r="C365" s="21" t="str">
        <f t="shared" si="21"/>
        <v>P</v>
      </c>
      <c r="D365" s="17">
        <f>IF($C365="B",VLOOKUP($A365,Bat!$A$4:$BD$2323,D$1,FALSE),VLOOKUP($A365,Pit!$A$4:$AZ$2261,D$2,FALSE))</f>
        <v>13781</v>
      </c>
      <c r="E365" s="16" t="str">
        <f>IF($C365="B",VLOOKUP($A365,Bat!$A$4:$BD$2323,E$1,FALSE),VLOOKUP($A365,Pit!$A$4:$AZ$2261,E$2,FALSE))</f>
        <v>SP</v>
      </c>
      <c r="F365" s="16" t="str">
        <f>IF($C365="B",VLOOKUP($A365,Bat!$A$4:$BD$2323,F$1,FALSE),VLOOKUP($A365,Pit!$A$4:$AZ$2261,F$2,FALSE))</f>
        <v>Ramón Deleón</v>
      </c>
      <c r="G365" s="16">
        <f>IF($C365="B",VLOOKUP($A365,Bat!$A$4:$BD$2323,G$1,FALSE),VLOOKUP($A365,Pit!$A$4:$AZ$2261,G$2,FALSE))</f>
        <v>18</v>
      </c>
      <c r="H365" s="16" t="str">
        <f>IF($C365="B",VLOOKUP($A365,Bat!$A$4:$BD$2323,H$1,FALSE),VLOOKUP($A365,Pit!$A$4:$AZ$2261,H$2,FALSE))</f>
        <v>R</v>
      </c>
      <c r="I365" s="16" t="str">
        <f>IF($C365="B",VLOOKUP($A365,Bat!$A$4:$BD$2323,I$1,FALSE),VLOOKUP($A365,Pit!$A$4:$AZ$2261,I$2,FALSE))</f>
        <v>R</v>
      </c>
      <c r="J365" s="16" t="str">
        <f>IF($C365="B",VLOOKUP($A365,Bat!$A$4:$BD$2323,J$1,FALSE),VLOOKUP($A365,Pit!$A$4:$AZ$2261,J$2,FALSE))</f>
        <v>Very High</v>
      </c>
      <c r="K365" s="17" t="str">
        <f>IF($C365="B",VLOOKUP($A365,Bat!$A$4:$BD$2323,K$1,FALSE),VLOOKUP($A365,Pit!$A$4:$AZ$2261,K$2,FALSE))</f>
        <v>Normal</v>
      </c>
      <c r="L365" s="16">
        <f>IF($C365="B",VLOOKUP($A365,Bat!$A$4:$BD$2323,L$1,FALSE),VLOOKUP($A365,Pit!$A$4:$AZ$2261,L$2,FALSE))</f>
        <v>4</v>
      </c>
      <c r="M365" s="16">
        <f>IF($C365="B",VLOOKUP($A365,Bat!$A$4:$BD$2323,M$1,FALSE),VLOOKUP($A365,Pit!$A$4:$AZ$2261,M$2,FALSE))</f>
        <v>5</v>
      </c>
      <c r="N365" s="16">
        <f>IF($C365="B",VLOOKUP($A365,Bat!$A$4:$BD$2323,N$1,FALSE),VLOOKUP($A365,Pit!$A$4:$AZ$2261,N$2,FALSE))</f>
        <v>5</v>
      </c>
      <c r="O365" s="16" t="str">
        <f>IF($C365="B",VLOOKUP($A365,Bat!$A$4:$BD$2323,O$1,FALSE),VLOOKUP($A365,Pit!$A$4:$AZ$2261,O$2,FALSE))</f>
        <v>91-93 Mph</v>
      </c>
      <c r="P365" s="17">
        <f>IF($C365="B",VLOOKUP($A365,Bat!$A$4:$BD$2323,P$1,FALSE),VLOOKUP($A365,Pit!$A$4:$AZ$2261,P$2,FALSE))</f>
        <v>8</v>
      </c>
      <c r="Q365" s="18">
        <f>IF($C365="B",VLOOKUP($A365,Bat!$A$4:$BD$2323,Q$1,FALSE),VLOOKUP($A365,Pit!$A$4:$AZ$2261,Q$2,FALSE))</f>
        <v>36.247772771839493</v>
      </c>
      <c r="R365" s="19">
        <f>IF($C365="B",VLOOKUP($A365,Bat!$A$4:$BD$2323,R$1,FALSE),VLOOKUP($A365,Pit!$A$4:$AZ$2261,R$2,FALSE))</f>
        <v>0.18469623045455941</v>
      </c>
      <c r="S365" s="20" t="str">
        <f>IF($C365="B",VLOOKUP($A365,Bat!$A$4:$BD$2323,S$1,FALSE),VLOOKUP($A365,Pit!$A$4:$AZ$2261,S$2,FALSE))</f>
        <v>Slot</v>
      </c>
      <c r="T365" s="17" t="str">
        <f>IF(S365="Slot","",VLOOKUP(IF($C365="B",VLOOKUP($A365,Bat!$A$4:$AT$2323,T$1,FALSE),VLOOKUP($A365,Pit!$A$4:$BD$2261,T$2,FALSE)),COND!$A$34:$B$40,2,FALSE))</f>
        <v/>
      </c>
      <c r="U365" s="21">
        <f>IF($C365="B",VLOOKUP($A365,Bat!$A$4:$AR$1287,44,FALSE),VLOOKUP($A365,Pit!$A$4:$BB$1239,54,FALSE))</f>
        <v>0</v>
      </c>
      <c r="W365" s="21">
        <f t="shared" si="22"/>
        <v>0</v>
      </c>
      <c r="X365" s="22" t="e">
        <f t="shared" si="23"/>
        <v>#N/A</v>
      </c>
      <c r="Y365" s="16" t="str">
        <f>IF(ISERROR(VLOOKUP($E365&amp;$F365,Results!$A$2:$G$413,Y$1,FALSE)),"",VLOOKUP($E365&amp;$F365,Results!$A$2:$G$413,Y$1,FALSE))</f>
        <v/>
      </c>
      <c r="Z365" s="16" t="str">
        <f>IF(ISERROR(VLOOKUP($E365&amp;$F365,Results!$A$2:$G$413,Z$1,FALSE)),"",VLOOKUP($E365&amp;$F365,Results!$A$2:$G$413,Z$1,FALSE))</f>
        <v/>
      </c>
      <c r="AA365" s="16" t="str">
        <f>IF(ISERROR(VLOOKUP($E365&amp;$F365,Results!$A$2:$G$413,AA$1,FALSE)),"",VLOOKUP($E365&amp;$F365,Results!$A$2:$G$413,AA$1,FALSE))</f>
        <v/>
      </c>
      <c r="AB365" s="16" t="str">
        <f>IF(ISERROR(VLOOKUP($E365&amp;$F365,Results!$A$2:$G$413,AB$1,FALSE)),"",VLOOKUP($E365&amp;$F365,Results!$A$2:$G$413,AB$1,FALSE))</f>
        <v/>
      </c>
      <c r="AC365" s="16"/>
      <c r="AD365" s="20" t="str">
        <f>IF(ISERROR(VLOOKUP($AB365&amp;"-"&amp;$F365,Bonuses!$B$1:$G$1000,4,FALSE)),"",INT(VLOOKUP($AB365&amp;"-"&amp;$F365,Bonuses!$B$1:$G$1000,4,FALSE)))</f>
        <v/>
      </c>
      <c r="AE365" s="16" t="str">
        <f>IF(ISERROR(VLOOKUP($AB365&amp;"-"&amp;$F365,Bonuses!$B$1:$G$1000,5,FALSE)),"",IF(VLOOKUP($AB365&amp;"-"&amp;$F365,Bonuses!$B$1:$G$1000,5,FALSE)="","",VLOOKUP($AB365&amp;"-"&amp;$F365,Bonuses!$B$1:$G$1000,6,FALSE)&amp;" yrs, "&amp;VLOOKUP($AB365&amp;"-"&amp;$F365,Bonuses!$B$1:$G$1000,5,FALSE)))</f>
        <v/>
      </c>
    </row>
    <row r="366" spans="1:31" s="21" customFormat="1">
      <c r="A366" s="21" t="s">
        <v>807</v>
      </c>
      <c r="B366" s="21">
        <f t="shared" si="20"/>
        <v>1</v>
      </c>
      <c r="C366" s="21" t="str">
        <f t="shared" si="21"/>
        <v>P</v>
      </c>
      <c r="D366" s="17">
        <f>IF($C366="B",VLOOKUP($A366,Bat!$A$4:$BD$2323,D$1,FALSE),VLOOKUP($A366,Pit!$A$4:$AZ$2261,D$2,FALSE))</f>
        <v>13776</v>
      </c>
      <c r="E366" s="16" t="str">
        <f>IF($C366="B",VLOOKUP($A366,Bat!$A$4:$BD$2323,E$1,FALSE),VLOOKUP($A366,Pit!$A$4:$AZ$2261,E$2,FALSE))</f>
        <v>MR</v>
      </c>
      <c r="F366" s="16" t="str">
        <f>IF($C366="B",VLOOKUP($A366,Bat!$A$4:$BD$2323,F$1,FALSE),VLOOKUP($A366,Pit!$A$4:$AZ$2261,F$2,FALSE))</f>
        <v>Ryan Brown</v>
      </c>
      <c r="G366" s="16">
        <f>IF($C366="B",VLOOKUP($A366,Bat!$A$4:$BD$2323,G$1,FALSE),VLOOKUP($A366,Pit!$A$4:$AZ$2261,G$2,FALSE))</f>
        <v>18</v>
      </c>
      <c r="H366" s="16" t="str">
        <f>IF($C366="B",VLOOKUP($A366,Bat!$A$4:$BD$2323,H$1,FALSE),VLOOKUP($A366,Pit!$A$4:$AZ$2261,H$2,FALSE))</f>
        <v>S</v>
      </c>
      <c r="I366" s="16" t="str">
        <f>IF($C366="B",VLOOKUP($A366,Bat!$A$4:$BD$2323,I$1,FALSE),VLOOKUP($A366,Pit!$A$4:$AZ$2261,I$2,FALSE))</f>
        <v>L</v>
      </c>
      <c r="J366" s="16" t="str">
        <f>IF($C366="B",VLOOKUP($A366,Bat!$A$4:$BD$2323,J$1,FALSE),VLOOKUP($A366,Pit!$A$4:$AZ$2261,J$2,FALSE))</f>
        <v>High</v>
      </c>
      <c r="K366" s="17" t="str">
        <f>IF($C366="B",VLOOKUP($A366,Bat!$A$4:$BD$2323,K$1,FALSE),VLOOKUP($A366,Pit!$A$4:$AZ$2261,K$2,FALSE))</f>
        <v>High</v>
      </c>
      <c r="L366" s="16">
        <f>IF($C366="B",VLOOKUP($A366,Bat!$A$4:$BD$2323,L$1,FALSE),VLOOKUP($A366,Pit!$A$4:$AZ$2261,L$2,FALSE))</f>
        <v>5</v>
      </c>
      <c r="M366" s="16">
        <f>IF($C366="B",VLOOKUP($A366,Bat!$A$4:$BD$2323,M$1,FALSE),VLOOKUP($A366,Pit!$A$4:$AZ$2261,M$2,FALSE))</f>
        <v>5</v>
      </c>
      <c r="N366" s="16">
        <f>IF($C366="B",VLOOKUP($A366,Bat!$A$4:$BD$2323,N$1,FALSE),VLOOKUP($A366,Pit!$A$4:$AZ$2261,N$2,FALSE))</f>
        <v>4</v>
      </c>
      <c r="O366" s="16" t="str">
        <f>IF($C366="B",VLOOKUP($A366,Bat!$A$4:$BD$2323,O$1,FALSE),VLOOKUP($A366,Pit!$A$4:$AZ$2261,O$2,FALSE))</f>
        <v>92-94 Mph</v>
      </c>
      <c r="P366" s="17">
        <f>IF($C366="B",VLOOKUP($A366,Bat!$A$4:$BD$2323,P$1,FALSE),VLOOKUP($A366,Pit!$A$4:$AZ$2261,P$2,FALSE))</f>
        <v>9</v>
      </c>
      <c r="Q366" s="18">
        <f>IF($C366="B",VLOOKUP($A366,Bat!$A$4:$BD$2323,Q$1,FALSE),VLOOKUP($A366,Pit!$A$4:$AZ$2261,Q$2,FALSE))</f>
        <v>36.784126205842597</v>
      </c>
      <c r="R366" s="19">
        <f>IF($C366="B",VLOOKUP($A366,Bat!$A$4:$BD$2323,R$1,FALSE),VLOOKUP($A366,Pit!$A$4:$AZ$2261,R$2,FALSE))</f>
        <v>0.22727547399747233</v>
      </c>
      <c r="S366" s="20" t="str">
        <f>IF($C366="B",VLOOKUP($A366,Bat!$A$4:$BD$2323,S$1,FALSE),VLOOKUP($A366,Pit!$A$4:$AZ$2261,S$2,FALSE))</f>
        <v>Slot</v>
      </c>
      <c r="T366" s="17" t="str">
        <f>IF(S366="Slot","",VLOOKUP(IF($C366="B",VLOOKUP($A366,Bat!$A$4:$AT$2323,T$1,FALSE),VLOOKUP($A366,Pit!$A$4:$BD$2261,T$2,FALSE)),COND!$A$34:$B$40,2,FALSE))</f>
        <v/>
      </c>
      <c r="U366" s="21">
        <f>IF($C366="B",VLOOKUP($A366,Bat!$A$4:$AR$1287,44,FALSE),VLOOKUP($A366,Pit!$A$4:$BB$1239,54,FALSE))</f>
        <v>0</v>
      </c>
      <c r="W366" s="21">
        <f t="shared" si="22"/>
        <v>0</v>
      </c>
      <c r="X366" s="22" t="e">
        <f t="shared" si="23"/>
        <v>#N/A</v>
      </c>
      <c r="Y366" s="16" t="str">
        <f>IF(ISERROR(VLOOKUP($E366&amp;$F366,Results!$A$2:$G$413,Y$1,FALSE)),"",VLOOKUP($E366&amp;$F366,Results!$A$2:$G$413,Y$1,FALSE))</f>
        <v/>
      </c>
      <c r="Z366" s="16" t="str">
        <f>IF(ISERROR(VLOOKUP($E366&amp;$F366,Results!$A$2:$G$413,Z$1,FALSE)),"",VLOOKUP($E366&amp;$F366,Results!$A$2:$G$413,Z$1,FALSE))</f>
        <v/>
      </c>
      <c r="AA366" s="16" t="str">
        <f>IF(ISERROR(VLOOKUP($E366&amp;$F366,Results!$A$2:$G$413,AA$1,FALSE)),"",VLOOKUP($E366&amp;$F366,Results!$A$2:$G$413,AA$1,FALSE))</f>
        <v/>
      </c>
      <c r="AB366" s="16" t="str">
        <f>IF(ISERROR(VLOOKUP($E366&amp;$F366,Results!$A$2:$G$413,AB$1,FALSE)),"",VLOOKUP($E366&amp;$F366,Results!$A$2:$G$413,AB$1,FALSE))</f>
        <v/>
      </c>
      <c r="AC366" s="16"/>
      <c r="AD366" s="20" t="str">
        <f>IF(ISERROR(VLOOKUP($AB366&amp;"-"&amp;$F366,Bonuses!$B$1:$G$1000,4,FALSE)),"",INT(VLOOKUP($AB366&amp;"-"&amp;$F366,Bonuses!$B$1:$G$1000,4,FALSE)))</f>
        <v/>
      </c>
      <c r="AE366" s="16" t="str">
        <f>IF(ISERROR(VLOOKUP($AB366&amp;"-"&amp;$F366,Bonuses!$B$1:$G$1000,5,FALSE)),"",IF(VLOOKUP($AB366&amp;"-"&amp;$F366,Bonuses!$B$1:$G$1000,5,FALSE)="","",VLOOKUP($AB366&amp;"-"&amp;$F366,Bonuses!$B$1:$G$1000,6,FALSE)&amp;" yrs, "&amp;VLOOKUP($AB366&amp;"-"&amp;$F366,Bonuses!$B$1:$G$1000,5,FALSE)))</f>
        <v/>
      </c>
    </row>
    <row r="367" spans="1:31" s="21" customFormat="1">
      <c r="A367" s="21" t="s">
        <v>565</v>
      </c>
      <c r="B367" s="21">
        <f t="shared" si="20"/>
        <v>1</v>
      </c>
      <c r="C367" s="21" t="str">
        <f t="shared" si="21"/>
        <v>P</v>
      </c>
      <c r="D367" s="17">
        <f>IF($C367="B",VLOOKUP($A367,Bat!$A$4:$BD$2323,D$1,FALSE),VLOOKUP($A367,Pit!$A$4:$AZ$2261,D$2,FALSE))</f>
        <v>7117</v>
      </c>
      <c r="E367" s="16" t="str">
        <f>IF($C367="B",VLOOKUP($A367,Bat!$A$4:$BD$2323,E$1,FALSE),VLOOKUP($A367,Pit!$A$4:$AZ$2261,E$2,FALSE))</f>
        <v>CL</v>
      </c>
      <c r="F367" s="16" t="str">
        <f>IF($C367="B",VLOOKUP($A367,Bat!$A$4:$BD$2323,F$1,FALSE),VLOOKUP($A367,Pit!$A$4:$AZ$2261,F$2,FALSE))</f>
        <v>Rick Saunders</v>
      </c>
      <c r="G367" s="16">
        <f>IF($C367="B",VLOOKUP($A367,Bat!$A$4:$BD$2323,G$1,FALSE),VLOOKUP($A367,Pit!$A$4:$AZ$2261,G$2,FALSE))</f>
        <v>21</v>
      </c>
      <c r="H367" s="16" t="str">
        <f>IF($C367="B",VLOOKUP($A367,Bat!$A$4:$BD$2323,H$1,FALSE),VLOOKUP($A367,Pit!$A$4:$AZ$2261,H$2,FALSE))</f>
        <v>L</v>
      </c>
      <c r="I367" s="16" t="str">
        <f>IF($C367="B",VLOOKUP($A367,Bat!$A$4:$BD$2323,I$1,FALSE),VLOOKUP($A367,Pit!$A$4:$AZ$2261,I$2,FALSE))</f>
        <v>L</v>
      </c>
      <c r="J367" s="16" t="str">
        <f>IF($C367="B",VLOOKUP($A367,Bat!$A$4:$BD$2323,J$1,FALSE),VLOOKUP($A367,Pit!$A$4:$AZ$2261,J$2,FALSE))</f>
        <v>Very Low</v>
      </c>
      <c r="K367" s="17" t="str">
        <f>IF($C367="B",VLOOKUP($A367,Bat!$A$4:$BD$2323,K$1,FALSE),VLOOKUP($A367,Pit!$A$4:$AZ$2261,K$2,FALSE))</f>
        <v>Very High</v>
      </c>
      <c r="L367" s="16">
        <f>IF($C367="B",VLOOKUP($A367,Bat!$A$4:$BD$2323,L$1,FALSE),VLOOKUP($A367,Pit!$A$4:$AZ$2261,L$2,FALSE))</f>
        <v>3</v>
      </c>
      <c r="M367" s="16">
        <f>IF($C367="B",VLOOKUP($A367,Bat!$A$4:$BD$2323,M$1,FALSE),VLOOKUP($A367,Pit!$A$4:$AZ$2261,M$2,FALSE))</f>
        <v>7</v>
      </c>
      <c r="N367" s="16">
        <f>IF($C367="B",VLOOKUP($A367,Bat!$A$4:$BD$2323,N$1,FALSE),VLOOKUP($A367,Pit!$A$4:$AZ$2261,N$2,FALSE))</f>
        <v>5</v>
      </c>
      <c r="O367" s="16" t="str">
        <f>IF($C367="B",VLOOKUP($A367,Bat!$A$4:$BD$2323,O$1,FALSE),VLOOKUP($A367,Pit!$A$4:$AZ$2261,O$2,FALSE))</f>
        <v>89-90 Mph</v>
      </c>
      <c r="P367" s="17">
        <f>IF($C367="B",VLOOKUP($A367,Bat!$A$4:$BD$2323,P$1,FALSE),VLOOKUP($A367,Pit!$A$4:$AZ$2261,P$2,FALSE))</f>
        <v>2</v>
      </c>
      <c r="Q367" s="18">
        <f>IF($C367="B",VLOOKUP($A367,Bat!$A$4:$BD$2323,Q$1,FALSE),VLOOKUP($A367,Pit!$A$4:$AZ$2261,Q$2,FALSE))</f>
        <v>34.497450503365769</v>
      </c>
      <c r="R367" s="19">
        <f>IF($C367="B",VLOOKUP($A367,Bat!$A$4:$BD$2323,R$1,FALSE),VLOOKUP($A367,Pit!$A$4:$AZ$2261,R$2,FALSE))</f>
        <v>4.5744201021864099E-2</v>
      </c>
      <c r="S367" s="20" t="str">
        <f>IF($C367="B",VLOOKUP($A367,Bat!$A$4:$BD$2323,S$1,FALSE),VLOOKUP($A367,Pit!$A$4:$AZ$2261,S$2,FALSE))</f>
        <v>Slot</v>
      </c>
      <c r="T367" s="17" t="str">
        <f>IF(S367="Slot","",VLOOKUP(IF($C367="B",VLOOKUP($A367,Bat!$A$4:$AT$2323,T$1,FALSE),VLOOKUP($A367,Pit!$A$4:$BD$2261,T$2,FALSE)),COND!$A$34:$B$40,2,FALSE))</f>
        <v/>
      </c>
      <c r="U367" s="21">
        <f>IF($C367="B",VLOOKUP($A367,Bat!$A$4:$AR$1287,44,FALSE),VLOOKUP($A367,Pit!$A$4:$BB$1239,54,FALSE))</f>
        <v>0</v>
      </c>
      <c r="W367" s="21">
        <f t="shared" si="22"/>
        <v>0</v>
      </c>
      <c r="X367" s="22" t="e">
        <f t="shared" si="23"/>
        <v>#N/A</v>
      </c>
      <c r="Y367" s="16" t="str">
        <f>IF(ISERROR(VLOOKUP($E367&amp;$F367,Results!$A$2:$G$413,Y$1,FALSE)),"",VLOOKUP($E367&amp;$F367,Results!$A$2:$G$413,Y$1,FALSE))</f>
        <v/>
      </c>
      <c r="Z367" s="16" t="str">
        <f>IF(ISERROR(VLOOKUP($E367&amp;$F367,Results!$A$2:$G$413,Z$1,FALSE)),"",VLOOKUP($E367&amp;$F367,Results!$A$2:$G$413,Z$1,FALSE))</f>
        <v/>
      </c>
      <c r="AA367" s="16" t="str">
        <f>IF(ISERROR(VLOOKUP($E367&amp;$F367,Results!$A$2:$G$413,AA$1,FALSE)),"",VLOOKUP($E367&amp;$F367,Results!$A$2:$G$413,AA$1,FALSE))</f>
        <v/>
      </c>
      <c r="AB367" s="16" t="str">
        <f>IF(ISERROR(VLOOKUP($E367&amp;$F367,Results!$A$2:$G$413,AB$1,FALSE)),"",VLOOKUP($E367&amp;$F367,Results!$A$2:$G$413,AB$1,FALSE))</f>
        <v/>
      </c>
      <c r="AC367" s="16"/>
      <c r="AD367" s="20" t="str">
        <f>IF(ISERROR(VLOOKUP($AB367&amp;"-"&amp;$F367,Bonuses!$B$1:$G$1000,4,FALSE)),"",INT(VLOOKUP($AB367&amp;"-"&amp;$F367,Bonuses!$B$1:$G$1000,4,FALSE)))</f>
        <v/>
      </c>
      <c r="AE367" s="16" t="str">
        <f>IF(ISERROR(VLOOKUP($AB367&amp;"-"&amp;$F367,Bonuses!$B$1:$G$1000,5,FALSE)),"",IF(VLOOKUP($AB367&amp;"-"&amp;$F367,Bonuses!$B$1:$G$1000,5,FALSE)="","",VLOOKUP($AB367&amp;"-"&amp;$F367,Bonuses!$B$1:$G$1000,6,FALSE)&amp;" yrs, "&amp;VLOOKUP($AB367&amp;"-"&amp;$F367,Bonuses!$B$1:$G$1000,5,FALSE)))</f>
        <v/>
      </c>
    </row>
    <row r="368" spans="1:31" s="21" customFormat="1">
      <c r="A368" s="21" t="s">
        <v>681</v>
      </c>
      <c r="B368" s="21">
        <f t="shared" si="20"/>
        <v>1</v>
      </c>
      <c r="C368" s="21" t="str">
        <f t="shared" si="21"/>
        <v>P</v>
      </c>
      <c r="D368" s="17">
        <f>IF($C368="B",VLOOKUP($A368,Bat!$A$4:$BD$2323,D$1,FALSE),VLOOKUP($A368,Pit!$A$4:$AZ$2261,D$2,FALSE))</f>
        <v>8189</v>
      </c>
      <c r="E368" s="16" t="str">
        <f>IF($C368="B",VLOOKUP($A368,Bat!$A$4:$BD$2323,E$1,FALSE),VLOOKUP($A368,Pit!$A$4:$AZ$2261,E$2,FALSE))</f>
        <v>SP</v>
      </c>
      <c r="F368" s="16" t="str">
        <f>IF($C368="B",VLOOKUP($A368,Bat!$A$4:$BD$2323,F$1,FALSE),VLOOKUP($A368,Pit!$A$4:$AZ$2261,F$2,FALSE))</f>
        <v>Henry Vinson</v>
      </c>
      <c r="G368" s="16">
        <f>IF($C368="B",VLOOKUP($A368,Bat!$A$4:$BD$2323,G$1,FALSE),VLOOKUP($A368,Pit!$A$4:$AZ$2261,G$2,FALSE))</f>
        <v>21</v>
      </c>
      <c r="H368" s="16" t="str">
        <f>IF($C368="B",VLOOKUP($A368,Bat!$A$4:$BD$2323,H$1,FALSE),VLOOKUP($A368,Pit!$A$4:$AZ$2261,H$2,FALSE))</f>
        <v>R</v>
      </c>
      <c r="I368" s="16" t="str">
        <f>IF($C368="B",VLOOKUP($A368,Bat!$A$4:$BD$2323,I$1,FALSE),VLOOKUP($A368,Pit!$A$4:$AZ$2261,I$2,FALSE))</f>
        <v>R</v>
      </c>
      <c r="J368" s="16" t="str">
        <f>IF($C368="B",VLOOKUP($A368,Bat!$A$4:$BD$2323,J$1,FALSE),VLOOKUP($A368,Pit!$A$4:$AZ$2261,J$2,FALSE))</f>
        <v>Very High</v>
      </c>
      <c r="K368" s="17" t="str">
        <f>IF($C368="B",VLOOKUP($A368,Bat!$A$4:$BD$2323,K$1,FALSE),VLOOKUP($A368,Pit!$A$4:$AZ$2261,K$2,FALSE))</f>
        <v>Very High</v>
      </c>
      <c r="L368" s="16">
        <f>IF($C368="B",VLOOKUP($A368,Bat!$A$4:$BD$2323,L$1,FALSE),VLOOKUP($A368,Pit!$A$4:$AZ$2261,L$2,FALSE))</f>
        <v>4</v>
      </c>
      <c r="M368" s="16">
        <f>IF($C368="B",VLOOKUP($A368,Bat!$A$4:$BD$2323,M$1,FALSE),VLOOKUP($A368,Pit!$A$4:$AZ$2261,M$2,FALSE))</f>
        <v>4</v>
      </c>
      <c r="N368" s="16">
        <f>IF($C368="B",VLOOKUP($A368,Bat!$A$4:$BD$2323,N$1,FALSE),VLOOKUP($A368,Pit!$A$4:$AZ$2261,N$2,FALSE))</f>
        <v>6</v>
      </c>
      <c r="O368" s="16" t="str">
        <f>IF($C368="B",VLOOKUP($A368,Bat!$A$4:$BD$2323,O$1,FALSE),VLOOKUP($A368,Pit!$A$4:$AZ$2261,O$2,FALSE))</f>
        <v>91-93 Mph</v>
      </c>
      <c r="P368" s="17">
        <f>IF($C368="B",VLOOKUP($A368,Bat!$A$4:$BD$2323,P$1,FALSE),VLOOKUP($A368,Pit!$A$4:$AZ$2261,P$2,FALSE))</f>
        <v>9</v>
      </c>
      <c r="Q368" s="18">
        <f>IF($C368="B",VLOOKUP($A368,Bat!$A$4:$BD$2323,Q$1,FALSE),VLOOKUP($A368,Pit!$A$4:$AZ$2261,Q$2,FALSE))</f>
        <v>35.996416255644078</v>
      </c>
      <c r="R368" s="19">
        <f>IF($C368="B",VLOOKUP($A368,Bat!$A$4:$BD$2323,R$1,FALSE),VLOOKUP($A368,Pit!$A$4:$AZ$2261,R$2,FALSE))</f>
        <v>0.1647419062334885</v>
      </c>
      <c r="S368" s="20" t="str">
        <f>IF($C368="B",VLOOKUP($A368,Bat!$A$4:$BD$2323,S$1,FALSE),VLOOKUP($A368,Pit!$A$4:$AZ$2261,S$2,FALSE))</f>
        <v>Slot</v>
      </c>
      <c r="T368" s="17" t="str">
        <f>IF(S368="Slot","",VLOOKUP(IF($C368="B",VLOOKUP($A368,Bat!$A$4:$AT$2323,T$1,FALSE),VLOOKUP($A368,Pit!$A$4:$BD$2261,T$2,FALSE)),COND!$A$34:$B$40,2,FALSE))</f>
        <v/>
      </c>
      <c r="U368" s="21">
        <f>IF($C368="B",VLOOKUP($A368,Bat!$A$4:$AR$1287,44,FALSE),VLOOKUP($A368,Pit!$A$4:$BB$1239,54,FALSE))</f>
        <v>0</v>
      </c>
      <c r="W368" s="21">
        <f t="shared" si="22"/>
        <v>0</v>
      </c>
      <c r="X368" s="22" t="e">
        <f t="shared" si="23"/>
        <v>#N/A</v>
      </c>
      <c r="Y368" s="16" t="str">
        <f>IF(ISERROR(VLOOKUP($E368&amp;$F368,Results!$A$2:$G$413,Y$1,FALSE)),"",VLOOKUP($E368&amp;$F368,Results!$A$2:$G$413,Y$1,FALSE))</f>
        <v/>
      </c>
      <c r="Z368" s="16" t="str">
        <f>IF(ISERROR(VLOOKUP($E368&amp;$F368,Results!$A$2:$G$413,Z$1,FALSE)),"",VLOOKUP($E368&amp;$F368,Results!$A$2:$G$413,Z$1,FALSE))</f>
        <v/>
      </c>
      <c r="AA368" s="16" t="str">
        <f>IF(ISERROR(VLOOKUP($E368&amp;$F368,Results!$A$2:$G$413,AA$1,FALSE)),"",VLOOKUP($E368&amp;$F368,Results!$A$2:$G$413,AA$1,FALSE))</f>
        <v/>
      </c>
      <c r="AB368" s="16" t="str">
        <f>IF(ISERROR(VLOOKUP($E368&amp;$F368,Results!$A$2:$G$413,AB$1,FALSE)),"",VLOOKUP($E368&amp;$F368,Results!$A$2:$G$413,AB$1,FALSE))</f>
        <v/>
      </c>
      <c r="AC368" s="16"/>
      <c r="AD368" s="20" t="str">
        <f>IF(ISERROR(VLOOKUP($AB368&amp;"-"&amp;$F368,Bonuses!$B$1:$G$1000,4,FALSE)),"",INT(VLOOKUP($AB368&amp;"-"&amp;$F368,Bonuses!$B$1:$G$1000,4,FALSE)))</f>
        <v/>
      </c>
      <c r="AE368" s="16" t="str">
        <f>IF(ISERROR(VLOOKUP($AB368&amp;"-"&amp;$F368,Bonuses!$B$1:$G$1000,5,FALSE)),"",IF(VLOOKUP($AB368&amp;"-"&amp;$F368,Bonuses!$B$1:$G$1000,5,FALSE)="","",VLOOKUP($AB368&amp;"-"&amp;$F368,Bonuses!$B$1:$G$1000,6,FALSE)&amp;" yrs, "&amp;VLOOKUP($AB368&amp;"-"&amp;$F368,Bonuses!$B$1:$G$1000,5,FALSE)))</f>
        <v/>
      </c>
    </row>
    <row r="369" spans="1:31" s="21" customFormat="1">
      <c r="A369" s="21" t="s">
        <v>664</v>
      </c>
      <c r="B369" s="21">
        <f t="shared" si="20"/>
        <v>1</v>
      </c>
      <c r="C369" s="21" t="str">
        <f t="shared" si="21"/>
        <v>P</v>
      </c>
      <c r="D369" s="17">
        <f>IF($C369="B",VLOOKUP($A369,Bat!$A$4:$BD$2323,D$1,FALSE),VLOOKUP($A369,Pit!$A$4:$AZ$2261,D$2,FALSE))</f>
        <v>7512</v>
      </c>
      <c r="E369" s="16" t="str">
        <f>IF($C369="B",VLOOKUP($A369,Bat!$A$4:$BD$2323,E$1,FALSE),VLOOKUP($A369,Pit!$A$4:$AZ$2261,E$2,FALSE))</f>
        <v>SP</v>
      </c>
      <c r="F369" s="16" t="str">
        <f>IF($C369="B",VLOOKUP($A369,Bat!$A$4:$BD$2323,F$1,FALSE),VLOOKUP($A369,Pit!$A$4:$AZ$2261,F$2,FALSE))</f>
        <v>Francisco Gonales</v>
      </c>
      <c r="G369" s="16">
        <f>IF($C369="B",VLOOKUP($A369,Bat!$A$4:$BD$2323,G$1,FALSE),VLOOKUP($A369,Pit!$A$4:$AZ$2261,G$2,FALSE))</f>
        <v>21</v>
      </c>
      <c r="H369" s="16" t="str">
        <f>IF($C369="B",VLOOKUP($A369,Bat!$A$4:$BD$2323,H$1,FALSE),VLOOKUP($A369,Pit!$A$4:$AZ$2261,H$2,FALSE))</f>
        <v>R</v>
      </c>
      <c r="I369" s="16" t="str">
        <f>IF($C369="B",VLOOKUP($A369,Bat!$A$4:$BD$2323,I$1,FALSE),VLOOKUP($A369,Pit!$A$4:$AZ$2261,I$2,FALSE))</f>
        <v>L</v>
      </c>
      <c r="J369" s="16" t="str">
        <f>IF($C369="B",VLOOKUP($A369,Bat!$A$4:$BD$2323,J$1,FALSE),VLOOKUP($A369,Pit!$A$4:$AZ$2261,J$2,FALSE))</f>
        <v>Low</v>
      </c>
      <c r="K369" s="17" t="str">
        <f>IF($C369="B",VLOOKUP($A369,Bat!$A$4:$BD$2323,K$1,FALSE),VLOOKUP($A369,Pit!$A$4:$AZ$2261,K$2,FALSE))</f>
        <v>Very Low</v>
      </c>
      <c r="L369" s="16">
        <f>IF($C369="B",VLOOKUP($A369,Bat!$A$4:$BD$2323,L$1,FALSE),VLOOKUP($A369,Pit!$A$4:$AZ$2261,L$2,FALSE))</f>
        <v>5</v>
      </c>
      <c r="M369" s="16">
        <f>IF($C369="B",VLOOKUP($A369,Bat!$A$4:$BD$2323,M$1,FALSE),VLOOKUP($A369,Pit!$A$4:$AZ$2261,M$2,FALSE))</f>
        <v>4</v>
      </c>
      <c r="N369" s="16">
        <f>IF($C369="B",VLOOKUP($A369,Bat!$A$4:$BD$2323,N$1,FALSE),VLOOKUP($A369,Pit!$A$4:$AZ$2261,N$2,FALSE))</f>
        <v>5</v>
      </c>
      <c r="O369" s="16" t="str">
        <f>IF($C369="B",VLOOKUP($A369,Bat!$A$4:$BD$2323,O$1,FALSE),VLOOKUP($A369,Pit!$A$4:$AZ$2261,O$2,FALSE))</f>
        <v>94-96 Mph</v>
      </c>
      <c r="P369" s="17">
        <f>IF($C369="B",VLOOKUP($A369,Bat!$A$4:$BD$2323,P$1,FALSE),VLOOKUP($A369,Pit!$A$4:$AZ$2261,P$2,FALSE))</f>
        <v>6</v>
      </c>
      <c r="Q369" s="18">
        <f>IF($C369="B",VLOOKUP($A369,Bat!$A$4:$BD$2323,Q$1,FALSE),VLOOKUP($A369,Pit!$A$4:$AZ$2261,Q$2,FALSE))</f>
        <v>32.931377885451077</v>
      </c>
      <c r="R369" s="19">
        <f>IF($C369="B",VLOOKUP($A369,Bat!$A$4:$BD$2323,R$1,FALSE),VLOOKUP($A369,Pit!$A$4:$AZ$2261,R$2,FALSE))</f>
        <v>-7.8580886087937063E-2</v>
      </c>
      <c r="S369" s="20" t="str">
        <f>IF($C369="B",VLOOKUP($A369,Bat!$A$4:$BD$2323,S$1,FALSE),VLOOKUP($A369,Pit!$A$4:$AZ$2261,S$2,FALSE))</f>
        <v>Slot</v>
      </c>
      <c r="T369" s="17" t="str">
        <f>IF(S369="Slot","",VLOOKUP(IF($C369="B",VLOOKUP($A369,Bat!$A$4:$AT$2323,T$1,FALSE),VLOOKUP($A369,Pit!$A$4:$BD$2261,T$2,FALSE)),COND!$A$34:$B$40,2,FALSE))</f>
        <v/>
      </c>
      <c r="U369" s="21">
        <f>IF($C369="B",VLOOKUP($A369,Bat!$A$4:$AR$1287,44,FALSE),VLOOKUP($A369,Pit!$A$4:$BB$1239,54,FALSE))</f>
        <v>0</v>
      </c>
      <c r="W369" s="21">
        <f t="shared" si="22"/>
        <v>0</v>
      </c>
      <c r="X369" s="22" t="e">
        <f t="shared" si="23"/>
        <v>#N/A</v>
      </c>
      <c r="Y369" s="16" t="str">
        <f>IF(ISERROR(VLOOKUP($E369&amp;$F369,Results!$A$2:$G$413,Y$1,FALSE)),"",VLOOKUP($E369&amp;$F369,Results!$A$2:$G$413,Y$1,FALSE))</f>
        <v/>
      </c>
      <c r="Z369" s="16" t="str">
        <f>IF(ISERROR(VLOOKUP($E369&amp;$F369,Results!$A$2:$G$413,Z$1,FALSE)),"",VLOOKUP($E369&amp;$F369,Results!$A$2:$G$413,Z$1,FALSE))</f>
        <v/>
      </c>
      <c r="AA369" s="16" t="str">
        <f>IF(ISERROR(VLOOKUP($E369&amp;$F369,Results!$A$2:$G$413,AA$1,FALSE)),"",VLOOKUP($E369&amp;$F369,Results!$A$2:$G$413,AA$1,FALSE))</f>
        <v/>
      </c>
      <c r="AB369" s="16" t="str">
        <f>IF(ISERROR(VLOOKUP($E369&amp;$F369,Results!$A$2:$G$413,AB$1,FALSE)),"",VLOOKUP($E369&amp;$F369,Results!$A$2:$G$413,AB$1,FALSE))</f>
        <v/>
      </c>
      <c r="AC369" s="16"/>
      <c r="AD369" s="20" t="str">
        <f>IF(ISERROR(VLOOKUP($AB369&amp;"-"&amp;$F369,Bonuses!$B$1:$G$1000,4,FALSE)),"",INT(VLOOKUP($AB369&amp;"-"&amp;$F369,Bonuses!$B$1:$G$1000,4,FALSE)))</f>
        <v/>
      </c>
      <c r="AE369" s="16" t="str">
        <f>IF(ISERROR(VLOOKUP($AB369&amp;"-"&amp;$F369,Bonuses!$B$1:$G$1000,5,FALSE)),"",IF(VLOOKUP($AB369&amp;"-"&amp;$F369,Bonuses!$B$1:$G$1000,5,FALSE)="","",VLOOKUP($AB369&amp;"-"&amp;$F369,Bonuses!$B$1:$G$1000,6,FALSE)&amp;" yrs, "&amp;VLOOKUP($AB369&amp;"-"&amp;$F369,Bonuses!$B$1:$G$1000,5,FALSE)))</f>
        <v/>
      </c>
    </row>
    <row r="370" spans="1:31" s="21" customFormat="1">
      <c r="A370" s="21" t="s">
        <v>604</v>
      </c>
      <c r="B370" s="21">
        <f t="shared" si="20"/>
        <v>1</v>
      </c>
      <c r="C370" s="21" t="str">
        <f t="shared" si="21"/>
        <v>P</v>
      </c>
      <c r="D370" s="17">
        <f>IF($C370="B",VLOOKUP($A370,Bat!$A$4:$BD$2323,D$1,FALSE),VLOOKUP($A370,Pit!$A$4:$AZ$2261,D$2,FALSE))</f>
        <v>13782</v>
      </c>
      <c r="E370" s="16" t="str">
        <f>IF($C370="B",VLOOKUP($A370,Bat!$A$4:$BD$2323,E$1,FALSE),VLOOKUP($A370,Pit!$A$4:$AZ$2261,E$2,FALSE))</f>
        <v>CL</v>
      </c>
      <c r="F370" s="16" t="str">
        <f>IF($C370="B",VLOOKUP($A370,Bat!$A$4:$BD$2323,F$1,FALSE),VLOOKUP($A370,Pit!$A$4:$AZ$2261,F$2,FALSE))</f>
        <v>Nathan Wade</v>
      </c>
      <c r="G370" s="16">
        <f>IF($C370="B",VLOOKUP($A370,Bat!$A$4:$BD$2323,G$1,FALSE),VLOOKUP($A370,Pit!$A$4:$AZ$2261,G$2,FALSE))</f>
        <v>18</v>
      </c>
      <c r="H370" s="16" t="str">
        <f>IF($C370="B",VLOOKUP($A370,Bat!$A$4:$BD$2323,H$1,FALSE),VLOOKUP($A370,Pit!$A$4:$AZ$2261,H$2,FALSE))</f>
        <v>R</v>
      </c>
      <c r="I370" s="16" t="str">
        <f>IF($C370="B",VLOOKUP($A370,Bat!$A$4:$BD$2323,I$1,FALSE),VLOOKUP($A370,Pit!$A$4:$AZ$2261,I$2,FALSE))</f>
        <v>R</v>
      </c>
      <c r="J370" s="16" t="str">
        <f>IF($C370="B",VLOOKUP($A370,Bat!$A$4:$BD$2323,J$1,FALSE),VLOOKUP($A370,Pit!$A$4:$AZ$2261,J$2,FALSE))</f>
        <v>Low</v>
      </c>
      <c r="K370" s="17" t="str">
        <f>IF($C370="B",VLOOKUP($A370,Bat!$A$4:$BD$2323,K$1,FALSE),VLOOKUP($A370,Pit!$A$4:$AZ$2261,K$2,FALSE))</f>
        <v>Low</v>
      </c>
      <c r="L370" s="16">
        <f>IF($C370="B",VLOOKUP($A370,Bat!$A$4:$BD$2323,L$1,FALSE),VLOOKUP($A370,Pit!$A$4:$AZ$2261,L$2,FALSE))</f>
        <v>4</v>
      </c>
      <c r="M370" s="16">
        <f>IF($C370="B",VLOOKUP($A370,Bat!$A$4:$BD$2323,M$1,FALSE),VLOOKUP($A370,Pit!$A$4:$AZ$2261,M$2,FALSE))</f>
        <v>6</v>
      </c>
      <c r="N370" s="16">
        <f>IF($C370="B",VLOOKUP($A370,Bat!$A$4:$BD$2323,N$1,FALSE),VLOOKUP($A370,Pit!$A$4:$AZ$2261,N$2,FALSE))</f>
        <v>5</v>
      </c>
      <c r="O370" s="16" t="str">
        <f>IF($C370="B",VLOOKUP($A370,Bat!$A$4:$BD$2323,O$1,FALSE),VLOOKUP($A370,Pit!$A$4:$AZ$2261,O$2,FALSE))</f>
        <v>80-83 Mph</v>
      </c>
      <c r="P370" s="17">
        <f>IF($C370="B",VLOOKUP($A370,Bat!$A$4:$BD$2323,P$1,FALSE),VLOOKUP($A370,Pit!$A$4:$AZ$2261,P$2,FALSE))</f>
        <v>3</v>
      </c>
      <c r="Q370" s="18">
        <f>IF($C370="B",VLOOKUP($A370,Bat!$A$4:$BD$2323,Q$1,FALSE),VLOOKUP($A370,Pit!$A$4:$AZ$2261,Q$2,FALSE))</f>
        <v>33.935730806901006</v>
      </c>
      <c r="R370" s="19">
        <f>IF($C370="B",VLOOKUP($A370,Bat!$A$4:$BD$2323,R$1,FALSE),VLOOKUP($A370,Pit!$A$4:$AZ$2261,R$2,FALSE))</f>
        <v>1.1512176599157433E-3</v>
      </c>
      <c r="S370" s="20" t="str">
        <f>IF($C370="B",VLOOKUP($A370,Bat!$A$4:$BD$2323,S$1,FALSE),VLOOKUP($A370,Pit!$A$4:$AZ$2261,S$2,FALSE))</f>
        <v>Slot</v>
      </c>
      <c r="T370" s="17" t="str">
        <f>IF(S370="Slot","",VLOOKUP(IF($C370="B",VLOOKUP($A370,Bat!$A$4:$AT$2323,T$1,FALSE),VLOOKUP($A370,Pit!$A$4:$BD$2261,T$2,FALSE)),COND!$A$34:$B$40,2,FALSE))</f>
        <v/>
      </c>
      <c r="U370" s="21">
        <f>IF($C370="B",VLOOKUP($A370,Bat!$A$4:$AR$1287,44,FALSE),VLOOKUP($A370,Pit!$A$4:$BB$1239,54,FALSE))</f>
        <v>0</v>
      </c>
      <c r="W370" s="21">
        <f t="shared" si="22"/>
        <v>0</v>
      </c>
      <c r="X370" s="22" t="e">
        <f t="shared" si="23"/>
        <v>#N/A</v>
      </c>
      <c r="Y370" s="16" t="str">
        <f>IF(ISERROR(VLOOKUP($E370&amp;$F370,Results!$A$2:$G$413,Y$1,FALSE)),"",VLOOKUP($E370&amp;$F370,Results!$A$2:$G$413,Y$1,FALSE))</f>
        <v/>
      </c>
      <c r="Z370" s="16" t="str">
        <f>IF(ISERROR(VLOOKUP($E370&amp;$F370,Results!$A$2:$G$413,Z$1,FALSE)),"",VLOOKUP($E370&amp;$F370,Results!$A$2:$G$413,Z$1,FALSE))</f>
        <v/>
      </c>
      <c r="AA370" s="16" t="str">
        <f>IF(ISERROR(VLOOKUP($E370&amp;$F370,Results!$A$2:$G$413,AA$1,FALSE)),"",VLOOKUP($E370&amp;$F370,Results!$A$2:$G$413,AA$1,FALSE))</f>
        <v/>
      </c>
      <c r="AB370" s="16" t="str">
        <f>IF(ISERROR(VLOOKUP($E370&amp;$F370,Results!$A$2:$G$413,AB$1,FALSE)),"",VLOOKUP($E370&amp;$F370,Results!$A$2:$G$413,AB$1,FALSE))</f>
        <v/>
      </c>
      <c r="AC370" s="16"/>
      <c r="AD370" s="20" t="str">
        <f>IF(ISERROR(VLOOKUP($AB370&amp;"-"&amp;$F370,Bonuses!$B$1:$G$1000,4,FALSE)),"",INT(VLOOKUP($AB370&amp;"-"&amp;$F370,Bonuses!$B$1:$G$1000,4,FALSE)))</f>
        <v/>
      </c>
      <c r="AE370" s="16" t="str">
        <f>IF(ISERROR(VLOOKUP($AB370&amp;"-"&amp;$F370,Bonuses!$B$1:$G$1000,5,FALSE)),"",IF(VLOOKUP($AB370&amp;"-"&amp;$F370,Bonuses!$B$1:$G$1000,5,FALSE)="","",VLOOKUP($AB370&amp;"-"&amp;$F370,Bonuses!$B$1:$G$1000,6,FALSE)&amp;" yrs, "&amp;VLOOKUP($AB370&amp;"-"&amp;$F370,Bonuses!$B$1:$G$1000,5,FALSE)))</f>
        <v/>
      </c>
    </row>
    <row r="371" spans="1:31" s="21" customFormat="1">
      <c r="A371" s="21" t="s">
        <v>670</v>
      </c>
      <c r="B371" s="21">
        <f t="shared" si="20"/>
        <v>1</v>
      </c>
      <c r="C371" s="21" t="str">
        <f t="shared" si="21"/>
        <v>P</v>
      </c>
      <c r="D371" s="17">
        <f>IF($C371="B",VLOOKUP($A371,Bat!$A$4:$BD$2323,D$1,FALSE),VLOOKUP($A371,Pit!$A$4:$AZ$2261,D$2,FALSE))</f>
        <v>2144</v>
      </c>
      <c r="E371" s="16" t="str">
        <f>IF($C371="B",VLOOKUP($A371,Bat!$A$4:$BD$2323,E$1,FALSE),VLOOKUP($A371,Pit!$A$4:$AZ$2261,E$2,FALSE))</f>
        <v>MR</v>
      </c>
      <c r="F371" s="16" t="str">
        <f>IF($C371="B",VLOOKUP($A371,Bat!$A$4:$BD$2323,F$1,FALSE),VLOOKUP($A371,Pit!$A$4:$AZ$2261,F$2,FALSE))</f>
        <v>Steve Jowett</v>
      </c>
      <c r="G371" s="16">
        <f>IF($C371="B",VLOOKUP($A371,Bat!$A$4:$BD$2323,G$1,FALSE),VLOOKUP($A371,Pit!$A$4:$AZ$2261,G$2,FALSE))</f>
        <v>21</v>
      </c>
      <c r="H371" s="16" t="str">
        <f>IF($C371="B",VLOOKUP($A371,Bat!$A$4:$BD$2323,H$1,FALSE),VLOOKUP($A371,Pit!$A$4:$AZ$2261,H$2,FALSE))</f>
        <v>R</v>
      </c>
      <c r="I371" s="16" t="str">
        <f>IF($C371="B",VLOOKUP($A371,Bat!$A$4:$BD$2323,I$1,FALSE),VLOOKUP($A371,Pit!$A$4:$AZ$2261,I$2,FALSE))</f>
        <v>L</v>
      </c>
      <c r="J371" s="16" t="str">
        <f>IF($C371="B",VLOOKUP($A371,Bat!$A$4:$BD$2323,J$1,FALSE),VLOOKUP($A371,Pit!$A$4:$AZ$2261,J$2,FALSE))</f>
        <v>Low</v>
      </c>
      <c r="K371" s="17" t="str">
        <f>IF($C371="B",VLOOKUP($A371,Bat!$A$4:$BD$2323,K$1,FALSE),VLOOKUP($A371,Pit!$A$4:$AZ$2261,K$2,FALSE))</f>
        <v>High</v>
      </c>
      <c r="L371" s="16">
        <f>IF($C371="B",VLOOKUP($A371,Bat!$A$4:$BD$2323,L$1,FALSE),VLOOKUP($A371,Pit!$A$4:$AZ$2261,L$2,FALSE))</f>
        <v>4</v>
      </c>
      <c r="M371" s="16">
        <f>IF($C371="B",VLOOKUP($A371,Bat!$A$4:$BD$2323,M$1,FALSE),VLOOKUP($A371,Pit!$A$4:$AZ$2261,M$2,FALSE))</f>
        <v>5</v>
      </c>
      <c r="N371" s="16">
        <f>IF($C371="B",VLOOKUP($A371,Bat!$A$4:$BD$2323,N$1,FALSE),VLOOKUP($A371,Pit!$A$4:$AZ$2261,N$2,FALSE))</f>
        <v>5</v>
      </c>
      <c r="O371" s="16" t="str">
        <f>IF($C371="B",VLOOKUP($A371,Bat!$A$4:$BD$2323,O$1,FALSE),VLOOKUP($A371,Pit!$A$4:$AZ$2261,O$2,FALSE))</f>
        <v>92-94 Mph</v>
      </c>
      <c r="P371" s="17">
        <f>IF($C371="B",VLOOKUP($A371,Bat!$A$4:$BD$2323,P$1,FALSE),VLOOKUP($A371,Pit!$A$4:$AZ$2261,P$2,FALSE))</f>
        <v>7</v>
      </c>
      <c r="Q371" s="18">
        <f>IF($C371="B",VLOOKUP($A371,Bat!$A$4:$BD$2323,Q$1,FALSE),VLOOKUP($A371,Pit!$A$4:$AZ$2261,Q$2,FALSE))</f>
        <v>34.824261493238168</v>
      </c>
      <c r="R371" s="19">
        <f>IF($C371="B",VLOOKUP($A371,Bat!$A$4:$BD$2323,R$1,FALSE),VLOOKUP($A371,Pit!$A$4:$AZ$2261,R$2,FALSE))</f>
        <v>7.1688594863848529E-2</v>
      </c>
      <c r="S371" s="20" t="str">
        <f>IF($C371="B",VLOOKUP($A371,Bat!$A$4:$BD$2323,S$1,FALSE),VLOOKUP($A371,Pit!$A$4:$AZ$2261,S$2,FALSE))</f>
        <v>Slot</v>
      </c>
      <c r="T371" s="17" t="str">
        <f>IF(S371="Slot","",VLOOKUP(IF($C371="B",VLOOKUP($A371,Bat!$A$4:$AT$2323,T$1,FALSE),VLOOKUP($A371,Pit!$A$4:$BD$2261,T$2,FALSE)),COND!$A$34:$B$40,2,FALSE))</f>
        <v/>
      </c>
      <c r="U371" s="21">
        <f>IF($C371="B",VLOOKUP($A371,Bat!$A$4:$AR$1287,44,FALSE),VLOOKUP($A371,Pit!$A$4:$BB$1239,54,FALSE))</f>
        <v>0</v>
      </c>
      <c r="W371" s="21">
        <f t="shared" si="22"/>
        <v>0</v>
      </c>
      <c r="X371" s="22" t="e">
        <f t="shared" si="23"/>
        <v>#N/A</v>
      </c>
      <c r="Y371" s="16" t="str">
        <f>IF(ISERROR(VLOOKUP($E371&amp;$F371,Results!$A$2:$G$413,Y$1,FALSE)),"",VLOOKUP($E371&amp;$F371,Results!$A$2:$G$413,Y$1,FALSE))</f>
        <v/>
      </c>
      <c r="Z371" s="16" t="str">
        <f>IF(ISERROR(VLOOKUP($E371&amp;$F371,Results!$A$2:$G$413,Z$1,FALSE)),"",VLOOKUP($E371&amp;$F371,Results!$A$2:$G$413,Z$1,FALSE))</f>
        <v/>
      </c>
      <c r="AA371" s="16" t="str">
        <f>IF(ISERROR(VLOOKUP($E371&amp;$F371,Results!$A$2:$G$413,AA$1,FALSE)),"",VLOOKUP($E371&amp;$F371,Results!$A$2:$G$413,AA$1,FALSE))</f>
        <v/>
      </c>
      <c r="AB371" s="16" t="str">
        <f>IF(ISERROR(VLOOKUP($E371&amp;$F371,Results!$A$2:$G$413,AB$1,FALSE)),"",VLOOKUP($E371&amp;$F371,Results!$A$2:$G$413,AB$1,FALSE))</f>
        <v/>
      </c>
      <c r="AC371" s="16"/>
      <c r="AD371" s="20" t="str">
        <f>IF(ISERROR(VLOOKUP($AB371&amp;"-"&amp;$F371,Bonuses!$B$1:$G$1000,4,FALSE)),"",INT(VLOOKUP($AB371&amp;"-"&amp;$F371,Bonuses!$B$1:$G$1000,4,FALSE)))</f>
        <v/>
      </c>
      <c r="AE371" s="16" t="str">
        <f>IF(ISERROR(VLOOKUP($AB371&amp;"-"&amp;$F371,Bonuses!$B$1:$G$1000,5,FALSE)),"",IF(VLOOKUP($AB371&amp;"-"&amp;$F371,Bonuses!$B$1:$G$1000,5,FALSE)="","",VLOOKUP($AB371&amp;"-"&amp;$F371,Bonuses!$B$1:$G$1000,6,FALSE)&amp;" yrs, "&amp;VLOOKUP($AB371&amp;"-"&amp;$F371,Bonuses!$B$1:$G$1000,5,FALSE)))</f>
        <v/>
      </c>
    </row>
    <row r="372" spans="1:31" s="21" customFormat="1">
      <c r="A372" s="21" t="s">
        <v>266</v>
      </c>
      <c r="B372" s="21">
        <f t="shared" si="20"/>
        <v>1</v>
      </c>
      <c r="C372" s="21" t="str">
        <f t="shared" si="21"/>
        <v>P</v>
      </c>
      <c r="D372" s="17">
        <f>IF($C372="B",VLOOKUP($A372,Bat!$A$4:$BD$2323,D$1,FALSE),VLOOKUP($A372,Pit!$A$4:$AZ$2261,D$2,FALSE))</f>
        <v>2384</v>
      </c>
      <c r="E372" s="16" t="str">
        <f>IF($C372="B",VLOOKUP($A372,Bat!$A$4:$BD$2323,E$1,FALSE),VLOOKUP($A372,Pit!$A$4:$AZ$2261,E$2,FALSE))</f>
        <v>SP</v>
      </c>
      <c r="F372" s="16" t="str">
        <f>IF($C372="B",VLOOKUP($A372,Bat!$A$4:$BD$2323,F$1,FALSE),VLOOKUP($A372,Pit!$A$4:$AZ$2261,F$2,FALSE))</f>
        <v>Carl Long</v>
      </c>
      <c r="G372" s="16">
        <f>IF($C372="B",VLOOKUP($A372,Bat!$A$4:$BD$2323,G$1,FALSE),VLOOKUP($A372,Pit!$A$4:$AZ$2261,G$2,FALSE))</f>
        <v>21</v>
      </c>
      <c r="H372" s="16" t="str">
        <f>IF($C372="B",VLOOKUP($A372,Bat!$A$4:$BD$2323,H$1,FALSE),VLOOKUP($A372,Pit!$A$4:$AZ$2261,H$2,FALSE))</f>
        <v>R</v>
      </c>
      <c r="I372" s="16" t="str">
        <f>IF($C372="B",VLOOKUP($A372,Bat!$A$4:$BD$2323,I$1,FALSE),VLOOKUP($A372,Pit!$A$4:$AZ$2261,I$2,FALSE))</f>
        <v>R</v>
      </c>
      <c r="J372" s="16" t="str">
        <f>IF($C372="B",VLOOKUP($A372,Bat!$A$4:$BD$2323,J$1,FALSE),VLOOKUP($A372,Pit!$A$4:$AZ$2261,J$2,FALSE))</f>
        <v>Very Low</v>
      </c>
      <c r="K372" s="17" t="str">
        <f>IF($C372="B",VLOOKUP($A372,Bat!$A$4:$BD$2323,K$1,FALSE),VLOOKUP($A372,Pit!$A$4:$AZ$2261,K$2,FALSE))</f>
        <v>Normal</v>
      </c>
      <c r="L372" s="16">
        <f>IF($C372="B",VLOOKUP($A372,Bat!$A$4:$BD$2323,L$1,FALSE),VLOOKUP($A372,Pit!$A$4:$AZ$2261,L$2,FALSE))</f>
        <v>5</v>
      </c>
      <c r="M372" s="16">
        <f>IF($C372="B",VLOOKUP($A372,Bat!$A$4:$BD$2323,M$1,FALSE),VLOOKUP($A372,Pit!$A$4:$AZ$2261,M$2,FALSE))</f>
        <v>5</v>
      </c>
      <c r="N372" s="16">
        <f>IF($C372="B",VLOOKUP($A372,Bat!$A$4:$BD$2323,N$1,FALSE),VLOOKUP($A372,Pit!$A$4:$AZ$2261,N$2,FALSE))</f>
        <v>4</v>
      </c>
      <c r="O372" s="16" t="str">
        <f>IF($C372="B",VLOOKUP($A372,Bat!$A$4:$BD$2323,O$1,FALSE),VLOOKUP($A372,Pit!$A$4:$AZ$2261,O$2,FALSE))</f>
        <v>95-97 Mph</v>
      </c>
      <c r="P372" s="17">
        <f>IF($C372="B",VLOOKUP($A372,Bat!$A$4:$BD$2323,P$1,FALSE),VLOOKUP($A372,Pit!$A$4:$AZ$2261,P$2,FALSE))</f>
        <v>6</v>
      </c>
      <c r="Q372" s="18">
        <f>IF($C372="B",VLOOKUP($A372,Bat!$A$4:$BD$2323,Q$1,FALSE),VLOOKUP($A372,Pit!$A$4:$AZ$2261,Q$2,FALSE))</f>
        <v>33.297768501924608</v>
      </c>
      <c r="R372" s="19">
        <f>IF($C372="B",VLOOKUP($A372,Bat!$A$4:$BD$2323,R$1,FALSE),VLOOKUP($A372,Pit!$A$4:$AZ$2261,R$2,FALSE))</f>
        <v>-4.9494402620816773E-2</v>
      </c>
      <c r="S372" s="20" t="str">
        <f>IF($C372="B",VLOOKUP($A372,Bat!$A$4:$BD$2323,S$1,FALSE),VLOOKUP($A372,Pit!$A$4:$AZ$2261,S$2,FALSE))</f>
        <v>Slot</v>
      </c>
      <c r="T372" s="17" t="str">
        <f>IF(S372="Slot","",VLOOKUP(IF($C372="B",VLOOKUP($A372,Bat!$A$4:$AT$2323,T$1,FALSE),VLOOKUP($A372,Pit!$A$4:$BD$2261,T$2,FALSE)),COND!$A$34:$B$40,2,FALSE))</f>
        <v/>
      </c>
      <c r="U372" s="21">
        <f>IF($C372="B",VLOOKUP($A372,Bat!$A$4:$AR$1287,44,FALSE),VLOOKUP($A372,Pit!$A$4:$BB$1239,54,FALSE))</f>
        <v>0</v>
      </c>
      <c r="W372" s="21">
        <f t="shared" si="22"/>
        <v>0</v>
      </c>
      <c r="X372" s="22" t="e">
        <f t="shared" si="23"/>
        <v>#N/A</v>
      </c>
      <c r="Y372" s="16" t="str">
        <f>IF(ISERROR(VLOOKUP($E372&amp;$F372,Results!$A$2:$G$413,Y$1,FALSE)),"",VLOOKUP($E372&amp;$F372,Results!$A$2:$G$413,Y$1,FALSE))</f>
        <v/>
      </c>
      <c r="Z372" s="16" t="str">
        <f>IF(ISERROR(VLOOKUP($E372&amp;$F372,Results!$A$2:$G$413,Z$1,FALSE)),"",VLOOKUP($E372&amp;$F372,Results!$A$2:$G$413,Z$1,FALSE))</f>
        <v/>
      </c>
      <c r="AA372" s="16" t="str">
        <f>IF(ISERROR(VLOOKUP($E372&amp;$F372,Results!$A$2:$G$413,AA$1,FALSE)),"",VLOOKUP($E372&amp;$F372,Results!$A$2:$G$413,AA$1,FALSE))</f>
        <v/>
      </c>
      <c r="AB372" s="16" t="str">
        <f>IF(ISERROR(VLOOKUP($E372&amp;$F372,Results!$A$2:$G$413,AB$1,FALSE)),"",VLOOKUP($E372&amp;$F372,Results!$A$2:$G$413,AB$1,FALSE))</f>
        <v/>
      </c>
      <c r="AC372" s="16"/>
      <c r="AD372" s="20" t="str">
        <f>IF(ISERROR(VLOOKUP($AB372&amp;"-"&amp;$F372,Bonuses!$B$1:$G$1000,4,FALSE)),"",INT(VLOOKUP($AB372&amp;"-"&amp;$F372,Bonuses!$B$1:$G$1000,4,FALSE)))</f>
        <v/>
      </c>
      <c r="AE372" s="16" t="str">
        <f>IF(ISERROR(VLOOKUP($AB372&amp;"-"&amp;$F372,Bonuses!$B$1:$G$1000,5,FALSE)),"",IF(VLOOKUP($AB372&amp;"-"&amp;$F372,Bonuses!$B$1:$G$1000,5,FALSE)="","",VLOOKUP($AB372&amp;"-"&amp;$F372,Bonuses!$B$1:$G$1000,6,FALSE)&amp;" yrs, "&amp;VLOOKUP($AB372&amp;"-"&amp;$F372,Bonuses!$B$1:$G$1000,5,FALSE)))</f>
        <v/>
      </c>
    </row>
    <row r="373" spans="1:31" s="21" customFormat="1">
      <c r="A373" s="21" t="s">
        <v>672</v>
      </c>
      <c r="B373" s="21">
        <f t="shared" si="20"/>
        <v>1</v>
      </c>
      <c r="C373" s="21" t="str">
        <f t="shared" si="21"/>
        <v>P</v>
      </c>
      <c r="D373" s="17" t="e">
        <f>IF($C373="B",VLOOKUP($A373,Bat!$A$4:$BD$2323,D$1,FALSE),VLOOKUP($A373,Pit!$A$4:$AZ$2261,D$2,FALSE))</f>
        <v>#N/A</v>
      </c>
      <c r="E373" s="16" t="e">
        <f>IF($C373="B",VLOOKUP($A373,Bat!$A$4:$BD$2323,E$1,FALSE),VLOOKUP($A373,Pit!$A$4:$AZ$2261,E$2,FALSE))</f>
        <v>#N/A</v>
      </c>
      <c r="F373" s="16" t="e">
        <f>IF($C373="B",VLOOKUP($A373,Bat!$A$4:$BD$2323,F$1,FALSE),VLOOKUP($A373,Pit!$A$4:$AZ$2261,F$2,FALSE))</f>
        <v>#N/A</v>
      </c>
      <c r="G373" s="16" t="e">
        <f>IF($C373="B",VLOOKUP($A373,Bat!$A$4:$BD$2323,G$1,FALSE),VLOOKUP($A373,Pit!$A$4:$AZ$2261,G$2,FALSE))</f>
        <v>#N/A</v>
      </c>
      <c r="H373" s="16" t="e">
        <f>IF($C373="B",VLOOKUP($A373,Bat!$A$4:$BD$2323,H$1,FALSE),VLOOKUP($A373,Pit!$A$4:$AZ$2261,H$2,FALSE))</f>
        <v>#N/A</v>
      </c>
      <c r="I373" s="16" t="e">
        <f>IF($C373="B",VLOOKUP($A373,Bat!$A$4:$BD$2323,I$1,FALSE),VLOOKUP($A373,Pit!$A$4:$AZ$2261,I$2,FALSE))</f>
        <v>#N/A</v>
      </c>
      <c r="J373" s="16" t="e">
        <f>IF($C373="B",VLOOKUP($A373,Bat!$A$4:$BD$2323,J$1,FALSE),VLOOKUP($A373,Pit!$A$4:$AZ$2261,J$2,FALSE))</f>
        <v>#N/A</v>
      </c>
      <c r="K373" s="17" t="e">
        <f>IF($C373="B",VLOOKUP($A373,Bat!$A$4:$BD$2323,K$1,FALSE),VLOOKUP($A373,Pit!$A$4:$AZ$2261,K$2,FALSE))</f>
        <v>#N/A</v>
      </c>
      <c r="L373" s="16" t="e">
        <f>IF($C373="B",VLOOKUP($A373,Bat!$A$4:$BD$2323,L$1,FALSE),VLOOKUP($A373,Pit!$A$4:$AZ$2261,L$2,FALSE))</f>
        <v>#N/A</v>
      </c>
      <c r="M373" s="16" t="e">
        <f>IF($C373="B",VLOOKUP($A373,Bat!$A$4:$BD$2323,M$1,FALSE),VLOOKUP($A373,Pit!$A$4:$AZ$2261,M$2,FALSE))</f>
        <v>#N/A</v>
      </c>
      <c r="N373" s="16" t="e">
        <f>IF($C373="B",VLOOKUP($A373,Bat!$A$4:$BD$2323,N$1,FALSE),VLOOKUP($A373,Pit!$A$4:$AZ$2261,N$2,FALSE))</f>
        <v>#N/A</v>
      </c>
      <c r="O373" s="16" t="e">
        <f>IF($C373="B",VLOOKUP($A373,Bat!$A$4:$BD$2323,O$1,FALSE),VLOOKUP($A373,Pit!$A$4:$AZ$2261,O$2,FALSE))</f>
        <v>#N/A</v>
      </c>
      <c r="P373" s="17" t="e">
        <f>IF($C373="B",VLOOKUP($A373,Bat!$A$4:$BD$2323,P$1,FALSE),VLOOKUP($A373,Pit!$A$4:$AZ$2261,P$2,FALSE))</f>
        <v>#N/A</v>
      </c>
      <c r="Q373" s="18" t="e">
        <f>IF($C373="B",VLOOKUP($A373,Bat!$A$4:$BD$2323,Q$1,FALSE),VLOOKUP($A373,Pit!$A$4:$AZ$2261,Q$2,FALSE))</f>
        <v>#N/A</v>
      </c>
      <c r="R373" s="19" t="e">
        <f>IF($C373="B",VLOOKUP($A373,Bat!$A$4:$BD$2323,R$1,FALSE),VLOOKUP($A373,Pit!$A$4:$AZ$2261,R$2,FALSE))</f>
        <v>#N/A</v>
      </c>
      <c r="S373" s="20" t="e">
        <f>IF($C373="B",VLOOKUP($A373,Bat!$A$4:$BD$2323,S$1,FALSE),VLOOKUP($A373,Pit!$A$4:$AZ$2261,S$2,FALSE))</f>
        <v>#N/A</v>
      </c>
      <c r="T373" s="17" t="e">
        <f>IF(S373="Slot","",VLOOKUP(IF($C373="B",VLOOKUP($A373,Bat!$A$4:$AT$2323,T$1,FALSE),VLOOKUP($A373,Pit!$A$4:$BD$2261,T$2,FALSE)),COND!$A$34:$B$40,2,FALSE))</f>
        <v>#N/A</v>
      </c>
      <c r="U373" s="21" t="e">
        <f>IF($C373="B",VLOOKUP($A373,Bat!$A$4:$AR$1287,44,FALSE),VLOOKUP($A373,Pit!$A$4:$BB$1239,54,FALSE))</f>
        <v>#N/A</v>
      </c>
      <c r="W373" s="21" t="e">
        <f t="shared" si="22"/>
        <v>#N/A</v>
      </c>
      <c r="X373" s="22" t="e">
        <f t="shared" si="23"/>
        <v>#N/A</v>
      </c>
      <c r="Y373" s="16" t="str">
        <f>IF(ISERROR(VLOOKUP($E373&amp;$F373,Results!$A$2:$G$413,Y$1,FALSE)),"",VLOOKUP($E373&amp;$F373,Results!$A$2:$G$413,Y$1,FALSE))</f>
        <v/>
      </c>
      <c r="Z373" s="16" t="str">
        <f>IF(ISERROR(VLOOKUP($E373&amp;$F373,Results!$A$2:$G$413,Z$1,FALSE)),"",VLOOKUP($E373&amp;$F373,Results!$A$2:$G$413,Z$1,FALSE))</f>
        <v/>
      </c>
      <c r="AA373" s="16" t="str">
        <f>IF(ISERROR(VLOOKUP($E373&amp;$F373,Results!$A$2:$G$413,AA$1,FALSE)),"",VLOOKUP($E373&amp;$F373,Results!$A$2:$G$413,AA$1,FALSE))</f>
        <v/>
      </c>
      <c r="AB373" s="16" t="str">
        <f>IF(ISERROR(VLOOKUP($E373&amp;$F373,Results!$A$2:$G$413,AB$1,FALSE)),"",VLOOKUP($E373&amp;$F373,Results!$A$2:$G$413,AB$1,FALSE))</f>
        <v/>
      </c>
      <c r="AC373" s="16"/>
      <c r="AD373" s="20" t="str">
        <f>IF(ISERROR(VLOOKUP($AB373&amp;"-"&amp;$F373,Bonuses!$B$1:$G$1000,4,FALSE)),"",INT(VLOOKUP($AB373&amp;"-"&amp;$F373,Bonuses!$B$1:$G$1000,4,FALSE)))</f>
        <v/>
      </c>
      <c r="AE373" s="16" t="str">
        <f>IF(ISERROR(VLOOKUP($AB373&amp;"-"&amp;$F373,Bonuses!$B$1:$G$1000,5,FALSE)),"",IF(VLOOKUP($AB373&amp;"-"&amp;$F373,Bonuses!$B$1:$G$1000,5,FALSE)="","",VLOOKUP($AB373&amp;"-"&amp;$F373,Bonuses!$B$1:$G$1000,6,FALSE)&amp;" yrs, "&amp;VLOOKUP($AB373&amp;"-"&amp;$F373,Bonuses!$B$1:$G$1000,5,FALSE)))</f>
        <v/>
      </c>
    </row>
    <row r="374" spans="1:31" s="21" customFormat="1">
      <c r="A374" s="21" t="s">
        <v>712</v>
      </c>
      <c r="B374" s="21">
        <f t="shared" si="20"/>
        <v>1</v>
      </c>
      <c r="C374" s="21" t="str">
        <f t="shared" si="21"/>
        <v>P</v>
      </c>
      <c r="D374" s="17" t="e">
        <f>IF($C374="B",VLOOKUP($A374,Bat!$A$4:$BD$2323,D$1,FALSE),VLOOKUP($A374,Pit!$A$4:$AZ$2261,D$2,FALSE))</f>
        <v>#N/A</v>
      </c>
      <c r="E374" s="16" t="e">
        <f>IF($C374="B",VLOOKUP($A374,Bat!$A$4:$BD$2323,E$1,FALSE),VLOOKUP($A374,Pit!$A$4:$AZ$2261,E$2,FALSE))</f>
        <v>#N/A</v>
      </c>
      <c r="F374" s="16" t="e">
        <f>IF($C374="B",VLOOKUP($A374,Bat!$A$4:$BD$2323,F$1,FALSE),VLOOKUP($A374,Pit!$A$4:$AZ$2261,F$2,FALSE))</f>
        <v>#N/A</v>
      </c>
      <c r="G374" s="16" t="e">
        <f>IF($C374="B",VLOOKUP($A374,Bat!$A$4:$BD$2323,G$1,FALSE),VLOOKUP($A374,Pit!$A$4:$AZ$2261,G$2,FALSE))</f>
        <v>#N/A</v>
      </c>
      <c r="H374" s="16" t="e">
        <f>IF($C374="B",VLOOKUP($A374,Bat!$A$4:$BD$2323,H$1,FALSE),VLOOKUP($A374,Pit!$A$4:$AZ$2261,H$2,FALSE))</f>
        <v>#N/A</v>
      </c>
      <c r="I374" s="16" t="e">
        <f>IF($C374="B",VLOOKUP($A374,Bat!$A$4:$BD$2323,I$1,FALSE),VLOOKUP($A374,Pit!$A$4:$AZ$2261,I$2,FALSE))</f>
        <v>#N/A</v>
      </c>
      <c r="J374" s="16" t="e">
        <f>IF($C374="B",VLOOKUP($A374,Bat!$A$4:$BD$2323,J$1,FALSE),VLOOKUP($A374,Pit!$A$4:$AZ$2261,J$2,FALSE))</f>
        <v>#N/A</v>
      </c>
      <c r="K374" s="17" t="e">
        <f>IF($C374="B",VLOOKUP($A374,Bat!$A$4:$BD$2323,K$1,FALSE),VLOOKUP($A374,Pit!$A$4:$AZ$2261,K$2,FALSE))</f>
        <v>#N/A</v>
      </c>
      <c r="L374" s="16" t="e">
        <f>IF($C374="B",VLOOKUP($A374,Bat!$A$4:$BD$2323,L$1,FALSE),VLOOKUP($A374,Pit!$A$4:$AZ$2261,L$2,FALSE))</f>
        <v>#N/A</v>
      </c>
      <c r="M374" s="16" t="e">
        <f>IF($C374="B",VLOOKUP($A374,Bat!$A$4:$BD$2323,M$1,FALSE),VLOOKUP($A374,Pit!$A$4:$AZ$2261,M$2,FALSE))</f>
        <v>#N/A</v>
      </c>
      <c r="N374" s="16" t="e">
        <f>IF($C374="B",VLOOKUP($A374,Bat!$A$4:$BD$2323,N$1,FALSE),VLOOKUP($A374,Pit!$A$4:$AZ$2261,N$2,FALSE))</f>
        <v>#N/A</v>
      </c>
      <c r="O374" s="16" t="e">
        <f>IF($C374="B",VLOOKUP($A374,Bat!$A$4:$BD$2323,O$1,FALSE),VLOOKUP($A374,Pit!$A$4:$AZ$2261,O$2,FALSE))</f>
        <v>#N/A</v>
      </c>
      <c r="P374" s="17" t="e">
        <f>IF($C374="B",VLOOKUP($A374,Bat!$A$4:$BD$2323,P$1,FALSE),VLOOKUP($A374,Pit!$A$4:$AZ$2261,P$2,FALSE))</f>
        <v>#N/A</v>
      </c>
      <c r="Q374" s="18" t="e">
        <f>IF($C374="B",VLOOKUP($A374,Bat!$A$4:$BD$2323,Q$1,FALSE),VLOOKUP($A374,Pit!$A$4:$AZ$2261,Q$2,FALSE))</f>
        <v>#N/A</v>
      </c>
      <c r="R374" s="19" t="e">
        <f>IF($C374="B",VLOOKUP($A374,Bat!$A$4:$BD$2323,R$1,FALSE),VLOOKUP($A374,Pit!$A$4:$AZ$2261,R$2,FALSE))</f>
        <v>#N/A</v>
      </c>
      <c r="S374" s="20" t="e">
        <f>IF($C374="B",VLOOKUP($A374,Bat!$A$4:$BD$2323,S$1,FALSE),VLOOKUP($A374,Pit!$A$4:$AZ$2261,S$2,FALSE))</f>
        <v>#N/A</v>
      </c>
      <c r="T374" s="17" t="e">
        <f>IF(S374="Slot","",VLOOKUP(IF($C374="B",VLOOKUP($A374,Bat!$A$4:$AT$2323,T$1,FALSE),VLOOKUP($A374,Pit!$A$4:$BD$2261,T$2,FALSE)),COND!$A$34:$B$40,2,FALSE))</f>
        <v>#N/A</v>
      </c>
      <c r="U374" s="21" t="e">
        <f>IF($C374="B",VLOOKUP($A374,Bat!$A$4:$AR$1287,44,FALSE),VLOOKUP($A374,Pit!$A$4:$BB$1239,54,FALSE))</f>
        <v>#N/A</v>
      </c>
      <c r="W374" s="21" t="e">
        <f t="shared" si="22"/>
        <v>#N/A</v>
      </c>
      <c r="X374" s="22" t="e">
        <f t="shared" si="23"/>
        <v>#N/A</v>
      </c>
      <c r="Y374" s="16" t="str">
        <f>IF(ISERROR(VLOOKUP($E374&amp;$F374,Results!$A$2:$G$413,Y$1,FALSE)),"",VLOOKUP($E374&amp;$F374,Results!$A$2:$G$413,Y$1,FALSE))</f>
        <v/>
      </c>
      <c r="Z374" s="16" t="str">
        <f>IF(ISERROR(VLOOKUP($E374&amp;$F374,Results!$A$2:$G$413,Z$1,FALSE)),"",VLOOKUP($E374&amp;$F374,Results!$A$2:$G$413,Z$1,FALSE))</f>
        <v/>
      </c>
      <c r="AA374" s="16" t="str">
        <f>IF(ISERROR(VLOOKUP($E374&amp;$F374,Results!$A$2:$G$413,AA$1,FALSE)),"",VLOOKUP($E374&amp;$F374,Results!$A$2:$G$413,AA$1,FALSE))</f>
        <v/>
      </c>
      <c r="AB374" s="16" t="str">
        <f>IF(ISERROR(VLOOKUP($E374&amp;$F374,Results!$A$2:$G$413,AB$1,FALSE)),"",VLOOKUP($E374&amp;$F374,Results!$A$2:$G$413,AB$1,FALSE))</f>
        <v/>
      </c>
      <c r="AC374" s="16"/>
      <c r="AD374" s="20" t="str">
        <f>IF(ISERROR(VLOOKUP($AB374&amp;"-"&amp;$F374,Bonuses!$B$1:$G$1000,4,FALSE)),"",INT(VLOOKUP($AB374&amp;"-"&amp;$F374,Bonuses!$B$1:$G$1000,4,FALSE)))</f>
        <v/>
      </c>
      <c r="AE374" s="16" t="str">
        <f>IF(ISERROR(VLOOKUP($AB374&amp;"-"&amp;$F374,Bonuses!$B$1:$G$1000,5,FALSE)),"",IF(VLOOKUP($AB374&amp;"-"&amp;$F374,Bonuses!$B$1:$G$1000,5,FALSE)="","",VLOOKUP($AB374&amp;"-"&amp;$F374,Bonuses!$B$1:$G$1000,6,FALSE)&amp;" yrs, "&amp;VLOOKUP($AB374&amp;"-"&amp;$F374,Bonuses!$B$1:$G$1000,5,FALSE)))</f>
        <v/>
      </c>
    </row>
    <row r="375" spans="1:31" s="21" customFormat="1">
      <c r="A375" s="21" t="s">
        <v>703</v>
      </c>
      <c r="B375" s="21">
        <f t="shared" si="20"/>
        <v>1</v>
      </c>
      <c r="C375" s="21" t="str">
        <f t="shared" si="21"/>
        <v>P</v>
      </c>
      <c r="D375" s="17">
        <f>IF($C375="B",VLOOKUP($A375,Bat!$A$4:$BD$2323,D$1,FALSE),VLOOKUP($A375,Pit!$A$4:$AZ$2261,D$2,FALSE))</f>
        <v>13917</v>
      </c>
      <c r="E375" s="16" t="str">
        <f>IF($C375="B",VLOOKUP($A375,Bat!$A$4:$BD$2323,E$1,FALSE),VLOOKUP($A375,Pit!$A$4:$AZ$2261,E$2,FALSE))</f>
        <v>MR</v>
      </c>
      <c r="F375" s="16" t="str">
        <f>IF($C375="B",VLOOKUP($A375,Bat!$A$4:$BD$2323,F$1,FALSE),VLOOKUP($A375,Pit!$A$4:$AZ$2261,F$2,FALSE))</f>
        <v>Ted Sepkiechler</v>
      </c>
      <c r="G375" s="16">
        <f>IF($C375="B",VLOOKUP($A375,Bat!$A$4:$BD$2323,G$1,FALSE),VLOOKUP($A375,Pit!$A$4:$AZ$2261,G$2,FALSE))</f>
        <v>18</v>
      </c>
      <c r="H375" s="16" t="str">
        <f>IF($C375="B",VLOOKUP($A375,Bat!$A$4:$BD$2323,H$1,FALSE),VLOOKUP($A375,Pit!$A$4:$AZ$2261,H$2,FALSE))</f>
        <v>S</v>
      </c>
      <c r="I375" s="16" t="str">
        <f>IF($C375="B",VLOOKUP($A375,Bat!$A$4:$BD$2323,I$1,FALSE),VLOOKUP($A375,Pit!$A$4:$AZ$2261,I$2,FALSE))</f>
        <v>R</v>
      </c>
      <c r="J375" s="16" t="str">
        <f>IF($C375="B",VLOOKUP($A375,Bat!$A$4:$BD$2323,J$1,FALSE),VLOOKUP($A375,Pit!$A$4:$AZ$2261,J$2,FALSE))</f>
        <v>Very Low</v>
      </c>
      <c r="K375" s="17" t="str">
        <f>IF($C375="B",VLOOKUP($A375,Bat!$A$4:$BD$2323,K$1,FALSE),VLOOKUP($A375,Pit!$A$4:$AZ$2261,K$2,FALSE))</f>
        <v>High</v>
      </c>
      <c r="L375" s="16">
        <f>IF($C375="B",VLOOKUP($A375,Bat!$A$4:$BD$2323,L$1,FALSE),VLOOKUP($A375,Pit!$A$4:$AZ$2261,L$2,FALSE))</f>
        <v>4</v>
      </c>
      <c r="M375" s="16">
        <f>IF($C375="B",VLOOKUP($A375,Bat!$A$4:$BD$2323,M$1,FALSE),VLOOKUP($A375,Pit!$A$4:$AZ$2261,M$2,FALSE))</f>
        <v>4</v>
      </c>
      <c r="N375" s="16">
        <f>IF($C375="B",VLOOKUP($A375,Bat!$A$4:$BD$2323,N$1,FALSE),VLOOKUP($A375,Pit!$A$4:$AZ$2261,N$2,FALSE))</f>
        <v>6</v>
      </c>
      <c r="O375" s="16" t="str">
        <f>IF($C375="B",VLOOKUP($A375,Bat!$A$4:$BD$2323,O$1,FALSE),VLOOKUP($A375,Pit!$A$4:$AZ$2261,O$2,FALSE))</f>
        <v>92-94 Mph</v>
      </c>
      <c r="P375" s="17">
        <f>IF($C375="B",VLOOKUP($A375,Bat!$A$4:$BD$2323,P$1,FALSE),VLOOKUP($A375,Pit!$A$4:$AZ$2261,P$2,FALSE))</f>
        <v>5</v>
      </c>
      <c r="Q375" s="18">
        <f>IF($C375="B",VLOOKUP($A375,Bat!$A$4:$BD$2323,Q$1,FALSE),VLOOKUP($A375,Pit!$A$4:$AZ$2261,Q$2,FALSE))</f>
        <v>33.29466102021258</v>
      </c>
      <c r="R375" s="19">
        <f>IF($C375="B",VLOOKUP($A375,Bat!$A$4:$BD$2323,R$1,FALSE),VLOOKUP($A375,Pit!$A$4:$AZ$2261,R$2,FALSE))</f>
        <v>-4.9741094843208405E-2</v>
      </c>
      <c r="S375" s="20" t="str">
        <f>IF($C375="B",VLOOKUP($A375,Bat!$A$4:$BD$2323,S$1,FALSE),VLOOKUP($A375,Pit!$A$4:$AZ$2261,S$2,FALSE))</f>
        <v>Slot</v>
      </c>
      <c r="T375" s="17" t="str">
        <f>IF(S375="Slot","",VLOOKUP(IF($C375="B",VLOOKUP($A375,Bat!$A$4:$AT$2323,T$1,FALSE),VLOOKUP($A375,Pit!$A$4:$BD$2261,T$2,FALSE)),COND!$A$34:$B$40,2,FALSE))</f>
        <v/>
      </c>
      <c r="U375" s="21">
        <f>IF($C375="B",VLOOKUP($A375,Bat!$A$4:$AR$1287,44,FALSE),VLOOKUP($A375,Pit!$A$4:$BB$1239,54,FALSE))</f>
        <v>0</v>
      </c>
      <c r="W375" s="21">
        <f t="shared" si="22"/>
        <v>0</v>
      </c>
      <c r="X375" s="22" t="e">
        <f t="shared" si="23"/>
        <v>#N/A</v>
      </c>
      <c r="Y375" s="16" t="str">
        <f>IF(ISERROR(VLOOKUP($E375&amp;$F375,Results!$A$2:$G$413,Y$1,FALSE)),"",VLOOKUP($E375&amp;$F375,Results!$A$2:$G$413,Y$1,FALSE))</f>
        <v/>
      </c>
      <c r="Z375" s="16" t="str">
        <f>IF(ISERROR(VLOOKUP($E375&amp;$F375,Results!$A$2:$G$413,Z$1,FALSE)),"",VLOOKUP($E375&amp;$F375,Results!$A$2:$G$413,Z$1,FALSE))</f>
        <v/>
      </c>
      <c r="AA375" s="16" t="str">
        <f>IF(ISERROR(VLOOKUP($E375&amp;$F375,Results!$A$2:$G$413,AA$1,FALSE)),"",VLOOKUP($E375&amp;$F375,Results!$A$2:$G$413,AA$1,FALSE))</f>
        <v/>
      </c>
      <c r="AB375" s="16" t="str">
        <f>IF(ISERROR(VLOOKUP($E375&amp;$F375,Results!$A$2:$G$413,AB$1,FALSE)),"",VLOOKUP($E375&amp;$F375,Results!$A$2:$G$413,AB$1,FALSE))</f>
        <v/>
      </c>
      <c r="AC375" s="16"/>
      <c r="AD375" s="20" t="str">
        <f>IF(ISERROR(VLOOKUP($AB375&amp;"-"&amp;$F375,Bonuses!$B$1:$G$1000,4,FALSE)),"",INT(VLOOKUP($AB375&amp;"-"&amp;$F375,Bonuses!$B$1:$G$1000,4,FALSE)))</f>
        <v/>
      </c>
      <c r="AE375" s="16" t="str">
        <f>IF(ISERROR(VLOOKUP($AB375&amp;"-"&amp;$F375,Bonuses!$B$1:$G$1000,5,FALSE)),"",IF(VLOOKUP($AB375&amp;"-"&amp;$F375,Bonuses!$B$1:$G$1000,5,FALSE)="","",VLOOKUP($AB375&amp;"-"&amp;$F375,Bonuses!$B$1:$G$1000,6,FALSE)&amp;" yrs, "&amp;VLOOKUP($AB375&amp;"-"&amp;$F375,Bonuses!$B$1:$G$1000,5,FALSE)))</f>
        <v/>
      </c>
    </row>
    <row r="376" spans="1:31" s="21" customFormat="1">
      <c r="A376" s="21" t="s">
        <v>695</v>
      </c>
      <c r="B376" s="21">
        <f t="shared" si="20"/>
        <v>1</v>
      </c>
      <c r="C376" s="21" t="str">
        <f t="shared" si="21"/>
        <v>P</v>
      </c>
      <c r="D376" s="17" t="e">
        <f>IF($C376="B",VLOOKUP($A376,Bat!$A$4:$BD$2323,D$1,FALSE),VLOOKUP($A376,Pit!$A$4:$AZ$2261,D$2,FALSE))</f>
        <v>#N/A</v>
      </c>
      <c r="E376" s="16" t="e">
        <f>IF($C376="B",VLOOKUP($A376,Bat!$A$4:$BD$2323,E$1,FALSE),VLOOKUP($A376,Pit!$A$4:$AZ$2261,E$2,FALSE))</f>
        <v>#N/A</v>
      </c>
      <c r="F376" s="16" t="e">
        <f>IF($C376="B",VLOOKUP($A376,Bat!$A$4:$BD$2323,F$1,FALSE),VLOOKUP($A376,Pit!$A$4:$AZ$2261,F$2,FALSE))</f>
        <v>#N/A</v>
      </c>
      <c r="G376" s="16" t="e">
        <f>IF($C376="B",VLOOKUP($A376,Bat!$A$4:$BD$2323,G$1,FALSE),VLOOKUP($A376,Pit!$A$4:$AZ$2261,G$2,FALSE))</f>
        <v>#N/A</v>
      </c>
      <c r="H376" s="16" t="e">
        <f>IF($C376="B",VLOOKUP($A376,Bat!$A$4:$BD$2323,H$1,FALSE),VLOOKUP($A376,Pit!$A$4:$AZ$2261,H$2,FALSE))</f>
        <v>#N/A</v>
      </c>
      <c r="I376" s="16" t="e">
        <f>IF($C376="B",VLOOKUP($A376,Bat!$A$4:$BD$2323,I$1,FALSE),VLOOKUP($A376,Pit!$A$4:$AZ$2261,I$2,FALSE))</f>
        <v>#N/A</v>
      </c>
      <c r="J376" s="16" t="e">
        <f>IF($C376="B",VLOOKUP($A376,Bat!$A$4:$BD$2323,J$1,FALSE),VLOOKUP($A376,Pit!$A$4:$AZ$2261,J$2,FALSE))</f>
        <v>#N/A</v>
      </c>
      <c r="K376" s="17" t="e">
        <f>IF($C376="B",VLOOKUP($A376,Bat!$A$4:$BD$2323,K$1,FALSE),VLOOKUP($A376,Pit!$A$4:$AZ$2261,K$2,FALSE))</f>
        <v>#N/A</v>
      </c>
      <c r="L376" s="16" t="e">
        <f>IF($C376="B",VLOOKUP($A376,Bat!$A$4:$BD$2323,L$1,FALSE),VLOOKUP($A376,Pit!$A$4:$AZ$2261,L$2,FALSE))</f>
        <v>#N/A</v>
      </c>
      <c r="M376" s="16" t="e">
        <f>IF($C376="B",VLOOKUP($A376,Bat!$A$4:$BD$2323,M$1,FALSE),VLOOKUP($A376,Pit!$A$4:$AZ$2261,M$2,FALSE))</f>
        <v>#N/A</v>
      </c>
      <c r="N376" s="16" t="e">
        <f>IF($C376="B",VLOOKUP($A376,Bat!$A$4:$BD$2323,N$1,FALSE),VLOOKUP($A376,Pit!$A$4:$AZ$2261,N$2,FALSE))</f>
        <v>#N/A</v>
      </c>
      <c r="O376" s="16" t="e">
        <f>IF($C376="B",VLOOKUP($A376,Bat!$A$4:$BD$2323,O$1,FALSE),VLOOKUP($A376,Pit!$A$4:$AZ$2261,O$2,FALSE))</f>
        <v>#N/A</v>
      </c>
      <c r="P376" s="17" t="e">
        <f>IF($C376="B",VLOOKUP($A376,Bat!$A$4:$BD$2323,P$1,FALSE),VLOOKUP($A376,Pit!$A$4:$AZ$2261,P$2,FALSE))</f>
        <v>#N/A</v>
      </c>
      <c r="Q376" s="18" t="e">
        <f>IF($C376="B",VLOOKUP($A376,Bat!$A$4:$BD$2323,Q$1,FALSE),VLOOKUP($A376,Pit!$A$4:$AZ$2261,Q$2,FALSE))</f>
        <v>#N/A</v>
      </c>
      <c r="R376" s="19" t="e">
        <f>IF($C376="B",VLOOKUP($A376,Bat!$A$4:$BD$2323,R$1,FALSE),VLOOKUP($A376,Pit!$A$4:$AZ$2261,R$2,FALSE))</f>
        <v>#N/A</v>
      </c>
      <c r="S376" s="20" t="e">
        <f>IF($C376="B",VLOOKUP($A376,Bat!$A$4:$BD$2323,S$1,FALSE),VLOOKUP($A376,Pit!$A$4:$AZ$2261,S$2,FALSE))</f>
        <v>#N/A</v>
      </c>
      <c r="T376" s="17" t="e">
        <f>IF(S376="Slot","",VLOOKUP(IF($C376="B",VLOOKUP($A376,Bat!$A$4:$AT$2323,T$1,FALSE),VLOOKUP($A376,Pit!$A$4:$BD$2261,T$2,FALSE)),COND!$A$34:$B$40,2,FALSE))</f>
        <v>#N/A</v>
      </c>
      <c r="U376" s="21" t="e">
        <f>IF($C376="B",VLOOKUP($A376,Bat!$A$4:$AR$1287,44,FALSE),VLOOKUP($A376,Pit!$A$4:$BB$1239,54,FALSE))</f>
        <v>#N/A</v>
      </c>
      <c r="W376" s="21" t="e">
        <f t="shared" si="22"/>
        <v>#N/A</v>
      </c>
      <c r="X376" s="22" t="e">
        <f t="shared" si="23"/>
        <v>#N/A</v>
      </c>
      <c r="Y376" s="16" t="str">
        <f>IF(ISERROR(VLOOKUP($E376&amp;$F376,Results!$A$2:$G$413,Y$1,FALSE)),"",VLOOKUP($E376&amp;$F376,Results!$A$2:$G$413,Y$1,FALSE))</f>
        <v/>
      </c>
      <c r="Z376" s="16" t="str">
        <f>IF(ISERROR(VLOOKUP($E376&amp;$F376,Results!$A$2:$G$413,Z$1,FALSE)),"",VLOOKUP($E376&amp;$F376,Results!$A$2:$G$413,Z$1,FALSE))</f>
        <v/>
      </c>
      <c r="AA376" s="16" t="str">
        <f>IF(ISERROR(VLOOKUP($E376&amp;$F376,Results!$A$2:$G$413,AA$1,FALSE)),"",VLOOKUP($E376&amp;$F376,Results!$A$2:$G$413,AA$1,FALSE))</f>
        <v/>
      </c>
      <c r="AB376" s="16" t="str">
        <f>IF(ISERROR(VLOOKUP($E376&amp;$F376,Results!$A$2:$G$413,AB$1,FALSE)),"",VLOOKUP($E376&amp;$F376,Results!$A$2:$G$413,AB$1,FALSE))</f>
        <v/>
      </c>
      <c r="AC376" s="16"/>
      <c r="AD376" s="20" t="str">
        <f>IF(ISERROR(VLOOKUP($AB376&amp;"-"&amp;$F376,Bonuses!$B$1:$G$1000,4,FALSE)),"",INT(VLOOKUP($AB376&amp;"-"&amp;$F376,Bonuses!$B$1:$G$1000,4,FALSE)))</f>
        <v/>
      </c>
      <c r="AE376" s="16" t="str">
        <f>IF(ISERROR(VLOOKUP($AB376&amp;"-"&amp;$F376,Bonuses!$B$1:$G$1000,5,FALSE)),"",IF(VLOOKUP($AB376&amp;"-"&amp;$F376,Bonuses!$B$1:$G$1000,5,FALSE)="","",VLOOKUP($AB376&amp;"-"&amp;$F376,Bonuses!$B$1:$G$1000,6,FALSE)&amp;" yrs, "&amp;VLOOKUP($AB376&amp;"-"&amp;$F376,Bonuses!$B$1:$G$1000,5,FALSE)))</f>
        <v/>
      </c>
    </row>
    <row r="377" spans="1:31" s="21" customFormat="1">
      <c r="A377" s="21" t="s">
        <v>684</v>
      </c>
      <c r="B377" s="21">
        <f t="shared" si="20"/>
        <v>1</v>
      </c>
      <c r="C377" s="21" t="str">
        <f t="shared" si="21"/>
        <v>P</v>
      </c>
      <c r="D377" s="17">
        <f>IF($C377="B",VLOOKUP($A377,Bat!$A$4:$BD$2323,D$1,FALSE),VLOOKUP($A377,Pit!$A$4:$AZ$2261,D$2,FALSE))</f>
        <v>123</v>
      </c>
      <c r="E377" s="16" t="str">
        <f>IF($C377="B",VLOOKUP($A377,Bat!$A$4:$BD$2323,E$1,FALSE),VLOOKUP($A377,Pit!$A$4:$AZ$2261,E$2,FALSE))</f>
        <v>SP</v>
      </c>
      <c r="F377" s="16" t="str">
        <f>IF($C377="B",VLOOKUP($A377,Bat!$A$4:$BD$2323,F$1,FALSE),VLOOKUP($A377,Pit!$A$4:$AZ$2261,F$2,FALSE))</f>
        <v>Shu-yen Jing</v>
      </c>
      <c r="G377" s="16">
        <f>IF($C377="B",VLOOKUP($A377,Bat!$A$4:$BD$2323,G$1,FALSE),VLOOKUP($A377,Pit!$A$4:$AZ$2261,G$2,FALSE))</f>
        <v>18</v>
      </c>
      <c r="H377" s="16" t="str">
        <f>IF($C377="B",VLOOKUP($A377,Bat!$A$4:$BD$2323,H$1,FALSE),VLOOKUP($A377,Pit!$A$4:$AZ$2261,H$2,FALSE))</f>
        <v>R</v>
      </c>
      <c r="I377" s="16" t="str">
        <f>IF($C377="B",VLOOKUP($A377,Bat!$A$4:$BD$2323,I$1,FALSE),VLOOKUP($A377,Pit!$A$4:$AZ$2261,I$2,FALSE))</f>
        <v>R</v>
      </c>
      <c r="J377" s="16" t="str">
        <f>IF($C377="B",VLOOKUP($A377,Bat!$A$4:$BD$2323,J$1,FALSE),VLOOKUP($A377,Pit!$A$4:$AZ$2261,J$2,FALSE))</f>
        <v>Very Low</v>
      </c>
      <c r="K377" s="17" t="str">
        <f>IF($C377="B",VLOOKUP($A377,Bat!$A$4:$BD$2323,K$1,FALSE),VLOOKUP($A377,Pit!$A$4:$AZ$2261,K$2,FALSE))</f>
        <v>Normal</v>
      </c>
      <c r="L377" s="16">
        <f>IF($C377="B",VLOOKUP($A377,Bat!$A$4:$BD$2323,L$1,FALSE),VLOOKUP($A377,Pit!$A$4:$AZ$2261,L$2,FALSE))</f>
        <v>4</v>
      </c>
      <c r="M377" s="16">
        <f>IF($C377="B",VLOOKUP($A377,Bat!$A$4:$BD$2323,M$1,FALSE),VLOOKUP($A377,Pit!$A$4:$AZ$2261,M$2,FALSE))</f>
        <v>5</v>
      </c>
      <c r="N377" s="16">
        <f>IF($C377="B",VLOOKUP($A377,Bat!$A$4:$BD$2323,N$1,FALSE),VLOOKUP($A377,Pit!$A$4:$AZ$2261,N$2,FALSE))</f>
        <v>5</v>
      </c>
      <c r="O377" s="16" t="str">
        <f>IF($C377="B",VLOOKUP($A377,Bat!$A$4:$BD$2323,O$1,FALSE),VLOOKUP($A377,Pit!$A$4:$AZ$2261,O$2,FALSE))</f>
        <v>87-89 Mph</v>
      </c>
      <c r="P377" s="17">
        <f>IF($C377="B",VLOOKUP($A377,Bat!$A$4:$BD$2323,P$1,FALSE),VLOOKUP($A377,Pit!$A$4:$AZ$2261,P$2,FALSE))</f>
        <v>7</v>
      </c>
      <c r="Q377" s="18">
        <f>IF($C377="B",VLOOKUP($A377,Bat!$A$4:$BD$2323,Q$1,FALSE),VLOOKUP($A377,Pit!$A$4:$AZ$2261,Q$2,FALSE))</f>
        <v>32.197772771839496</v>
      </c>
      <c r="R377" s="19">
        <f>IF($C377="B",VLOOKUP($A377,Bat!$A$4:$BD$2323,R$1,FALSE),VLOOKUP($A377,Pit!$A$4:$AZ$2261,R$2,FALSE))</f>
        <v>-0.13681925805781439</v>
      </c>
      <c r="S377" s="20" t="str">
        <f>IF($C377="B",VLOOKUP($A377,Bat!$A$4:$BD$2323,S$1,FALSE),VLOOKUP($A377,Pit!$A$4:$AZ$2261,S$2,FALSE))</f>
        <v>Slot</v>
      </c>
      <c r="T377" s="17" t="str">
        <f>IF(S377="Slot","",VLOOKUP(IF($C377="B",VLOOKUP($A377,Bat!$A$4:$AT$2323,T$1,FALSE),VLOOKUP($A377,Pit!$A$4:$BD$2261,T$2,FALSE)),COND!$A$34:$B$40,2,FALSE))</f>
        <v/>
      </c>
      <c r="U377" s="21">
        <f>IF($C377="B",VLOOKUP($A377,Bat!$A$4:$AR$1287,44,FALSE),VLOOKUP($A377,Pit!$A$4:$BB$1239,54,FALSE))</f>
        <v>0</v>
      </c>
      <c r="W377" s="21">
        <f t="shared" si="22"/>
        <v>0</v>
      </c>
      <c r="X377" s="22" t="e">
        <f t="shared" si="23"/>
        <v>#N/A</v>
      </c>
      <c r="Y377" s="16" t="str">
        <f>IF(ISERROR(VLOOKUP($E377&amp;$F377,Results!$A$2:$G$413,Y$1,FALSE)),"",VLOOKUP($E377&amp;$F377,Results!$A$2:$G$413,Y$1,FALSE))</f>
        <v/>
      </c>
      <c r="Z377" s="16" t="str">
        <f>IF(ISERROR(VLOOKUP($E377&amp;$F377,Results!$A$2:$G$413,Z$1,FALSE)),"",VLOOKUP($E377&amp;$F377,Results!$A$2:$G$413,Z$1,FALSE))</f>
        <v/>
      </c>
      <c r="AA377" s="16" t="str">
        <f>IF(ISERROR(VLOOKUP($E377&amp;$F377,Results!$A$2:$G$413,AA$1,FALSE)),"",VLOOKUP($E377&amp;$F377,Results!$A$2:$G$413,AA$1,FALSE))</f>
        <v/>
      </c>
      <c r="AB377" s="16" t="str">
        <f>IF(ISERROR(VLOOKUP($E377&amp;$F377,Results!$A$2:$G$413,AB$1,FALSE)),"",VLOOKUP($E377&amp;$F377,Results!$A$2:$G$413,AB$1,FALSE))</f>
        <v/>
      </c>
      <c r="AC377" s="16"/>
      <c r="AD377" s="20" t="str">
        <f>IF(ISERROR(VLOOKUP($AB377&amp;"-"&amp;$F377,Bonuses!$B$1:$G$1000,4,FALSE)),"",INT(VLOOKUP($AB377&amp;"-"&amp;$F377,Bonuses!$B$1:$G$1000,4,FALSE)))</f>
        <v/>
      </c>
      <c r="AE377" s="16" t="str">
        <f>IF(ISERROR(VLOOKUP($AB377&amp;"-"&amp;$F377,Bonuses!$B$1:$G$1000,5,FALSE)),"",IF(VLOOKUP($AB377&amp;"-"&amp;$F377,Bonuses!$B$1:$G$1000,5,FALSE)="","",VLOOKUP($AB377&amp;"-"&amp;$F377,Bonuses!$B$1:$G$1000,6,FALSE)&amp;" yrs, "&amp;VLOOKUP($AB377&amp;"-"&amp;$F377,Bonuses!$B$1:$G$1000,5,FALSE)))</f>
        <v/>
      </c>
    </row>
    <row r="378" spans="1:31" s="21" customFormat="1">
      <c r="A378" s="21" t="s">
        <v>86</v>
      </c>
      <c r="B378" s="21">
        <f t="shared" si="20"/>
        <v>1</v>
      </c>
      <c r="C378" s="21" t="str">
        <f t="shared" si="21"/>
        <v>P</v>
      </c>
      <c r="D378" s="17">
        <f>IF($C378="B",VLOOKUP($A378,Bat!$A$4:$BD$2323,D$1,FALSE),VLOOKUP($A378,Pit!$A$4:$AZ$2261,D$2,FALSE))</f>
        <v>2688</v>
      </c>
      <c r="E378" s="16" t="str">
        <f>IF($C378="B",VLOOKUP($A378,Bat!$A$4:$BD$2323,E$1,FALSE),VLOOKUP($A378,Pit!$A$4:$AZ$2261,E$2,FALSE))</f>
        <v>SP</v>
      </c>
      <c r="F378" s="16" t="str">
        <f>IF($C378="B",VLOOKUP($A378,Bat!$A$4:$BD$2323,F$1,FALSE),VLOOKUP($A378,Pit!$A$4:$AZ$2261,F$2,FALSE))</f>
        <v>José Rodríguez</v>
      </c>
      <c r="G378" s="16">
        <f>IF($C378="B",VLOOKUP($A378,Bat!$A$4:$BD$2323,G$1,FALSE),VLOOKUP($A378,Pit!$A$4:$AZ$2261,G$2,FALSE))</f>
        <v>21</v>
      </c>
      <c r="H378" s="16" t="str">
        <f>IF($C378="B",VLOOKUP($A378,Bat!$A$4:$BD$2323,H$1,FALSE),VLOOKUP($A378,Pit!$A$4:$AZ$2261,H$2,FALSE))</f>
        <v>L</v>
      </c>
      <c r="I378" s="16" t="str">
        <f>IF($C378="B",VLOOKUP($A378,Bat!$A$4:$BD$2323,I$1,FALSE),VLOOKUP($A378,Pit!$A$4:$AZ$2261,I$2,FALSE))</f>
        <v>L</v>
      </c>
      <c r="J378" s="16" t="str">
        <f>IF($C378="B",VLOOKUP($A378,Bat!$A$4:$BD$2323,J$1,FALSE),VLOOKUP($A378,Pit!$A$4:$AZ$2261,J$2,FALSE))</f>
        <v>Low</v>
      </c>
      <c r="K378" s="17" t="str">
        <f>IF($C378="B",VLOOKUP($A378,Bat!$A$4:$BD$2323,K$1,FALSE),VLOOKUP($A378,Pit!$A$4:$AZ$2261,K$2,FALSE))</f>
        <v>Very High</v>
      </c>
      <c r="L378" s="16">
        <f>IF($C378="B",VLOOKUP($A378,Bat!$A$4:$BD$2323,L$1,FALSE),VLOOKUP($A378,Pit!$A$4:$AZ$2261,L$2,FALSE))</f>
        <v>5</v>
      </c>
      <c r="M378" s="16">
        <f>IF($C378="B",VLOOKUP($A378,Bat!$A$4:$BD$2323,M$1,FALSE),VLOOKUP($A378,Pit!$A$4:$AZ$2261,M$2,FALSE))</f>
        <v>3</v>
      </c>
      <c r="N378" s="16">
        <f>IF($C378="B",VLOOKUP($A378,Bat!$A$4:$BD$2323,N$1,FALSE),VLOOKUP($A378,Pit!$A$4:$AZ$2261,N$2,FALSE))</f>
        <v>5</v>
      </c>
      <c r="O378" s="16" t="str">
        <f>IF($C378="B",VLOOKUP($A378,Bat!$A$4:$BD$2323,O$1,FALSE),VLOOKUP($A378,Pit!$A$4:$AZ$2261,O$2,FALSE))</f>
        <v>97-99 Mph</v>
      </c>
      <c r="P378" s="17">
        <f>IF($C378="B",VLOOKUP($A378,Bat!$A$4:$BD$2323,P$1,FALSE),VLOOKUP($A378,Pit!$A$4:$AZ$2261,P$2,FALSE))</f>
        <v>9</v>
      </c>
      <c r="Q378" s="18">
        <f>IF($C378="B",VLOOKUP($A378,Bat!$A$4:$BD$2323,Q$1,FALSE),VLOOKUP($A378,Pit!$A$4:$AZ$2261,Q$2,FALSE))</f>
        <v>33.547526830905326</v>
      </c>
      <c r="R378" s="19">
        <f>IF($C378="B",VLOOKUP($A378,Bat!$A$4:$BD$2323,R$1,FALSE),VLOOKUP($A378,Pit!$A$4:$AZ$2261,R$2,FALSE))</f>
        <v>-2.9666952953589659E-2</v>
      </c>
      <c r="S378" s="20" t="str">
        <f>IF($C378="B",VLOOKUP($A378,Bat!$A$4:$BD$2323,S$1,FALSE),VLOOKUP($A378,Pit!$A$4:$AZ$2261,S$2,FALSE))</f>
        <v>Slot</v>
      </c>
      <c r="T378" s="17" t="str">
        <f>IF(S378="Slot","",VLOOKUP(IF($C378="B",VLOOKUP($A378,Bat!$A$4:$AT$2323,T$1,FALSE),VLOOKUP($A378,Pit!$A$4:$BD$2261,T$2,FALSE)),COND!$A$34:$B$40,2,FALSE))</f>
        <v/>
      </c>
      <c r="U378" s="21">
        <f>IF($C378="B",VLOOKUP($A378,Bat!$A$4:$AR$1287,44,FALSE),VLOOKUP($A378,Pit!$A$4:$BB$1239,54,FALSE))</f>
        <v>0</v>
      </c>
      <c r="W378" s="21">
        <f t="shared" si="22"/>
        <v>0</v>
      </c>
      <c r="X378" s="22" t="e">
        <f t="shared" si="23"/>
        <v>#N/A</v>
      </c>
      <c r="Y378" s="16" t="str">
        <f>IF(ISERROR(VLOOKUP($E378&amp;$F378,Results!$A$2:$G$413,Y$1,FALSE)),"",VLOOKUP($E378&amp;$F378,Results!$A$2:$G$413,Y$1,FALSE))</f>
        <v/>
      </c>
      <c r="Z378" s="16" t="str">
        <f>IF(ISERROR(VLOOKUP($E378&amp;$F378,Results!$A$2:$G$413,Z$1,FALSE)),"",VLOOKUP($E378&amp;$F378,Results!$A$2:$G$413,Z$1,FALSE))</f>
        <v/>
      </c>
      <c r="AA378" s="16" t="str">
        <f>IF(ISERROR(VLOOKUP($E378&amp;$F378,Results!$A$2:$G$413,AA$1,FALSE)),"",VLOOKUP($E378&amp;$F378,Results!$A$2:$G$413,AA$1,FALSE))</f>
        <v/>
      </c>
      <c r="AB378" s="16" t="str">
        <f>IF(ISERROR(VLOOKUP($E378&amp;$F378,Results!$A$2:$G$413,AB$1,FALSE)),"",VLOOKUP($E378&amp;$F378,Results!$A$2:$G$413,AB$1,FALSE))</f>
        <v/>
      </c>
      <c r="AC378" s="16"/>
      <c r="AD378" s="20" t="str">
        <f>IF(ISERROR(VLOOKUP($AB378&amp;"-"&amp;$F378,Bonuses!$B$1:$G$1000,4,FALSE)),"",INT(VLOOKUP($AB378&amp;"-"&amp;$F378,Bonuses!$B$1:$G$1000,4,FALSE)))</f>
        <v/>
      </c>
      <c r="AE378" s="16" t="str">
        <f>IF(ISERROR(VLOOKUP($AB378&amp;"-"&amp;$F378,Bonuses!$B$1:$G$1000,5,FALSE)),"",IF(VLOOKUP($AB378&amp;"-"&amp;$F378,Bonuses!$B$1:$G$1000,5,FALSE)="","",VLOOKUP($AB378&amp;"-"&amp;$F378,Bonuses!$B$1:$G$1000,6,FALSE)&amp;" yrs, "&amp;VLOOKUP($AB378&amp;"-"&amp;$F378,Bonuses!$B$1:$G$1000,5,FALSE)))</f>
        <v/>
      </c>
    </row>
    <row r="379" spans="1:31" s="21" customFormat="1">
      <c r="A379" s="21" t="s">
        <v>689</v>
      </c>
      <c r="B379" s="21">
        <f t="shared" si="20"/>
        <v>1</v>
      </c>
      <c r="C379" s="21" t="str">
        <f t="shared" si="21"/>
        <v>P</v>
      </c>
      <c r="D379" s="17">
        <f>IF($C379="B",VLOOKUP($A379,Bat!$A$4:$BD$2323,D$1,FALSE),VLOOKUP($A379,Pit!$A$4:$AZ$2261,D$2,FALSE))</f>
        <v>13912</v>
      </c>
      <c r="E379" s="16" t="str">
        <f>IF($C379="B",VLOOKUP($A379,Bat!$A$4:$BD$2323,E$1,FALSE),VLOOKUP($A379,Pit!$A$4:$AZ$2261,E$2,FALSE))</f>
        <v>MR</v>
      </c>
      <c r="F379" s="16" t="str">
        <f>IF($C379="B",VLOOKUP($A379,Bat!$A$4:$BD$2323,F$1,FALSE),VLOOKUP($A379,Pit!$A$4:$AZ$2261,F$2,FALSE))</f>
        <v>Chet Jones</v>
      </c>
      <c r="G379" s="16">
        <f>IF($C379="B",VLOOKUP($A379,Bat!$A$4:$BD$2323,G$1,FALSE),VLOOKUP($A379,Pit!$A$4:$AZ$2261,G$2,FALSE))</f>
        <v>21</v>
      </c>
      <c r="H379" s="16" t="str">
        <f>IF($C379="B",VLOOKUP($A379,Bat!$A$4:$BD$2323,H$1,FALSE),VLOOKUP($A379,Pit!$A$4:$AZ$2261,H$2,FALSE))</f>
        <v>S</v>
      </c>
      <c r="I379" s="16" t="str">
        <f>IF($C379="B",VLOOKUP($A379,Bat!$A$4:$BD$2323,I$1,FALSE),VLOOKUP($A379,Pit!$A$4:$AZ$2261,I$2,FALSE))</f>
        <v>R</v>
      </c>
      <c r="J379" s="16" t="str">
        <f>IF($C379="B",VLOOKUP($A379,Bat!$A$4:$BD$2323,J$1,FALSE),VLOOKUP($A379,Pit!$A$4:$AZ$2261,J$2,FALSE))</f>
        <v>Very Low</v>
      </c>
      <c r="K379" s="17" t="str">
        <f>IF($C379="B",VLOOKUP($A379,Bat!$A$4:$BD$2323,K$1,FALSE),VLOOKUP($A379,Pit!$A$4:$AZ$2261,K$2,FALSE))</f>
        <v>Low</v>
      </c>
      <c r="L379" s="16">
        <f>IF($C379="B",VLOOKUP($A379,Bat!$A$4:$BD$2323,L$1,FALSE),VLOOKUP($A379,Pit!$A$4:$AZ$2261,L$2,FALSE))</f>
        <v>4</v>
      </c>
      <c r="M379" s="16">
        <f>IF($C379="B",VLOOKUP($A379,Bat!$A$4:$BD$2323,M$1,FALSE),VLOOKUP($A379,Pit!$A$4:$AZ$2261,M$2,FALSE))</f>
        <v>5</v>
      </c>
      <c r="N379" s="16">
        <f>IF($C379="B",VLOOKUP($A379,Bat!$A$4:$BD$2323,N$1,FALSE),VLOOKUP($A379,Pit!$A$4:$AZ$2261,N$2,FALSE))</f>
        <v>5</v>
      </c>
      <c r="O379" s="16" t="str">
        <f>IF($C379="B",VLOOKUP($A379,Bat!$A$4:$BD$2323,O$1,FALSE),VLOOKUP($A379,Pit!$A$4:$AZ$2261,O$2,FALSE))</f>
        <v>92-94 Mph</v>
      </c>
      <c r="P379" s="17">
        <f>IF($C379="B",VLOOKUP($A379,Bat!$A$4:$BD$2323,P$1,FALSE),VLOOKUP($A379,Pit!$A$4:$AZ$2261,P$2,FALSE))</f>
        <v>9</v>
      </c>
      <c r="Q379" s="18">
        <f>IF($C379="B",VLOOKUP($A379,Bat!$A$4:$BD$2323,Q$1,FALSE),VLOOKUP($A379,Pit!$A$4:$AZ$2261,Q$2,FALSE))</f>
        <v>31.613199758139999</v>
      </c>
      <c r="R379" s="19">
        <f>IF($C379="B",VLOOKUP($A379,Bat!$A$4:$BD$2323,R$1,FALSE),VLOOKUP($A379,Pit!$A$4:$AZ$2261,R$2,FALSE))</f>
        <v>-0.18322648721108467</v>
      </c>
      <c r="S379" s="20" t="str">
        <f>IF($C379="B",VLOOKUP($A379,Bat!$A$4:$BD$2323,S$1,FALSE),VLOOKUP($A379,Pit!$A$4:$AZ$2261,S$2,FALSE))</f>
        <v>Slot</v>
      </c>
      <c r="T379" s="17" t="str">
        <f>IF(S379="Slot","",VLOOKUP(IF($C379="B",VLOOKUP($A379,Bat!$A$4:$AT$2323,T$1,FALSE),VLOOKUP($A379,Pit!$A$4:$BD$2261,T$2,FALSE)),COND!$A$34:$B$40,2,FALSE))</f>
        <v/>
      </c>
      <c r="U379" s="21">
        <f>IF($C379="B",VLOOKUP($A379,Bat!$A$4:$AR$1287,44,FALSE),VLOOKUP($A379,Pit!$A$4:$BB$1239,54,FALSE))</f>
        <v>0</v>
      </c>
      <c r="W379" s="21">
        <f t="shared" si="22"/>
        <v>0</v>
      </c>
      <c r="X379" s="22" t="e">
        <f t="shared" si="23"/>
        <v>#N/A</v>
      </c>
      <c r="Y379" s="16" t="str">
        <f>IF(ISERROR(VLOOKUP($E379&amp;$F379,Results!$A$2:$G$413,Y$1,FALSE)),"",VLOOKUP($E379&amp;$F379,Results!$A$2:$G$413,Y$1,FALSE))</f>
        <v/>
      </c>
      <c r="Z379" s="16" t="str">
        <f>IF(ISERROR(VLOOKUP($E379&amp;$F379,Results!$A$2:$G$413,Z$1,FALSE)),"",VLOOKUP($E379&amp;$F379,Results!$A$2:$G$413,Z$1,FALSE))</f>
        <v/>
      </c>
      <c r="AA379" s="16" t="str">
        <f>IF(ISERROR(VLOOKUP($E379&amp;$F379,Results!$A$2:$G$413,AA$1,FALSE)),"",VLOOKUP($E379&amp;$F379,Results!$A$2:$G$413,AA$1,FALSE))</f>
        <v/>
      </c>
      <c r="AB379" s="16" t="str">
        <f>IF(ISERROR(VLOOKUP($E379&amp;$F379,Results!$A$2:$G$413,AB$1,FALSE)),"",VLOOKUP($E379&amp;$F379,Results!$A$2:$G$413,AB$1,FALSE))</f>
        <v/>
      </c>
      <c r="AC379" s="16"/>
      <c r="AD379" s="20" t="str">
        <f>IF(ISERROR(VLOOKUP($AB379&amp;"-"&amp;$F379,Bonuses!$B$1:$G$1000,4,FALSE)),"",INT(VLOOKUP($AB379&amp;"-"&amp;$F379,Bonuses!$B$1:$G$1000,4,FALSE)))</f>
        <v/>
      </c>
      <c r="AE379" s="16" t="str">
        <f>IF(ISERROR(VLOOKUP($AB379&amp;"-"&amp;$F379,Bonuses!$B$1:$G$1000,5,FALSE)),"",IF(VLOOKUP($AB379&amp;"-"&amp;$F379,Bonuses!$B$1:$G$1000,5,FALSE)="","",VLOOKUP($AB379&amp;"-"&amp;$F379,Bonuses!$B$1:$G$1000,6,FALSE)&amp;" yrs, "&amp;VLOOKUP($AB379&amp;"-"&amp;$F379,Bonuses!$B$1:$G$1000,5,FALSE)))</f>
        <v/>
      </c>
    </row>
    <row r="380" spans="1:31" s="21" customFormat="1">
      <c r="A380" s="21" t="s">
        <v>715</v>
      </c>
      <c r="B380" s="21">
        <f t="shared" si="20"/>
        <v>1</v>
      </c>
      <c r="C380" s="21" t="str">
        <f t="shared" si="21"/>
        <v>P</v>
      </c>
      <c r="D380" s="17">
        <f>IF($C380="B",VLOOKUP($A380,Bat!$A$4:$BD$2323,D$1,FALSE),VLOOKUP($A380,Pit!$A$4:$AZ$2261,D$2,FALSE))</f>
        <v>2908</v>
      </c>
      <c r="E380" s="16" t="str">
        <f>IF($C380="B",VLOOKUP($A380,Bat!$A$4:$BD$2323,E$1,FALSE),VLOOKUP($A380,Pit!$A$4:$AZ$2261,E$2,FALSE))</f>
        <v>MR</v>
      </c>
      <c r="F380" s="16" t="str">
        <f>IF($C380="B",VLOOKUP($A380,Bat!$A$4:$BD$2323,F$1,FALSE),VLOOKUP($A380,Pit!$A$4:$AZ$2261,F$2,FALSE))</f>
        <v>Ramiro García</v>
      </c>
      <c r="G380" s="16">
        <f>IF($C380="B",VLOOKUP($A380,Bat!$A$4:$BD$2323,G$1,FALSE),VLOOKUP($A380,Pit!$A$4:$AZ$2261,G$2,FALSE))</f>
        <v>21</v>
      </c>
      <c r="H380" s="16" t="str">
        <f>IF($C380="B",VLOOKUP($A380,Bat!$A$4:$BD$2323,H$1,FALSE),VLOOKUP($A380,Pit!$A$4:$AZ$2261,H$2,FALSE))</f>
        <v>L</v>
      </c>
      <c r="I380" s="16" t="str">
        <f>IF($C380="B",VLOOKUP($A380,Bat!$A$4:$BD$2323,I$1,FALSE),VLOOKUP($A380,Pit!$A$4:$AZ$2261,I$2,FALSE))</f>
        <v>L</v>
      </c>
      <c r="J380" s="16" t="str">
        <f>IF($C380="B",VLOOKUP($A380,Bat!$A$4:$BD$2323,J$1,FALSE),VLOOKUP($A380,Pit!$A$4:$AZ$2261,J$2,FALSE))</f>
        <v>High</v>
      </c>
      <c r="K380" s="17" t="str">
        <f>IF($C380="B",VLOOKUP($A380,Bat!$A$4:$BD$2323,K$1,FALSE),VLOOKUP($A380,Pit!$A$4:$AZ$2261,K$2,FALSE))</f>
        <v>Very High</v>
      </c>
      <c r="L380" s="16">
        <f>IF($C380="B",VLOOKUP($A380,Bat!$A$4:$BD$2323,L$1,FALSE),VLOOKUP($A380,Pit!$A$4:$AZ$2261,L$2,FALSE))</f>
        <v>5</v>
      </c>
      <c r="M380" s="16">
        <f>IF($C380="B",VLOOKUP($A380,Bat!$A$4:$BD$2323,M$1,FALSE),VLOOKUP($A380,Pit!$A$4:$AZ$2261,M$2,FALSE))</f>
        <v>5</v>
      </c>
      <c r="N380" s="16">
        <f>IF($C380="B",VLOOKUP($A380,Bat!$A$4:$BD$2323,N$1,FALSE),VLOOKUP($A380,Pit!$A$4:$AZ$2261,N$2,FALSE))</f>
        <v>4</v>
      </c>
      <c r="O380" s="16" t="str">
        <f>IF($C380="B",VLOOKUP($A380,Bat!$A$4:$BD$2323,O$1,FALSE),VLOOKUP($A380,Pit!$A$4:$AZ$2261,O$2,FALSE))</f>
        <v>92-94 Mph</v>
      </c>
      <c r="P380" s="17">
        <f>IF($C380="B",VLOOKUP($A380,Bat!$A$4:$BD$2323,P$1,FALSE),VLOOKUP($A380,Pit!$A$4:$AZ$2261,P$2,FALSE))</f>
        <v>2</v>
      </c>
      <c r="Q380" s="18">
        <f>IF($C380="B",VLOOKUP($A380,Bat!$A$4:$BD$2323,Q$1,FALSE),VLOOKUP($A380,Pit!$A$4:$AZ$2261,Q$2,FALSE))</f>
        <v>34.290452154757489</v>
      </c>
      <c r="R380" s="19">
        <f>IF($C380="B",VLOOKUP($A380,Bat!$A$4:$BD$2323,R$1,FALSE),VLOOKUP($A380,Pit!$A$4:$AZ$2261,R$2,FALSE))</f>
        <v>2.9311318262840395E-2</v>
      </c>
      <c r="S380" s="20" t="str">
        <f>IF($C380="B",VLOOKUP($A380,Bat!$A$4:$BD$2323,S$1,FALSE),VLOOKUP($A380,Pit!$A$4:$AZ$2261,S$2,FALSE))</f>
        <v>Slot</v>
      </c>
      <c r="T380" s="17" t="str">
        <f>IF(S380="Slot","",VLOOKUP(IF($C380="B",VLOOKUP($A380,Bat!$A$4:$AT$2323,T$1,FALSE),VLOOKUP($A380,Pit!$A$4:$BD$2261,T$2,FALSE)),COND!$A$34:$B$40,2,FALSE))</f>
        <v/>
      </c>
      <c r="U380" s="21">
        <f>IF($C380="B",VLOOKUP($A380,Bat!$A$4:$AR$1287,44,FALSE),VLOOKUP($A380,Pit!$A$4:$BB$1239,54,FALSE))</f>
        <v>0</v>
      </c>
      <c r="W380" s="21">
        <f t="shared" si="22"/>
        <v>0</v>
      </c>
      <c r="X380" s="22" t="e">
        <f t="shared" si="23"/>
        <v>#N/A</v>
      </c>
      <c r="Y380" s="16" t="str">
        <f>IF(ISERROR(VLOOKUP($E380&amp;$F380,Results!$A$2:$G$413,Y$1,FALSE)),"",VLOOKUP($E380&amp;$F380,Results!$A$2:$G$413,Y$1,FALSE))</f>
        <v/>
      </c>
      <c r="Z380" s="16" t="str">
        <f>IF(ISERROR(VLOOKUP($E380&amp;$F380,Results!$A$2:$G$413,Z$1,FALSE)),"",VLOOKUP($E380&amp;$F380,Results!$A$2:$G$413,Z$1,FALSE))</f>
        <v/>
      </c>
      <c r="AA380" s="16" t="str">
        <f>IF(ISERROR(VLOOKUP($E380&amp;$F380,Results!$A$2:$G$413,AA$1,FALSE)),"",VLOOKUP($E380&amp;$F380,Results!$A$2:$G$413,AA$1,FALSE))</f>
        <v/>
      </c>
      <c r="AB380" s="16" t="str">
        <f>IF(ISERROR(VLOOKUP($E380&amp;$F380,Results!$A$2:$G$413,AB$1,FALSE)),"",VLOOKUP($E380&amp;$F380,Results!$A$2:$G$413,AB$1,FALSE))</f>
        <v/>
      </c>
      <c r="AC380" s="16"/>
      <c r="AD380" s="20" t="str">
        <f>IF(ISERROR(VLOOKUP($AB380&amp;"-"&amp;$F380,Bonuses!$B$1:$G$1000,4,FALSE)),"",INT(VLOOKUP($AB380&amp;"-"&amp;$F380,Bonuses!$B$1:$G$1000,4,FALSE)))</f>
        <v/>
      </c>
      <c r="AE380" s="16" t="str">
        <f>IF(ISERROR(VLOOKUP($AB380&amp;"-"&amp;$F380,Bonuses!$B$1:$G$1000,5,FALSE)),"",IF(VLOOKUP($AB380&amp;"-"&amp;$F380,Bonuses!$B$1:$G$1000,5,FALSE)="","",VLOOKUP($AB380&amp;"-"&amp;$F380,Bonuses!$B$1:$G$1000,6,FALSE)&amp;" yrs, "&amp;VLOOKUP($AB380&amp;"-"&amp;$F380,Bonuses!$B$1:$G$1000,5,FALSE)))</f>
        <v/>
      </c>
    </row>
    <row r="381" spans="1:31" s="21" customFormat="1">
      <c r="A381" s="21" t="s">
        <v>674</v>
      </c>
      <c r="B381" s="21">
        <f t="shared" si="20"/>
        <v>1</v>
      </c>
      <c r="C381" s="21" t="str">
        <f t="shared" si="21"/>
        <v>P</v>
      </c>
      <c r="D381" s="17">
        <f>IF($C381="B",VLOOKUP($A381,Bat!$A$4:$BD$2323,D$1,FALSE),VLOOKUP($A381,Pit!$A$4:$AZ$2261,D$2,FALSE))</f>
        <v>12049</v>
      </c>
      <c r="E381" s="16" t="str">
        <f>IF($C381="B",VLOOKUP($A381,Bat!$A$4:$BD$2323,E$1,FALSE),VLOOKUP($A381,Pit!$A$4:$AZ$2261,E$2,FALSE))</f>
        <v>SP</v>
      </c>
      <c r="F381" s="16" t="str">
        <f>IF($C381="B",VLOOKUP($A381,Bat!$A$4:$BD$2323,F$1,FALSE),VLOOKUP($A381,Pit!$A$4:$AZ$2261,F$2,FALSE))</f>
        <v>Eric Jordan</v>
      </c>
      <c r="G381" s="16">
        <f>IF($C381="B",VLOOKUP($A381,Bat!$A$4:$BD$2323,G$1,FALSE),VLOOKUP($A381,Pit!$A$4:$AZ$2261,G$2,FALSE))</f>
        <v>22</v>
      </c>
      <c r="H381" s="16" t="str">
        <f>IF($C381="B",VLOOKUP($A381,Bat!$A$4:$BD$2323,H$1,FALSE),VLOOKUP($A381,Pit!$A$4:$AZ$2261,H$2,FALSE))</f>
        <v>R</v>
      </c>
      <c r="I381" s="16" t="str">
        <f>IF($C381="B",VLOOKUP($A381,Bat!$A$4:$BD$2323,I$1,FALSE),VLOOKUP($A381,Pit!$A$4:$AZ$2261,I$2,FALSE))</f>
        <v>R</v>
      </c>
      <c r="J381" s="16" t="str">
        <f>IF($C381="B",VLOOKUP($A381,Bat!$A$4:$BD$2323,J$1,FALSE),VLOOKUP($A381,Pit!$A$4:$AZ$2261,J$2,FALSE))</f>
        <v>Very Low</v>
      </c>
      <c r="K381" s="17" t="str">
        <f>IF($C381="B",VLOOKUP($A381,Bat!$A$4:$BD$2323,K$1,FALSE),VLOOKUP($A381,Pit!$A$4:$AZ$2261,K$2,FALSE))</f>
        <v>Very High</v>
      </c>
      <c r="L381" s="16">
        <f>IF($C381="B",VLOOKUP($A381,Bat!$A$4:$BD$2323,L$1,FALSE),VLOOKUP($A381,Pit!$A$4:$AZ$2261,L$2,FALSE))</f>
        <v>5</v>
      </c>
      <c r="M381" s="16">
        <f>IF($C381="B",VLOOKUP($A381,Bat!$A$4:$BD$2323,M$1,FALSE),VLOOKUP($A381,Pit!$A$4:$AZ$2261,M$2,FALSE))</f>
        <v>6</v>
      </c>
      <c r="N381" s="16">
        <f>IF($C381="B",VLOOKUP($A381,Bat!$A$4:$BD$2323,N$1,FALSE),VLOOKUP($A381,Pit!$A$4:$AZ$2261,N$2,FALSE))</f>
        <v>3</v>
      </c>
      <c r="O381" s="16" t="str">
        <f>IF($C381="B",VLOOKUP($A381,Bat!$A$4:$BD$2323,O$1,FALSE),VLOOKUP($A381,Pit!$A$4:$AZ$2261,O$2,FALSE))</f>
        <v>91-93 Mph</v>
      </c>
      <c r="P381" s="17">
        <f>IF($C381="B",VLOOKUP($A381,Bat!$A$4:$BD$2323,P$1,FALSE),VLOOKUP($A381,Pit!$A$4:$AZ$2261,P$2,FALSE))</f>
        <v>7</v>
      </c>
      <c r="Q381" s="18">
        <f>IF($C381="B",VLOOKUP($A381,Bat!$A$4:$BD$2323,Q$1,FALSE),VLOOKUP($A381,Pit!$A$4:$AZ$2261,Q$2,FALSE))</f>
        <v>32.272837934760162</v>
      </c>
      <c r="R381" s="19">
        <f>IF($C381="B",VLOOKUP($A381,Bat!$A$4:$BD$2323,R$1,FALSE),VLOOKUP($A381,Pit!$A$4:$AZ$2261,R$2,FALSE))</f>
        <v>-0.13086009447097519</v>
      </c>
      <c r="S381" s="20">
        <f>IF($C381="B",VLOOKUP($A381,Bat!$A$4:$BD$2323,S$1,FALSE),VLOOKUP($A381,Pit!$A$4:$AZ$2261,S$2,FALSE))</f>
        <v>2200000</v>
      </c>
      <c r="T381" s="17" t="str">
        <f>IF(S381="Slot","",VLOOKUP(IF($C381="B",VLOOKUP($A381,Bat!$A$4:$AT$2323,T$1,FALSE),VLOOKUP($A381,Pit!$A$4:$BD$2261,T$2,FALSE)),COND!$A$34:$B$40,2,FALSE))</f>
        <v>EH</v>
      </c>
      <c r="U381" s="21">
        <f>IF($C381="B",VLOOKUP($A381,Bat!$A$4:$AR$1287,44,FALSE),VLOOKUP($A381,Pit!$A$4:$BB$1239,54,FALSE))</f>
        <v>0</v>
      </c>
      <c r="W381" s="21">
        <f t="shared" si="22"/>
        <v>0</v>
      </c>
      <c r="X381" s="22" t="e">
        <f t="shared" si="23"/>
        <v>#N/A</v>
      </c>
      <c r="Y381" s="16" t="str">
        <f>IF(ISERROR(VLOOKUP($E381&amp;$F381,Results!$A$2:$G$413,Y$1,FALSE)),"",VLOOKUP($E381&amp;$F381,Results!$A$2:$G$413,Y$1,FALSE))</f>
        <v/>
      </c>
      <c r="Z381" s="16" t="str">
        <f>IF(ISERROR(VLOOKUP($E381&amp;$F381,Results!$A$2:$G$413,Z$1,FALSE)),"",VLOOKUP($E381&amp;$F381,Results!$A$2:$G$413,Z$1,FALSE))</f>
        <v/>
      </c>
      <c r="AA381" s="16" t="str">
        <f>IF(ISERROR(VLOOKUP($E381&amp;$F381,Results!$A$2:$G$413,AA$1,FALSE)),"",VLOOKUP($E381&amp;$F381,Results!$A$2:$G$413,AA$1,FALSE))</f>
        <v/>
      </c>
      <c r="AB381" s="16" t="str">
        <f>IF(ISERROR(VLOOKUP($E381&amp;$F381,Results!$A$2:$G$413,AB$1,FALSE)),"",VLOOKUP($E381&amp;$F381,Results!$A$2:$G$413,AB$1,FALSE))</f>
        <v/>
      </c>
      <c r="AC381" s="16"/>
      <c r="AD381" s="20" t="str">
        <f>IF(ISERROR(VLOOKUP($AB381&amp;"-"&amp;$F381,Bonuses!$B$1:$G$1000,4,FALSE)),"",INT(VLOOKUP($AB381&amp;"-"&amp;$F381,Bonuses!$B$1:$G$1000,4,FALSE)))</f>
        <v/>
      </c>
      <c r="AE381" s="16" t="str">
        <f>IF(ISERROR(VLOOKUP($AB381&amp;"-"&amp;$F381,Bonuses!$B$1:$G$1000,5,FALSE)),"",IF(VLOOKUP($AB381&amp;"-"&amp;$F381,Bonuses!$B$1:$G$1000,5,FALSE)="","",VLOOKUP($AB381&amp;"-"&amp;$F381,Bonuses!$B$1:$G$1000,6,FALSE)&amp;" yrs, "&amp;VLOOKUP($AB381&amp;"-"&amp;$F381,Bonuses!$B$1:$G$1000,5,FALSE)))</f>
        <v/>
      </c>
    </row>
    <row r="382" spans="1:31" s="21" customFormat="1">
      <c r="A382" s="21" t="s">
        <v>707</v>
      </c>
      <c r="B382" s="21">
        <f t="shared" si="20"/>
        <v>1</v>
      </c>
      <c r="C382" s="21" t="str">
        <f t="shared" si="21"/>
        <v>P</v>
      </c>
      <c r="D382" s="17">
        <f>IF($C382="B",VLOOKUP($A382,Bat!$A$4:$BD$2323,D$1,FALSE),VLOOKUP($A382,Pit!$A$4:$AZ$2261,D$2,FALSE))</f>
        <v>8194</v>
      </c>
      <c r="E382" s="16" t="str">
        <f>IF($C382="B",VLOOKUP($A382,Bat!$A$4:$BD$2323,E$1,FALSE),VLOOKUP($A382,Pit!$A$4:$AZ$2261,E$2,FALSE))</f>
        <v>SP</v>
      </c>
      <c r="F382" s="16" t="str">
        <f>IF($C382="B",VLOOKUP($A382,Bat!$A$4:$BD$2323,F$1,FALSE),VLOOKUP($A382,Pit!$A$4:$AZ$2261,F$2,FALSE))</f>
        <v>Mike Moore</v>
      </c>
      <c r="G382" s="16">
        <f>IF($C382="B",VLOOKUP($A382,Bat!$A$4:$BD$2323,G$1,FALSE),VLOOKUP($A382,Pit!$A$4:$AZ$2261,G$2,FALSE))</f>
        <v>21</v>
      </c>
      <c r="H382" s="16" t="str">
        <f>IF($C382="B",VLOOKUP($A382,Bat!$A$4:$BD$2323,H$1,FALSE),VLOOKUP($A382,Pit!$A$4:$AZ$2261,H$2,FALSE))</f>
        <v>L</v>
      </c>
      <c r="I382" s="16" t="str">
        <f>IF($C382="B",VLOOKUP($A382,Bat!$A$4:$BD$2323,I$1,FALSE),VLOOKUP($A382,Pit!$A$4:$AZ$2261,I$2,FALSE))</f>
        <v>L</v>
      </c>
      <c r="J382" s="16" t="str">
        <f>IF($C382="B",VLOOKUP($A382,Bat!$A$4:$BD$2323,J$1,FALSE),VLOOKUP($A382,Pit!$A$4:$AZ$2261,J$2,FALSE))</f>
        <v>Low</v>
      </c>
      <c r="K382" s="17" t="str">
        <f>IF($C382="B",VLOOKUP($A382,Bat!$A$4:$BD$2323,K$1,FALSE),VLOOKUP($A382,Pit!$A$4:$AZ$2261,K$2,FALSE))</f>
        <v>High</v>
      </c>
      <c r="L382" s="16">
        <f>IF($C382="B",VLOOKUP($A382,Bat!$A$4:$BD$2323,L$1,FALSE),VLOOKUP($A382,Pit!$A$4:$AZ$2261,L$2,FALSE))</f>
        <v>5</v>
      </c>
      <c r="M382" s="16">
        <f>IF($C382="B",VLOOKUP($A382,Bat!$A$4:$BD$2323,M$1,FALSE),VLOOKUP($A382,Pit!$A$4:$AZ$2261,M$2,FALSE))</f>
        <v>5</v>
      </c>
      <c r="N382" s="16">
        <f>IF($C382="B",VLOOKUP($A382,Bat!$A$4:$BD$2323,N$1,FALSE),VLOOKUP($A382,Pit!$A$4:$AZ$2261,N$2,FALSE))</f>
        <v>4</v>
      </c>
      <c r="O382" s="16" t="str">
        <f>IF($C382="B",VLOOKUP($A382,Bat!$A$4:$BD$2323,O$1,FALSE),VLOOKUP($A382,Pit!$A$4:$AZ$2261,O$2,FALSE))</f>
        <v>93-95 Mph</v>
      </c>
      <c r="P382" s="17">
        <f>IF($C382="B",VLOOKUP($A382,Bat!$A$4:$BD$2323,P$1,FALSE),VLOOKUP($A382,Pit!$A$4:$AZ$2261,P$2,FALSE))</f>
        <v>3</v>
      </c>
      <c r="Q382" s="18">
        <f>IF($C382="B",VLOOKUP($A382,Bat!$A$4:$BD$2323,Q$1,FALSE),VLOOKUP($A382,Pit!$A$4:$AZ$2261,Q$2,FALSE))</f>
        <v>33.152175605162142</v>
      </c>
      <c r="R382" s="19">
        <f>IF($C382="B",VLOOKUP($A382,Bat!$A$4:$BD$2323,R$1,FALSE),VLOOKUP($A382,Pit!$A$4:$AZ$2261,R$2,FALSE))</f>
        <v>-6.1052518997734263E-2</v>
      </c>
      <c r="S382" s="20" t="str">
        <f>IF($C382="B",VLOOKUP($A382,Bat!$A$4:$BD$2323,S$1,FALSE),VLOOKUP($A382,Pit!$A$4:$AZ$2261,S$2,FALSE))</f>
        <v>Slot</v>
      </c>
      <c r="T382" s="17" t="str">
        <f>IF(S382="Slot","",VLOOKUP(IF($C382="B",VLOOKUP($A382,Bat!$A$4:$AT$2323,T$1,FALSE),VLOOKUP($A382,Pit!$A$4:$BD$2261,T$2,FALSE)),COND!$A$34:$B$40,2,FALSE))</f>
        <v/>
      </c>
      <c r="U382" s="21">
        <f>IF($C382="B",VLOOKUP($A382,Bat!$A$4:$AR$1287,44,FALSE),VLOOKUP($A382,Pit!$A$4:$BB$1239,54,FALSE))</f>
        <v>0</v>
      </c>
      <c r="W382" s="21">
        <f t="shared" si="22"/>
        <v>0</v>
      </c>
      <c r="X382" s="22" t="e">
        <f t="shared" si="23"/>
        <v>#N/A</v>
      </c>
      <c r="Y382" s="16" t="str">
        <f>IF(ISERROR(VLOOKUP($E382&amp;$F382,Results!$A$2:$G$413,Y$1,FALSE)),"",VLOOKUP($E382&amp;$F382,Results!$A$2:$G$413,Y$1,FALSE))</f>
        <v/>
      </c>
      <c r="Z382" s="16" t="str">
        <f>IF(ISERROR(VLOOKUP($E382&amp;$F382,Results!$A$2:$G$413,Z$1,FALSE)),"",VLOOKUP($E382&amp;$F382,Results!$A$2:$G$413,Z$1,FALSE))</f>
        <v/>
      </c>
      <c r="AA382" s="16" t="str">
        <f>IF(ISERROR(VLOOKUP($E382&amp;$F382,Results!$A$2:$G$413,AA$1,FALSE)),"",VLOOKUP($E382&amp;$F382,Results!$A$2:$G$413,AA$1,FALSE))</f>
        <v/>
      </c>
      <c r="AB382" s="16" t="str">
        <f>IF(ISERROR(VLOOKUP($E382&amp;$F382,Results!$A$2:$G$413,AB$1,FALSE)),"",VLOOKUP($E382&amp;$F382,Results!$A$2:$G$413,AB$1,FALSE))</f>
        <v/>
      </c>
      <c r="AC382" s="16"/>
      <c r="AD382" s="20" t="str">
        <f>IF(ISERROR(VLOOKUP($AB382&amp;"-"&amp;$F382,Bonuses!$B$1:$G$1000,4,FALSE)),"",INT(VLOOKUP($AB382&amp;"-"&amp;$F382,Bonuses!$B$1:$G$1000,4,FALSE)))</f>
        <v/>
      </c>
      <c r="AE382" s="16" t="str">
        <f>IF(ISERROR(VLOOKUP($AB382&amp;"-"&amp;$F382,Bonuses!$B$1:$G$1000,5,FALSE)),"",IF(VLOOKUP($AB382&amp;"-"&amp;$F382,Bonuses!$B$1:$G$1000,5,FALSE)="","",VLOOKUP($AB382&amp;"-"&amp;$F382,Bonuses!$B$1:$G$1000,6,FALSE)&amp;" yrs, "&amp;VLOOKUP($AB382&amp;"-"&amp;$F382,Bonuses!$B$1:$G$1000,5,FALSE)))</f>
        <v/>
      </c>
    </row>
    <row r="383" spans="1:31" s="21" customFormat="1">
      <c r="A383" s="21" t="s">
        <v>698</v>
      </c>
      <c r="B383" s="21">
        <f t="shared" si="20"/>
        <v>1</v>
      </c>
      <c r="C383" s="21" t="str">
        <f t="shared" si="21"/>
        <v>P</v>
      </c>
      <c r="D383" s="17">
        <f>IF($C383="B",VLOOKUP($A383,Bat!$A$4:$BD$2323,D$1,FALSE),VLOOKUP($A383,Pit!$A$4:$AZ$2261,D$2,FALSE))</f>
        <v>3232</v>
      </c>
      <c r="E383" s="16" t="str">
        <f>IF($C383="B",VLOOKUP($A383,Bat!$A$4:$BD$2323,E$1,FALSE),VLOOKUP($A383,Pit!$A$4:$AZ$2261,E$2,FALSE))</f>
        <v>SP</v>
      </c>
      <c r="F383" s="16" t="str">
        <f>IF($C383="B",VLOOKUP($A383,Bat!$A$4:$BD$2323,F$1,FALSE),VLOOKUP($A383,Pit!$A$4:$AZ$2261,F$2,FALSE))</f>
        <v>Ken Hill</v>
      </c>
      <c r="G383" s="16">
        <f>IF($C383="B",VLOOKUP($A383,Bat!$A$4:$BD$2323,G$1,FALSE),VLOOKUP($A383,Pit!$A$4:$AZ$2261,G$2,FALSE))</f>
        <v>21</v>
      </c>
      <c r="H383" s="16" t="str">
        <f>IF($C383="B",VLOOKUP($A383,Bat!$A$4:$BD$2323,H$1,FALSE),VLOOKUP($A383,Pit!$A$4:$AZ$2261,H$2,FALSE))</f>
        <v>S</v>
      </c>
      <c r="I383" s="16" t="str">
        <f>IF($C383="B",VLOOKUP($A383,Bat!$A$4:$BD$2323,I$1,FALSE),VLOOKUP($A383,Pit!$A$4:$AZ$2261,I$2,FALSE))</f>
        <v>R</v>
      </c>
      <c r="J383" s="16" t="str">
        <f>IF($C383="B",VLOOKUP($A383,Bat!$A$4:$BD$2323,J$1,FALSE),VLOOKUP($A383,Pit!$A$4:$AZ$2261,J$2,FALSE))</f>
        <v>Low</v>
      </c>
      <c r="K383" s="17" t="str">
        <f>IF($C383="B",VLOOKUP($A383,Bat!$A$4:$BD$2323,K$1,FALSE),VLOOKUP($A383,Pit!$A$4:$AZ$2261,K$2,FALSE))</f>
        <v>Low</v>
      </c>
      <c r="L383" s="16">
        <f>IF($C383="B",VLOOKUP($A383,Bat!$A$4:$BD$2323,L$1,FALSE),VLOOKUP($A383,Pit!$A$4:$AZ$2261,L$2,FALSE))</f>
        <v>6</v>
      </c>
      <c r="M383" s="16">
        <f>IF($C383="B",VLOOKUP($A383,Bat!$A$4:$BD$2323,M$1,FALSE),VLOOKUP($A383,Pit!$A$4:$AZ$2261,M$2,FALSE))</f>
        <v>4</v>
      </c>
      <c r="N383" s="16">
        <f>IF($C383="B",VLOOKUP($A383,Bat!$A$4:$BD$2323,N$1,FALSE),VLOOKUP($A383,Pit!$A$4:$AZ$2261,N$2,FALSE))</f>
        <v>4</v>
      </c>
      <c r="O383" s="16" t="str">
        <f>IF($C383="B",VLOOKUP($A383,Bat!$A$4:$BD$2323,O$1,FALSE),VLOOKUP($A383,Pit!$A$4:$AZ$2261,O$2,FALSE))</f>
        <v>97-99 Mph</v>
      </c>
      <c r="P383" s="17">
        <f>IF($C383="B",VLOOKUP($A383,Bat!$A$4:$BD$2323,P$1,FALSE),VLOOKUP($A383,Pit!$A$4:$AZ$2261,P$2,FALSE))</f>
        <v>4</v>
      </c>
      <c r="Q383" s="18">
        <f>IF($C383="B",VLOOKUP($A383,Bat!$A$4:$BD$2323,Q$1,FALSE),VLOOKUP($A383,Pit!$A$4:$AZ$2261,Q$2,FALSE))</f>
        <v>31.762482362913346</v>
      </c>
      <c r="R383" s="19">
        <f>IF($C383="B",VLOOKUP($A383,Bat!$A$4:$BD$2323,R$1,FALSE),VLOOKUP($A383,Pit!$A$4:$AZ$2261,R$2,FALSE))</f>
        <v>-0.17137545768019519</v>
      </c>
      <c r="S383" s="20" t="str">
        <f>IF($C383="B",VLOOKUP($A383,Bat!$A$4:$BD$2323,S$1,FALSE),VLOOKUP($A383,Pit!$A$4:$AZ$2261,S$2,FALSE))</f>
        <v>Slot</v>
      </c>
      <c r="T383" s="17" t="str">
        <f>IF(S383="Slot","",VLOOKUP(IF($C383="B",VLOOKUP($A383,Bat!$A$4:$AT$2323,T$1,FALSE),VLOOKUP($A383,Pit!$A$4:$BD$2261,T$2,FALSE)),COND!$A$34:$B$40,2,FALSE))</f>
        <v/>
      </c>
      <c r="U383" s="21">
        <f>IF($C383="B",VLOOKUP($A383,Bat!$A$4:$AR$1287,44,FALSE),VLOOKUP($A383,Pit!$A$4:$BB$1239,54,FALSE))</f>
        <v>0</v>
      </c>
      <c r="W383" s="21">
        <f t="shared" si="22"/>
        <v>0</v>
      </c>
      <c r="X383" s="22" t="e">
        <f t="shared" si="23"/>
        <v>#N/A</v>
      </c>
      <c r="Y383" s="16" t="str">
        <f>IF(ISERROR(VLOOKUP($E383&amp;$F383,Results!$A$2:$G$413,Y$1,FALSE)),"",VLOOKUP($E383&amp;$F383,Results!$A$2:$G$413,Y$1,FALSE))</f>
        <v/>
      </c>
      <c r="Z383" s="16" t="str">
        <f>IF(ISERROR(VLOOKUP($E383&amp;$F383,Results!$A$2:$G$413,Z$1,FALSE)),"",VLOOKUP($E383&amp;$F383,Results!$A$2:$G$413,Z$1,FALSE))</f>
        <v/>
      </c>
      <c r="AA383" s="16" t="str">
        <f>IF(ISERROR(VLOOKUP($E383&amp;$F383,Results!$A$2:$G$413,AA$1,FALSE)),"",VLOOKUP($E383&amp;$F383,Results!$A$2:$G$413,AA$1,FALSE))</f>
        <v/>
      </c>
      <c r="AB383" s="16" t="str">
        <f>IF(ISERROR(VLOOKUP($E383&amp;$F383,Results!$A$2:$G$413,AB$1,FALSE)),"",VLOOKUP($E383&amp;$F383,Results!$A$2:$G$413,AB$1,FALSE))</f>
        <v/>
      </c>
      <c r="AC383" s="16"/>
      <c r="AD383" s="20" t="str">
        <f>IF(ISERROR(VLOOKUP($AB383&amp;"-"&amp;$F383,Bonuses!$B$1:$G$1000,4,FALSE)),"",INT(VLOOKUP($AB383&amp;"-"&amp;$F383,Bonuses!$B$1:$G$1000,4,FALSE)))</f>
        <v/>
      </c>
      <c r="AE383" s="16" t="str">
        <f>IF(ISERROR(VLOOKUP($AB383&amp;"-"&amp;$F383,Bonuses!$B$1:$G$1000,5,FALSE)),"",IF(VLOOKUP($AB383&amp;"-"&amp;$F383,Bonuses!$B$1:$G$1000,5,FALSE)="","",VLOOKUP($AB383&amp;"-"&amp;$F383,Bonuses!$B$1:$G$1000,6,FALSE)&amp;" yrs, "&amp;VLOOKUP($AB383&amp;"-"&amp;$F383,Bonuses!$B$1:$G$1000,5,FALSE)))</f>
        <v/>
      </c>
    </row>
    <row r="384" spans="1:31" s="21" customFormat="1">
      <c r="A384" s="21" t="s">
        <v>265</v>
      </c>
      <c r="B384" s="21">
        <f t="shared" si="20"/>
        <v>1</v>
      </c>
      <c r="C384" s="21" t="str">
        <f t="shared" si="21"/>
        <v>P</v>
      </c>
      <c r="D384" s="17">
        <f>IF($C384="B",VLOOKUP($A384,Bat!$A$4:$BD$2323,D$1,FALSE),VLOOKUP($A384,Pit!$A$4:$AZ$2261,D$2,FALSE))</f>
        <v>13915</v>
      </c>
      <c r="E384" s="16" t="str">
        <f>IF($C384="B",VLOOKUP($A384,Bat!$A$4:$BD$2323,E$1,FALSE),VLOOKUP($A384,Pit!$A$4:$AZ$2261,E$2,FALSE))</f>
        <v>MR</v>
      </c>
      <c r="F384" s="16" t="str">
        <f>IF($C384="B",VLOOKUP($A384,Bat!$A$4:$BD$2323,F$1,FALSE),VLOOKUP($A384,Pit!$A$4:$AZ$2261,F$2,FALSE))</f>
        <v>David García</v>
      </c>
      <c r="G384" s="16">
        <f>IF($C384="B",VLOOKUP($A384,Bat!$A$4:$BD$2323,G$1,FALSE),VLOOKUP($A384,Pit!$A$4:$AZ$2261,G$2,FALSE))</f>
        <v>18</v>
      </c>
      <c r="H384" s="16" t="str">
        <f>IF($C384="B",VLOOKUP($A384,Bat!$A$4:$BD$2323,H$1,FALSE),VLOOKUP($A384,Pit!$A$4:$AZ$2261,H$2,FALSE))</f>
        <v>R</v>
      </c>
      <c r="I384" s="16" t="str">
        <f>IF($C384="B",VLOOKUP($A384,Bat!$A$4:$BD$2323,I$1,FALSE),VLOOKUP($A384,Pit!$A$4:$AZ$2261,I$2,FALSE))</f>
        <v>R</v>
      </c>
      <c r="J384" s="16" t="str">
        <f>IF($C384="B",VLOOKUP($A384,Bat!$A$4:$BD$2323,J$1,FALSE),VLOOKUP($A384,Pit!$A$4:$AZ$2261,J$2,FALSE))</f>
        <v>Very High</v>
      </c>
      <c r="K384" s="17" t="str">
        <f>IF($C384="B",VLOOKUP($A384,Bat!$A$4:$BD$2323,K$1,FALSE),VLOOKUP($A384,Pit!$A$4:$AZ$2261,K$2,FALSE))</f>
        <v>Normal</v>
      </c>
      <c r="L384" s="16">
        <f>IF($C384="B",VLOOKUP($A384,Bat!$A$4:$BD$2323,L$1,FALSE),VLOOKUP($A384,Pit!$A$4:$AZ$2261,L$2,FALSE))</f>
        <v>4</v>
      </c>
      <c r="M384" s="16">
        <f>IF($C384="B",VLOOKUP($A384,Bat!$A$4:$BD$2323,M$1,FALSE),VLOOKUP($A384,Pit!$A$4:$AZ$2261,M$2,FALSE))</f>
        <v>4</v>
      </c>
      <c r="N384" s="16">
        <f>IF($C384="B",VLOOKUP($A384,Bat!$A$4:$BD$2323,N$1,FALSE),VLOOKUP($A384,Pit!$A$4:$AZ$2261,N$2,FALSE))</f>
        <v>5</v>
      </c>
      <c r="O384" s="16" t="str">
        <f>IF($C384="B",VLOOKUP($A384,Bat!$A$4:$BD$2323,O$1,FALSE),VLOOKUP($A384,Pit!$A$4:$AZ$2261,O$2,FALSE))</f>
        <v>89-90 Mph</v>
      </c>
      <c r="P384" s="17">
        <f>IF($C384="B",VLOOKUP($A384,Bat!$A$4:$BD$2323,P$1,FALSE),VLOOKUP($A384,Pit!$A$4:$AZ$2261,P$2,FALSE))</f>
        <v>9</v>
      </c>
      <c r="Q384" s="18">
        <f>IF($C384="B",VLOOKUP($A384,Bat!$A$4:$BD$2323,Q$1,FALSE),VLOOKUP($A384,Pit!$A$4:$AZ$2261,Q$2,FALSE))</f>
        <v>32.839138443238383</v>
      </c>
      <c r="R384" s="19">
        <f>IF($C384="B",VLOOKUP($A384,Bat!$A$4:$BD$2323,R$1,FALSE),VLOOKUP($A384,Pit!$A$4:$AZ$2261,R$2,FALSE))</f>
        <v>-8.5903456291177377E-2</v>
      </c>
      <c r="S384" s="20" t="str">
        <f>IF($C384="B",VLOOKUP($A384,Bat!$A$4:$BD$2323,S$1,FALSE),VLOOKUP($A384,Pit!$A$4:$AZ$2261,S$2,FALSE))</f>
        <v>Slot</v>
      </c>
      <c r="T384" s="17" t="str">
        <f>IF(S384="Slot","",VLOOKUP(IF($C384="B",VLOOKUP($A384,Bat!$A$4:$AT$2323,T$1,FALSE),VLOOKUP($A384,Pit!$A$4:$BD$2261,T$2,FALSE)),COND!$A$34:$B$40,2,FALSE))</f>
        <v/>
      </c>
      <c r="U384" s="21">
        <f>IF($C384="B",VLOOKUP($A384,Bat!$A$4:$AR$1287,44,FALSE),VLOOKUP($A384,Pit!$A$4:$BB$1239,54,FALSE))</f>
        <v>0</v>
      </c>
      <c r="W384" s="21">
        <f t="shared" si="22"/>
        <v>0</v>
      </c>
      <c r="X384" s="22" t="e">
        <f t="shared" si="23"/>
        <v>#N/A</v>
      </c>
      <c r="Y384" s="16" t="str">
        <f>IF(ISERROR(VLOOKUP($E384&amp;$F384,Results!$A$2:$G$413,Y$1,FALSE)),"",VLOOKUP($E384&amp;$F384,Results!$A$2:$G$413,Y$1,FALSE))</f>
        <v/>
      </c>
      <c r="Z384" s="16" t="str">
        <f>IF(ISERROR(VLOOKUP($E384&amp;$F384,Results!$A$2:$G$413,Z$1,FALSE)),"",VLOOKUP($E384&amp;$F384,Results!$A$2:$G$413,Z$1,FALSE))</f>
        <v/>
      </c>
      <c r="AA384" s="16" t="str">
        <f>IF(ISERROR(VLOOKUP($E384&amp;$F384,Results!$A$2:$G$413,AA$1,FALSE)),"",VLOOKUP($E384&amp;$F384,Results!$A$2:$G$413,AA$1,FALSE))</f>
        <v/>
      </c>
      <c r="AB384" s="16" t="str">
        <f>IF(ISERROR(VLOOKUP($E384&amp;$F384,Results!$A$2:$G$413,AB$1,FALSE)),"",VLOOKUP($E384&amp;$F384,Results!$A$2:$G$413,AB$1,FALSE))</f>
        <v/>
      </c>
      <c r="AC384" s="16"/>
      <c r="AD384" s="20" t="str">
        <f>IF(ISERROR(VLOOKUP($AB384&amp;"-"&amp;$F384,Bonuses!$B$1:$G$1000,4,FALSE)),"",INT(VLOOKUP($AB384&amp;"-"&amp;$F384,Bonuses!$B$1:$G$1000,4,FALSE)))</f>
        <v/>
      </c>
      <c r="AE384" s="16" t="str">
        <f>IF(ISERROR(VLOOKUP($AB384&amp;"-"&amp;$F384,Bonuses!$B$1:$G$1000,5,FALSE)),"",IF(VLOOKUP($AB384&amp;"-"&amp;$F384,Bonuses!$B$1:$G$1000,5,FALSE)="","",VLOOKUP($AB384&amp;"-"&amp;$F384,Bonuses!$B$1:$G$1000,6,FALSE)&amp;" yrs, "&amp;VLOOKUP($AB384&amp;"-"&amp;$F384,Bonuses!$B$1:$G$1000,5,FALSE)))</f>
        <v/>
      </c>
    </row>
    <row r="385" spans="1:31" s="21" customFormat="1">
      <c r="A385" s="21" t="s">
        <v>272</v>
      </c>
      <c r="B385" s="21">
        <f t="shared" si="20"/>
        <v>1</v>
      </c>
      <c r="C385" s="21" t="str">
        <f t="shared" si="21"/>
        <v>P</v>
      </c>
      <c r="D385" s="17">
        <f>IF($C385="B",VLOOKUP($A385,Bat!$A$4:$BD$2323,D$1,FALSE),VLOOKUP($A385,Pit!$A$4:$AZ$2261,D$2,FALSE))</f>
        <v>13829</v>
      </c>
      <c r="E385" s="16" t="str">
        <f>IF($C385="B",VLOOKUP($A385,Bat!$A$4:$BD$2323,E$1,FALSE),VLOOKUP($A385,Pit!$A$4:$AZ$2261,E$2,FALSE))</f>
        <v>SP</v>
      </c>
      <c r="F385" s="16" t="str">
        <f>IF($C385="B",VLOOKUP($A385,Bat!$A$4:$BD$2323,F$1,FALSE),VLOOKUP($A385,Pit!$A$4:$AZ$2261,F$2,FALSE))</f>
        <v>Júlio Rúbio</v>
      </c>
      <c r="G385" s="16">
        <f>IF($C385="B",VLOOKUP($A385,Bat!$A$4:$BD$2323,G$1,FALSE),VLOOKUP($A385,Pit!$A$4:$AZ$2261,G$2,FALSE))</f>
        <v>18</v>
      </c>
      <c r="H385" s="16" t="str">
        <f>IF($C385="B",VLOOKUP($A385,Bat!$A$4:$BD$2323,H$1,FALSE),VLOOKUP($A385,Pit!$A$4:$AZ$2261,H$2,FALSE))</f>
        <v>L</v>
      </c>
      <c r="I385" s="16" t="str">
        <f>IF($C385="B",VLOOKUP($A385,Bat!$A$4:$BD$2323,I$1,FALSE),VLOOKUP($A385,Pit!$A$4:$AZ$2261,I$2,FALSE))</f>
        <v>L</v>
      </c>
      <c r="J385" s="16" t="str">
        <f>IF($C385="B",VLOOKUP($A385,Bat!$A$4:$BD$2323,J$1,FALSE),VLOOKUP($A385,Pit!$A$4:$AZ$2261,J$2,FALSE))</f>
        <v>Normal</v>
      </c>
      <c r="K385" s="17" t="str">
        <f>IF($C385="B",VLOOKUP($A385,Bat!$A$4:$BD$2323,K$1,FALSE),VLOOKUP($A385,Pit!$A$4:$AZ$2261,K$2,FALSE))</f>
        <v>High</v>
      </c>
      <c r="L385" s="16">
        <f>IF($C385="B",VLOOKUP($A385,Bat!$A$4:$BD$2323,L$1,FALSE),VLOOKUP($A385,Pit!$A$4:$AZ$2261,L$2,FALSE))</f>
        <v>5</v>
      </c>
      <c r="M385" s="16">
        <f>IF($C385="B",VLOOKUP($A385,Bat!$A$4:$BD$2323,M$1,FALSE),VLOOKUP($A385,Pit!$A$4:$AZ$2261,M$2,FALSE))</f>
        <v>3</v>
      </c>
      <c r="N385" s="16">
        <f>IF($C385="B",VLOOKUP($A385,Bat!$A$4:$BD$2323,N$1,FALSE),VLOOKUP($A385,Pit!$A$4:$AZ$2261,N$2,FALSE))</f>
        <v>5</v>
      </c>
      <c r="O385" s="16" t="str">
        <f>IF($C385="B",VLOOKUP($A385,Bat!$A$4:$BD$2323,O$1,FALSE),VLOOKUP($A385,Pit!$A$4:$AZ$2261,O$2,FALSE))</f>
        <v>87-89 Mph</v>
      </c>
      <c r="P385" s="17">
        <f>IF($C385="B",VLOOKUP($A385,Bat!$A$4:$BD$2323,P$1,FALSE),VLOOKUP($A385,Pit!$A$4:$AZ$2261,P$2,FALSE))</f>
        <v>6</v>
      </c>
      <c r="Q385" s="18">
        <f>IF($C385="B",VLOOKUP($A385,Bat!$A$4:$BD$2323,Q$1,FALSE),VLOOKUP($A385,Pit!$A$4:$AZ$2261,Q$2,FALSE))</f>
        <v>32.735613154996372</v>
      </c>
      <c r="R385" s="19">
        <f>IF($C385="B",VLOOKUP($A385,Bat!$A$4:$BD$2323,R$1,FALSE),VLOOKUP($A385,Pit!$A$4:$AZ$2261,R$2,FALSE))</f>
        <v>-9.4121970765872323E-2</v>
      </c>
      <c r="S385" s="20" t="str">
        <f>IF($C385="B",VLOOKUP($A385,Bat!$A$4:$BD$2323,S$1,FALSE),VLOOKUP($A385,Pit!$A$4:$AZ$2261,S$2,FALSE))</f>
        <v>Slot</v>
      </c>
      <c r="T385" s="17" t="str">
        <f>IF(S385="Slot","",VLOOKUP(IF($C385="B",VLOOKUP($A385,Bat!$A$4:$AT$2323,T$1,FALSE),VLOOKUP($A385,Pit!$A$4:$BD$2261,T$2,FALSE)),COND!$A$34:$B$40,2,FALSE))</f>
        <v/>
      </c>
      <c r="U385" s="21">
        <f>IF($C385="B",VLOOKUP($A385,Bat!$A$4:$AR$1287,44,FALSE),VLOOKUP($A385,Pit!$A$4:$BB$1239,54,FALSE))</f>
        <v>0</v>
      </c>
      <c r="W385" s="21">
        <f t="shared" si="22"/>
        <v>0</v>
      </c>
      <c r="X385" s="22" t="e">
        <f t="shared" si="23"/>
        <v>#N/A</v>
      </c>
      <c r="Y385" s="16" t="str">
        <f>IF(ISERROR(VLOOKUP($E385&amp;$F385,Results!$A$2:$G$413,Y$1,FALSE)),"",VLOOKUP($E385&amp;$F385,Results!$A$2:$G$413,Y$1,FALSE))</f>
        <v/>
      </c>
      <c r="Z385" s="16" t="str">
        <f>IF(ISERROR(VLOOKUP($E385&amp;$F385,Results!$A$2:$G$413,Z$1,FALSE)),"",VLOOKUP($E385&amp;$F385,Results!$A$2:$G$413,Z$1,FALSE))</f>
        <v/>
      </c>
      <c r="AA385" s="16" t="str">
        <f>IF(ISERROR(VLOOKUP($E385&amp;$F385,Results!$A$2:$G$413,AA$1,FALSE)),"",VLOOKUP($E385&amp;$F385,Results!$A$2:$G$413,AA$1,FALSE))</f>
        <v/>
      </c>
      <c r="AB385" s="16" t="str">
        <f>IF(ISERROR(VLOOKUP($E385&amp;$F385,Results!$A$2:$G$413,AB$1,FALSE)),"",VLOOKUP($E385&amp;$F385,Results!$A$2:$G$413,AB$1,FALSE))</f>
        <v/>
      </c>
      <c r="AC385" s="16"/>
      <c r="AD385" s="20" t="str">
        <f>IF(ISERROR(VLOOKUP($AB385&amp;"-"&amp;$F385,Bonuses!$B$1:$G$1000,4,FALSE)),"",INT(VLOOKUP($AB385&amp;"-"&amp;$F385,Bonuses!$B$1:$G$1000,4,FALSE)))</f>
        <v/>
      </c>
      <c r="AE385" s="16" t="str">
        <f>IF(ISERROR(VLOOKUP($AB385&amp;"-"&amp;$F385,Bonuses!$B$1:$G$1000,5,FALSE)),"",IF(VLOOKUP($AB385&amp;"-"&amp;$F385,Bonuses!$B$1:$G$1000,5,FALSE)="","",VLOOKUP($AB385&amp;"-"&amp;$F385,Bonuses!$B$1:$G$1000,6,FALSE)&amp;" yrs, "&amp;VLOOKUP($AB385&amp;"-"&amp;$F385,Bonuses!$B$1:$G$1000,5,FALSE)))</f>
        <v/>
      </c>
    </row>
    <row r="386" spans="1:31" s="21" customFormat="1">
      <c r="A386" s="21" t="s">
        <v>709</v>
      </c>
      <c r="B386" s="21">
        <f t="shared" si="20"/>
        <v>1</v>
      </c>
      <c r="C386" s="21" t="str">
        <f t="shared" si="21"/>
        <v>P</v>
      </c>
      <c r="D386" s="17">
        <f>IF($C386="B",VLOOKUP($A386,Bat!$A$4:$BD$2323,D$1,FALSE),VLOOKUP($A386,Pit!$A$4:$AZ$2261,D$2,FALSE))</f>
        <v>8040</v>
      </c>
      <c r="E386" s="16" t="str">
        <f>IF($C386="B",VLOOKUP($A386,Bat!$A$4:$BD$2323,E$1,FALSE),VLOOKUP($A386,Pit!$A$4:$AZ$2261,E$2,FALSE))</f>
        <v>MR</v>
      </c>
      <c r="F386" s="16" t="str">
        <f>IF($C386="B",VLOOKUP($A386,Bat!$A$4:$BD$2323,F$1,FALSE),VLOOKUP($A386,Pit!$A$4:$AZ$2261,F$2,FALSE))</f>
        <v>Jesús López</v>
      </c>
      <c r="G386" s="16">
        <f>IF($C386="B",VLOOKUP($A386,Bat!$A$4:$BD$2323,G$1,FALSE),VLOOKUP($A386,Pit!$A$4:$AZ$2261,G$2,FALSE))</f>
        <v>21</v>
      </c>
      <c r="H386" s="16" t="str">
        <f>IF($C386="B",VLOOKUP($A386,Bat!$A$4:$BD$2323,H$1,FALSE),VLOOKUP($A386,Pit!$A$4:$AZ$2261,H$2,FALSE))</f>
        <v>R</v>
      </c>
      <c r="I386" s="16" t="str">
        <f>IF($C386="B",VLOOKUP($A386,Bat!$A$4:$BD$2323,I$1,FALSE),VLOOKUP($A386,Pit!$A$4:$AZ$2261,I$2,FALSE))</f>
        <v>R</v>
      </c>
      <c r="J386" s="16" t="str">
        <f>IF($C386="B",VLOOKUP($A386,Bat!$A$4:$BD$2323,J$1,FALSE),VLOOKUP($A386,Pit!$A$4:$AZ$2261,J$2,FALSE))</f>
        <v>High</v>
      </c>
      <c r="K386" s="17" t="str">
        <f>IF($C386="B",VLOOKUP($A386,Bat!$A$4:$BD$2323,K$1,FALSE),VLOOKUP($A386,Pit!$A$4:$AZ$2261,K$2,FALSE))</f>
        <v>Normal</v>
      </c>
      <c r="L386" s="16">
        <f>IF($C386="B",VLOOKUP($A386,Bat!$A$4:$BD$2323,L$1,FALSE),VLOOKUP($A386,Pit!$A$4:$AZ$2261,L$2,FALSE))</f>
        <v>6</v>
      </c>
      <c r="M386" s="16">
        <f>IF($C386="B",VLOOKUP($A386,Bat!$A$4:$BD$2323,M$1,FALSE),VLOOKUP($A386,Pit!$A$4:$AZ$2261,M$2,FALSE))</f>
        <v>4</v>
      </c>
      <c r="N386" s="16">
        <f>IF($C386="B",VLOOKUP($A386,Bat!$A$4:$BD$2323,N$1,FALSE),VLOOKUP($A386,Pit!$A$4:$AZ$2261,N$2,FALSE))</f>
        <v>4</v>
      </c>
      <c r="O386" s="16" t="str">
        <f>IF($C386="B",VLOOKUP($A386,Bat!$A$4:$BD$2323,O$1,FALSE),VLOOKUP($A386,Pit!$A$4:$AZ$2261,O$2,FALSE))</f>
        <v>95-97 Mph</v>
      </c>
      <c r="P386" s="17">
        <f>IF($C386="B",VLOOKUP($A386,Bat!$A$4:$BD$2323,P$1,FALSE),VLOOKUP($A386,Pit!$A$4:$AZ$2261,P$2,FALSE))</f>
        <v>2</v>
      </c>
      <c r="Q386" s="18">
        <f>IF($C386="B",VLOOKUP($A386,Bat!$A$4:$BD$2323,Q$1,FALSE),VLOOKUP($A386,Pit!$A$4:$AZ$2261,Q$2,FALSE))</f>
        <v>32.678423490745971</v>
      </c>
      <c r="R386" s="19">
        <f>IF($C386="B",VLOOKUP($A386,Bat!$A$4:$BD$2323,R$1,FALSE),VLOOKUP($A386,Pit!$A$4:$AZ$2261,R$2,FALSE))</f>
        <v>-9.8662060355829473E-2</v>
      </c>
      <c r="S386" s="20" t="str">
        <f>IF($C386="B",VLOOKUP($A386,Bat!$A$4:$BD$2323,S$1,FALSE),VLOOKUP($A386,Pit!$A$4:$AZ$2261,S$2,FALSE))</f>
        <v>Slot</v>
      </c>
      <c r="T386" s="17" t="str">
        <f>IF(S386="Slot","",VLOOKUP(IF($C386="B",VLOOKUP($A386,Bat!$A$4:$AT$2323,T$1,FALSE),VLOOKUP($A386,Pit!$A$4:$BD$2261,T$2,FALSE)),COND!$A$34:$B$40,2,FALSE))</f>
        <v/>
      </c>
      <c r="U386" s="21">
        <f>IF($C386="B",VLOOKUP($A386,Bat!$A$4:$AR$1287,44,FALSE),VLOOKUP($A386,Pit!$A$4:$BB$1239,54,FALSE))</f>
        <v>0</v>
      </c>
      <c r="W386" s="21">
        <f t="shared" si="22"/>
        <v>0</v>
      </c>
      <c r="X386" s="22" t="e">
        <f t="shared" si="23"/>
        <v>#N/A</v>
      </c>
      <c r="Y386" s="16" t="str">
        <f>IF(ISERROR(VLOOKUP($E386&amp;$F386,Results!$A$2:$G$413,Y$1,FALSE)),"",VLOOKUP($E386&amp;$F386,Results!$A$2:$G$413,Y$1,FALSE))</f>
        <v/>
      </c>
      <c r="Z386" s="16" t="str">
        <f>IF(ISERROR(VLOOKUP($E386&amp;$F386,Results!$A$2:$G$413,Z$1,FALSE)),"",VLOOKUP($E386&amp;$F386,Results!$A$2:$G$413,Z$1,FALSE))</f>
        <v/>
      </c>
      <c r="AA386" s="16" t="str">
        <f>IF(ISERROR(VLOOKUP($E386&amp;$F386,Results!$A$2:$G$413,AA$1,FALSE)),"",VLOOKUP($E386&amp;$F386,Results!$A$2:$G$413,AA$1,FALSE))</f>
        <v/>
      </c>
      <c r="AB386" s="16" t="str">
        <f>IF(ISERROR(VLOOKUP($E386&amp;$F386,Results!$A$2:$G$413,AB$1,FALSE)),"",VLOOKUP($E386&amp;$F386,Results!$A$2:$G$413,AB$1,FALSE))</f>
        <v/>
      </c>
      <c r="AC386" s="16"/>
      <c r="AD386" s="20" t="str">
        <f>IF(ISERROR(VLOOKUP($AB386&amp;"-"&amp;$F386,Bonuses!$B$1:$G$1000,4,FALSE)),"",INT(VLOOKUP($AB386&amp;"-"&amp;$F386,Bonuses!$B$1:$G$1000,4,FALSE)))</f>
        <v/>
      </c>
      <c r="AE386" s="16" t="str">
        <f>IF(ISERROR(VLOOKUP($AB386&amp;"-"&amp;$F386,Bonuses!$B$1:$G$1000,5,FALSE)),"",IF(VLOOKUP($AB386&amp;"-"&amp;$F386,Bonuses!$B$1:$G$1000,5,FALSE)="","",VLOOKUP($AB386&amp;"-"&amp;$F386,Bonuses!$B$1:$G$1000,6,FALSE)&amp;" yrs, "&amp;VLOOKUP($AB386&amp;"-"&amp;$F386,Bonuses!$B$1:$G$1000,5,FALSE)))</f>
        <v/>
      </c>
    </row>
    <row r="387" spans="1:31" s="21" customFormat="1">
      <c r="A387" s="21" t="s">
        <v>694</v>
      </c>
      <c r="B387" s="21">
        <f t="shared" si="20"/>
        <v>1</v>
      </c>
      <c r="C387" s="21" t="str">
        <f t="shared" si="21"/>
        <v>P</v>
      </c>
      <c r="D387" s="17">
        <f>IF($C387="B",VLOOKUP($A387,Bat!$A$4:$BD$2323,D$1,FALSE),VLOOKUP($A387,Pit!$A$4:$AZ$2261,D$2,FALSE))</f>
        <v>12034</v>
      </c>
      <c r="E387" s="16" t="str">
        <f>IF($C387="B",VLOOKUP($A387,Bat!$A$4:$BD$2323,E$1,FALSE),VLOOKUP($A387,Pit!$A$4:$AZ$2261,E$2,FALSE))</f>
        <v>MR</v>
      </c>
      <c r="F387" s="16" t="str">
        <f>IF($C387="B",VLOOKUP($A387,Bat!$A$4:$BD$2323,F$1,FALSE),VLOOKUP($A387,Pit!$A$4:$AZ$2261,F$2,FALSE))</f>
        <v>Tony Wright</v>
      </c>
      <c r="G387" s="16">
        <f>IF($C387="B",VLOOKUP($A387,Bat!$A$4:$BD$2323,G$1,FALSE),VLOOKUP($A387,Pit!$A$4:$AZ$2261,G$2,FALSE))</f>
        <v>22</v>
      </c>
      <c r="H387" s="16" t="str">
        <f>IF($C387="B",VLOOKUP($A387,Bat!$A$4:$BD$2323,H$1,FALSE),VLOOKUP($A387,Pit!$A$4:$AZ$2261,H$2,FALSE))</f>
        <v>L</v>
      </c>
      <c r="I387" s="16" t="str">
        <f>IF($C387="B",VLOOKUP($A387,Bat!$A$4:$BD$2323,I$1,FALSE),VLOOKUP($A387,Pit!$A$4:$AZ$2261,I$2,FALSE))</f>
        <v>L</v>
      </c>
      <c r="J387" s="16" t="str">
        <f>IF($C387="B",VLOOKUP($A387,Bat!$A$4:$BD$2323,J$1,FALSE),VLOOKUP($A387,Pit!$A$4:$AZ$2261,J$2,FALSE))</f>
        <v>Normal</v>
      </c>
      <c r="K387" s="17" t="str">
        <f>IF($C387="B",VLOOKUP($A387,Bat!$A$4:$BD$2323,K$1,FALSE),VLOOKUP($A387,Pit!$A$4:$AZ$2261,K$2,FALSE))</f>
        <v>Normal</v>
      </c>
      <c r="L387" s="16">
        <f>IF($C387="B",VLOOKUP($A387,Bat!$A$4:$BD$2323,L$1,FALSE),VLOOKUP($A387,Pit!$A$4:$AZ$2261,L$2,FALSE))</f>
        <v>5</v>
      </c>
      <c r="M387" s="16">
        <f>IF($C387="B",VLOOKUP($A387,Bat!$A$4:$BD$2323,M$1,FALSE),VLOOKUP($A387,Pit!$A$4:$AZ$2261,M$2,FALSE))</f>
        <v>6</v>
      </c>
      <c r="N387" s="16">
        <f>IF($C387="B",VLOOKUP($A387,Bat!$A$4:$BD$2323,N$1,FALSE),VLOOKUP($A387,Pit!$A$4:$AZ$2261,N$2,FALSE))</f>
        <v>3</v>
      </c>
      <c r="O387" s="16" t="str">
        <f>IF($C387="B",VLOOKUP($A387,Bat!$A$4:$BD$2323,O$1,FALSE),VLOOKUP($A387,Pit!$A$4:$AZ$2261,O$2,FALSE))</f>
        <v>93-95 Mph</v>
      </c>
      <c r="P387" s="17">
        <f>IF($C387="B",VLOOKUP($A387,Bat!$A$4:$BD$2323,P$1,FALSE),VLOOKUP($A387,Pit!$A$4:$AZ$2261,P$2,FALSE))</f>
        <v>2</v>
      </c>
      <c r="Q387" s="18">
        <f>IF($C387="B",VLOOKUP($A387,Bat!$A$4:$BD$2323,Q$1,FALSE),VLOOKUP($A387,Pit!$A$4:$AZ$2261,Q$2,FALSE))</f>
        <v>32.118746151195623</v>
      </c>
      <c r="R387" s="19">
        <f>IF($C387="B",VLOOKUP($A387,Bat!$A$4:$BD$2323,R$1,FALSE),VLOOKUP($A387,Pit!$A$4:$AZ$2261,R$2,FALSE))</f>
        <v>-0.14309290806813463</v>
      </c>
      <c r="S387" s="20">
        <f>IF($C387="B",VLOOKUP($A387,Bat!$A$4:$BD$2323,S$1,FALSE),VLOOKUP($A387,Pit!$A$4:$AZ$2261,S$2,FALSE))</f>
        <v>2600000</v>
      </c>
      <c r="T387" s="17" t="str">
        <f>IF(S387="Slot","",VLOOKUP(IF($C387="B",VLOOKUP($A387,Bat!$A$4:$AT$2323,T$1,FALSE),VLOOKUP($A387,Pit!$A$4:$BD$2261,T$2,FALSE)),COND!$A$34:$B$40,2,FALSE))</f>
        <v>EH</v>
      </c>
      <c r="U387" s="21">
        <f>IF($C387="B",VLOOKUP($A387,Bat!$A$4:$AR$1287,44,FALSE),VLOOKUP($A387,Pit!$A$4:$BB$1239,54,FALSE))</f>
        <v>0</v>
      </c>
      <c r="W387" s="21">
        <f t="shared" si="22"/>
        <v>0</v>
      </c>
      <c r="X387" s="22" t="e">
        <f t="shared" si="23"/>
        <v>#N/A</v>
      </c>
      <c r="Y387" s="16" t="str">
        <f>IF(ISERROR(VLOOKUP($E387&amp;$F387,Results!$A$2:$G$413,Y$1,FALSE)),"",VLOOKUP($E387&amp;$F387,Results!$A$2:$G$413,Y$1,FALSE))</f>
        <v/>
      </c>
      <c r="Z387" s="16" t="str">
        <f>IF(ISERROR(VLOOKUP($E387&amp;$F387,Results!$A$2:$G$413,Z$1,FALSE)),"",VLOOKUP($E387&amp;$F387,Results!$A$2:$G$413,Z$1,FALSE))</f>
        <v/>
      </c>
      <c r="AA387" s="16" t="str">
        <f>IF(ISERROR(VLOOKUP($E387&amp;$F387,Results!$A$2:$G$413,AA$1,FALSE)),"",VLOOKUP($E387&amp;$F387,Results!$A$2:$G$413,AA$1,FALSE))</f>
        <v/>
      </c>
      <c r="AB387" s="16" t="str">
        <f>IF(ISERROR(VLOOKUP($E387&amp;$F387,Results!$A$2:$G$413,AB$1,FALSE)),"",VLOOKUP($E387&amp;$F387,Results!$A$2:$G$413,AB$1,FALSE))</f>
        <v/>
      </c>
      <c r="AC387" s="16"/>
      <c r="AD387" s="20" t="str">
        <f>IF(ISERROR(VLOOKUP($AB387&amp;"-"&amp;$F387,Bonuses!$B$1:$G$1000,4,FALSE)),"",INT(VLOOKUP($AB387&amp;"-"&amp;$F387,Bonuses!$B$1:$G$1000,4,FALSE)))</f>
        <v/>
      </c>
      <c r="AE387" s="16" t="str">
        <f>IF(ISERROR(VLOOKUP($AB387&amp;"-"&amp;$F387,Bonuses!$B$1:$G$1000,5,FALSE)),"",IF(VLOOKUP($AB387&amp;"-"&amp;$F387,Bonuses!$B$1:$G$1000,5,FALSE)="","",VLOOKUP($AB387&amp;"-"&amp;$F387,Bonuses!$B$1:$G$1000,6,FALSE)&amp;" yrs, "&amp;VLOOKUP($AB387&amp;"-"&amp;$F387,Bonuses!$B$1:$G$1000,5,FALSE)))</f>
        <v/>
      </c>
    </row>
    <row r="388" spans="1:31" s="21" customFormat="1">
      <c r="A388" s="21" t="s">
        <v>648</v>
      </c>
      <c r="B388" s="21">
        <f t="shared" si="20"/>
        <v>1</v>
      </c>
      <c r="C388" s="21" t="str">
        <f t="shared" si="21"/>
        <v>P</v>
      </c>
      <c r="D388" s="17">
        <f>IF($C388="B",VLOOKUP($A388,Bat!$A$4:$BD$2323,D$1,FALSE),VLOOKUP($A388,Pit!$A$4:$AZ$2261,D$2,FALSE))</f>
        <v>1996</v>
      </c>
      <c r="E388" s="16" t="str">
        <f>IF($C388="B",VLOOKUP($A388,Bat!$A$4:$BD$2323,E$1,FALSE),VLOOKUP($A388,Pit!$A$4:$AZ$2261,E$2,FALSE))</f>
        <v>MR</v>
      </c>
      <c r="F388" s="16" t="str">
        <f>IF($C388="B",VLOOKUP($A388,Bat!$A$4:$BD$2323,F$1,FALSE),VLOOKUP($A388,Pit!$A$4:$AZ$2261,F$2,FALSE))</f>
        <v>Ken Mullen</v>
      </c>
      <c r="G388" s="16">
        <f>IF($C388="B",VLOOKUP($A388,Bat!$A$4:$BD$2323,G$1,FALSE),VLOOKUP($A388,Pit!$A$4:$AZ$2261,G$2,FALSE))</f>
        <v>21</v>
      </c>
      <c r="H388" s="16" t="str">
        <f>IF($C388="B",VLOOKUP($A388,Bat!$A$4:$BD$2323,H$1,FALSE),VLOOKUP($A388,Pit!$A$4:$AZ$2261,H$2,FALSE))</f>
        <v>S</v>
      </c>
      <c r="I388" s="16" t="str">
        <f>IF($C388="B",VLOOKUP($A388,Bat!$A$4:$BD$2323,I$1,FALSE),VLOOKUP($A388,Pit!$A$4:$AZ$2261,I$2,FALSE))</f>
        <v>R</v>
      </c>
      <c r="J388" s="16" t="str">
        <f>IF($C388="B",VLOOKUP($A388,Bat!$A$4:$BD$2323,J$1,FALSE),VLOOKUP($A388,Pit!$A$4:$AZ$2261,J$2,FALSE))</f>
        <v>Low</v>
      </c>
      <c r="K388" s="17" t="str">
        <f>IF($C388="B",VLOOKUP($A388,Bat!$A$4:$BD$2323,K$1,FALSE),VLOOKUP($A388,Pit!$A$4:$AZ$2261,K$2,FALSE))</f>
        <v>Very High</v>
      </c>
      <c r="L388" s="16">
        <f>IF($C388="B",VLOOKUP($A388,Bat!$A$4:$BD$2323,L$1,FALSE),VLOOKUP($A388,Pit!$A$4:$AZ$2261,L$2,FALSE))</f>
        <v>5</v>
      </c>
      <c r="M388" s="16">
        <f>IF($C388="B",VLOOKUP($A388,Bat!$A$4:$BD$2323,M$1,FALSE),VLOOKUP($A388,Pit!$A$4:$AZ$2261,M$2,FALSE))</f>
        <v>4</v>
      </c>
      <c r="N388" s="16">
        <f>IF($C388="B",VLOOKUP($A388,Bat!$A$4:$BD$2323,N$1,FALSE),VLOOKUP($A388,Pit!$A$4:$AZ$2261,N$2,FALSE))</f>
        <v>4</v>
      </c>
      <c r="O388" s="16" t="str">
        <f>IF($C388="B",VLOOKUP($A388,Bat!$A$4:$BD$2323,O$1,FALSE),VLOOKUP($A388,Pit!$A$4:$AZ$2261,O$2,FALSE))</f>
        <v>92-94 Mph</v>
      </c>
      <c r="P388" s="17">
        <f>IF($C388="B",VLOOKUP($A388,Bat!$A$4:$BD$2323,P$1,FALSE),VLOOKUP($A388,Pit!$A$4:$AZ$2261,P$2,FALSE))</f>
        <v>6</v>
      </c>
      <c r="Q388" s="18">
        <f>IF($C388="B",VLOOKUP($A388,Bat!$A$4:$BD$2323,Q$1,FALSE),VLOOKUP($A388,Pit!$A$4:$AZ$2261,Q$2,FALSE))</f>
        <v>31.776321898970288</v>
      </c>
      <c r="R388" s="19">
        <f>IF($C388="B",VLOOKUP($A388,Bat!$A$4:$BD$2323,R$1,FALSE),VLOOKUP($A388,Pit!$A$4:$AZ$2261,R$2,FALSE))</f>
        <v>-0.1702767847922613</v>
      </c>
      <c r="S388" s="20" t="str">
        <f>IF($C388="B",VLOOKUP($A388,Bat!$A$4:$BD$2323,S$1,FALSE),VLOOKUP($A388,Pit!$A$4:$AZ$2261,S$2,FALSE))</f>
        <v>Slot</v>
      </c>
      <c r="T388" s="17" t="str">
        <f>IF(S388="Slot","",VLOOKUP(IF($C388="B",VLOOKUP($A388,Bat!$A$4:$AT$2323,T$1,FALSE),VLOOKUP($A388,Pit!$A$4:$BD$2261,T$2,FALSE)),COND!$A$34:$B$40,2,FALSE))</f>
        <v/>
      </c>
      <c r="U388" s="21">
        <f>IF($C388="B",VLOOKUP($A388,Bat!$A$4:$AR$1287,44,FALSE),VLOOKUP($A388,Pit!$A$4:$BB$1239,54,FALSE))</f>
        <v>0</v>
      </c>
      <c r="W388" s="21">
        <f t="shared" si="22"/>
        <v>0</v>
      </c>
      <c r="X388" s="22" t="e">
        <f t="shared" si="23"/>
        <v>#N/A</v>
      </c>
      <c r="Y388" s="16" t="str">
        <f>IF(ISERROR(VLOOKUP($E388&amp;$F388,Results!$A$2:$G$413,Y$1,FALSE)),"",VLOOKUP($E388&amp;$F388,Results!$A$2:$G$413,Y$1,FALSE))</f>
        <v/>
      </c>
      <c r="Z388" s="16" t="str">
        <f>IF(ISERROR(VLOOKUP($E388&amp;$F388,Results!$A$2:$G$413,Z$1,FALSE)),"",VLOOKUP($E388&amp;$F388,Results!$A$2:$G$413,Z$1,FALSE))</f>
        <v/>
      </c>
      <c r="AA388" s="16" t="str">
        <f>IF(ISERROR(VLOOKUP($E388&amp;$F388,Results!$A$2:$G$413,AA$1,FALSE)),"",VLOOKUP($E388&amp;$F388,Results!$A$2:$G$413,AA$1,FALSE))</f>
        <v/>
      </c>
      <c r="AB388" s="16" t="str">
        <f>IF(ISERROR(VLOOKUP($E388&amp;$F388,Results!$A$2:$G$413,AB$1,FALSE)),"",VLOOKUP($E388&amp;$F388,Results!$A$2:$G$413,AB$1,FALSE))</f>
        <v/>
      </c>
      <c r="AC388" s="16"/>
      <c r="AD388" s="20" t="str">
        <f>IF(ISERROR(VLOOKUP($AB388&amp;"-"&amp;$F388,Bonuses!$B$1:$G$1000,4,FALSE)),"",INT(VLOOKUP($AB388&amp;"-"&amp;$F388,Bonuses!$B$1:$G$1000,4,FALSE)))</f>
        <v/>
      </c>
      <c r="AE388" s="16" t="str">
        <f>IF(ISERROR(VLOOKUP($AB388&amp;"-"&amp;$F388,Bonuses!$B$1:$G$1000,5,FALSE)),"",IF(VLOOKUP($AB388&amp;"-"&amp;$F388,Bonuses!$B$1:$G$1000,5,FALSE)="","",VLOOKUP($AB388&amp;"-"&amp;$F388,Bonuses!$B$1:$G$1000,6,FALSE)&amp;" yrs, "&amp;VLOOKUP($AB388&amp;"-"&amp;$F388,Bonuses!$B$1:$G$1000,5,FALSE)))</f>
        <v/>
      </c>
    </row>
    <row r="389" spans="1:31" s="21" customFormat="1">
      <c r="A389" s="21" t="s">
        <v>90</v>
      </c>
      <c r="B389" s="21">
        <f t="shared" ref="B389:B452" si="24">COUNTIF($A$5:$A$598,A389)</f>
        <v>1</v>
      </c>
      <c r="C389" s="21" t="str">
        <f t="shared" ref="C389:C452" si="25">IF(OR(MID(A389,1,2)="SP",MID(A389,1,2)="MR",MID(A389,1,2)="CL",MID(A389,1,2)="RP"),"P","B")</f>
        <v>P</v>
      </c>
      <c r="D389" s="17">
        <f>IF($C389="B",VLOOKUP($A389,Bat!$A$4:$BD$2323,D$1,FALSE),VLOOKUP($A389,Pit!$A$4:$AZ$2261,D$2,FALSE))</f>
        <v>13831</v>
      </c>
      <c r="E389" s="16" t="str">
        <f>IF($C389="B",VLOOKUP($A389,Bat!$A$4:$BD$2323,E$1,FALSE),VLOOKUP($A389,Pit!$A$4:$AZ$2261,E$2,FALSE))</f>
        <v>MR</v>
      </c>
      <c r="F389" s="16" t="str">
        <f>IF($C389="B",VLOOKUP($A389,Bat!$A$4:$BD$2323,F$1,FALSE),VLOOKUP($A389,Pit!$A$4:$AZ$2261,F$2,FALSE))</f>
        <v>Kurt Archibald</v>
      </c>
      <c r="G389" s="16">
        <f>IF($C389="B",VLOOKUP($A389,Bat!$A$4:$BD$2323,G$1,FALSE),VLOOKUP($A389,Pit!$A$4:$AZ$2261,G$2,FALSE))</f>
        <v>18</v>
      </c>
      <c r="H389" s="16" t="str">
        <f>IF($C389="B",VLOOKUP($A389,Bat!$A$4:$BD$2323,H$1,FALSE),VLOOKUP($A389,Pit!$A$4:$AZ$2261,H$2,FALSE))</f>
        <v>R</v>
      </c>
      <c r="I389" s="16" t="str">
        <f>IF($C389="B",VLOOKUP($A389,Bat!$A$4:$BD$2323,I$1,FALSE),VLOOKUP($A389,Pit!$A$4:$AZ$2261,I$2,FALSE))</f>
        <v>R</v>
      </c>
      <c r="J389" s="16" t="str">
        <f>IF($C389="B",VLOOKUP($A389,Bat!$A$4:$BD$2323,J$1,FALSE),VLOOKUP($A389,Pit!$A$4:$AZ$2261,J$2,FALSE))</f>
        <v>Very High</v>
      </c>
      <c r="K389" s="17" t="str">
        <f>IF($C389="B",VLOOKUP($A389,Bat!$A$4:$BD$2323,K$1,FALSE),VLOOKUP($A389,Pit!$A$4:$AZ$2261,K$2,FALSE))</f>
        <v>Very High</v>
      </c>
      <c r="L389" s="16">
        <f>IF($C389="B",VLOOKUP($A389,Bat!$A$4:$BD$2323,L$1,FALSE),VLOOKUP($A389,Pit!$A$4:$AZ$2261,L$2,FALSE))</f>
        <v>4</v>
      </c>
      <c r="M389" s="16">
        <f>IF($C389="B",VLOOKUP($A389,Bat!$A$4:$BD$2323,M$1,FALSE),VLOOKUP($A389,Pit!$A$4:$AZ$2261,M$2,FALSE))</f>
        <v>5</v>
      </c>
      <c r="N389" s="16">
        <f>IF($C389="B",VLOOKUP($A389,Bat!$A$4:$BD$2323,N$1,FALSE),VLOOKUP($A389,Pit!$A$4:$AZ$2261,N$2,FALSE))</f>
        <v>4</v>
      </c>
      <c r="O389" s="16" t="str">
        <f>IF($C389="B",VLOOKUP($A389,Bat!$A$4:$BD$2323,O$1,FALSE),VLOOKUP($A389,Pit!$A$4:$AZ$2261,O$2,FALSE))</f>
        <v>89-90 Mph</v>
      </c>
      <c r="P389" s="17">
        <f>IF($C389="B",VLOOKUP($A389,Bat!$A$4:$BD$2323,P$1,FALSE),VLOOKUP($A389,Pit!$A$4:$AZ$2261,P$2,FALSE))</f>
        <v>7</v>
      </c>
      <c r="Q389" s="18">
        <f>IF($C389="B",VLOOKUP($A389,Bat!$A$4:$BD$2323,Q$1,FALSE),VLOOKUP($A389,Pit!$A$4:$AZ$2261,Q$2,FALSE))</f>
        <v>32.45136145075729</v>
      </c>
      <c r="R389" s="19">
        <f>IF($C389="B",VLOOKUP($A389,Bat!$A$4:$BD$2323,R$1,FALSE),VLOOKUP($A389,Pit!$A$4:$AZ$2261,R$2,FALSE))</f>
        <v>-0.11668773016066329</v>
      </c>
      <c r="S389" s="20">
        <f>IF($C389="B",VLOOKUP($A389,Bat!$A$4:$BD$2323,S$1,FALSE),VLOOKUP($A389,Pit!$A$4:$AZ$2261,S$2,FALSE))</f>
        <v>2400000</v>
      </c>
      <c r="T389" s="17" t="str">
        <f>IF(S389="Slot","",VLOOKUP(IF($C389="B",VLOOKUP($A389,Bat!$A$4:$AT$2323,T$1,FALSE),VLOOKUP($A389,Pit!$A$4:$BD$2261,T$2,FALSE)),COND!$A$34:$B$40,2,FALSE))</f>
        <v>EH</v>
      </c>
      <c r="U389" s="21">
        <f>IF($C389="B",VLOOKUP($A389,Bat!$A$4:$AR$1287,44,FALSE),VLOOKUP($A389,Pit!$A$4:$BB$1239,54,FALSE))</f>
        <v>0</v>
      </c>
      <c r="W389" s="21">
        <f t="shared" ref="W389:W452" si="26">IF(OR(U389=999,AND(S389&gt;$S$3,S389&lt;&gt;"Slot")),"",U389)</f>
        <v>0</v>
      </c>
      <c r="X389" s="22" t="e">
        <f t="shared" ref="X389:X452" si="27">RANK(R389,$R$5:$R$1469)</f>
        <v>#N/A</v>
      </c>
      <c r="Y389" s="16" t="str">
        <f>IF(ISERROR(VLOOKUP($E389&amp;$F389,Results!$A$2:$G$413,Y$1,FALSE)),"",VLOOKUP($E389&amp;$F389,Results!$A$2:$G$413,Y$1,FALSE))</f>
        <v/>
      </c>
      <c r="Z389" s="16" t="str">
        <f>IF(ISERROR(VLOOKUP($E389&amp;$F389,Results!$A$2:$G$413,Z$1,FALSE)),"",VLOOKUP($E389&amp;$F389,Results!$A$2:$G$413,Z$1,FALSE))</f>
        <v/>
      </c>
      <c r="AA389" s="16" t="str">
        <f>IF(ISERROR(VLOOKUP($E389&amp;$F389,Results!$A$2:$G$413,AA$1,FALSE)),"",VLOOKUP($E389&amp;$F389,Results!$A$2:$G$413,AA$1,FALSE))</f>
        <v/>
      </c>
      <c r="AB389" s="16" t="str">
        <f>IF(ISERROR(VLOOKUP($E389&amp;$F389,Results!$A$2:$G$413,AB$1,FALSE)),"",VLOOKUP($E389&amp;$F389,Results!$A$2:$G$413,AB$1,FALSE))</f>
        <v/>
      </c>
      <c r="AC389" s="16"/>
      <c r="AD389" s="20" t="str">
        <f>IF(ISERROR(VLOOKUP($AB389&amp;"-"&amp;$F389,Bonuses!$B$1:$G$1000,4,FALSE)),"",INT(VLOOKUP($AB389&amp;"-"&amp;$F389,Bonuses!$B$1:$G$1000,4,FALSE)))</f>
        <v/>
      </c>
      <c r="AE389" s="16" t="str">
        <f>IF(ISERROR(VLOOKUP($AB389&amp;"-"&amp;$F389,Bonuses!$B$1:$G$1000,5,FALSE)),"",IF(VLOOKUP($AB389&amp;"-"&amp;$F389,Bonuses!$B$1:$G$1000,5,FALSE)="","",VLOOKUP($AB389&amp;"-"&amp;$F389,Bonuses!$B$1:$G$1000,6,FALSE)&amp;" yrs, "&amp;VLOOKUP($AB389&amp;"-"&amp;$F389,Bonuses!$B$1:$G$1000,5,FALSE)))</f>
        <v/>
      </c>
    </row>
    <row r="390" spans="1:31" s="21" customFormat="1">
      <c r="A390" s="21" t="s">
        <v>273</v>
      </c>
      <c r="B390" s="21">
        <f t="shared" si="24"/>
        <v>1</v>
      </c>
      <c r="C390" s="21" t="str">
        <f t="shared" si="25"/>
        <v>P</v>
      </c>
      <c r="D390" s="17" t="e">
        <f>IF($C390="B",VLOOKUP($A390,Bat!$A$4:$BD$2323,D$1,FALSE),VLOOKUP($A390,Pit!$A$4:$AZ$2261,D$2,FALSE))</f>
        <v>#N/A</v>
      </c>
      <c r="E390" s="16" t="e">
        <f>IF($C390="B",VLOOKUP($A390,Bat!$A$4:$BD$2323,E$1,FALSE),VLOOKUP($A390,Pit!$A$4:$AZ$2261,E$2,FALSE))</f>
        <v>#N/A</v>
      </c>
      <c r="F390" s="16" t="e">
        <f>IF($C390="B",VLOOKUP($A390,Bat!$A$4:$BD$2323,F$1,FALSE),VLOOKUP($A390,Pit!$A$4:$AZ$2261,F$2,FALSE))</f>
        <v>#N/A</v>
      </c>
      <c r="G390" s="16" t="e">
        <f>IF($C390="B",VLOOKUP($A390,Bat!$A$4:$BD$2323,G$1,FALSE),VLOOKUP($A390,Pit!$A$4:$AZ$2261,G$2,FALSE))</f>
        <v>#N/A</v>
      </c>
      <c r="H390" s="16" t="e">
        <f>IF($C390="B",VLOOKUP($A390,Bat!$A$4:$BD$2323,H$1,FALSE),VLOOKUP($A390,Pit!$A$4:$AZ$2261,H$2,FALSE))</f>
        <v>#N/A</v>
      </c>
      <c r="I390" s="16" t="e">
        <f>IF($C390="B",VLOOKUP($A390,Bat!$A$4:$BD$2323,I$1,FALSE),VLOOKUP($A390,Pit!$A$4:$AZ$2261,I$2,FALSE))</f>
        <v>#N/A</v>
      </c>
      <c r="J390" s="16" t="e">
        <f>IF($C390="B",VLOOKUP($A390,Bat!$A$4:$BD$2323,J$1,FALSE),VLOOKUP($A390,Pit!$A$4:$AZ$2261,J$2,FALSE))</f>
        <v>#N/A</v>
      </c>
      <c r="K390" s="17" t="e">
        <f>IF($C390="B",VLOOKUP($A390,Bat!$A$4:$BD$2323,K$1,FALSE),VLOOKUP($A390,Pit!$A$4:$AZ$2261,K$2,FALSE))</f>
        <v>#N/A</v>
      </c>
      <c r="L390" s="16" t="e">
        <f>IF($C390="B",VLOOKUP($A390,Bat!$A$4:$BD$2323,L$1,FALSE),VLOOKUP($A390,Pit!$A$4:$AZ$2261,L$2,FALSE))</f>
        <v>#N/A</v>
      </c>
      <c r="M390" s="16" t="e">
        <f>IF($C390="B",VLOOKUP($A390,Bat!$A$4:$BD$2323,M$1,FALSE),VLOOKUP($A390,Pit!$A$4:$AZ$2261,M$2,FALSE))</f>
        <v>#N/A</v>
      </c>
      <c r="N390" s="16" t="e">
        <f>IF($C390="B",VLOOKUP($A390,Bat!$A$4:$BD$2323,N$1,FALSE),VLOOKUP($A390,Pit!$A$4:$AZ$2261,N$2,FALSE))</f>
        <v>#N/A</v>
      </c>
      <c r="O390" s="16" t="e">
        <f>IF($C390="B",VLOOKUP($A390,Bat!$A$4:$BD$2323,O$1,FALSE),VLOOKUP($A390,Pit!$A$4:$AZ$2261,O$2,FALSE))</f>
        <v>#N/A</v>
      </c>
      <c r="P390" s="17" t="e">
        <f>IF($C390="B",VLOOKUP($A390,Bat!$A$4:$BD$2323,P$1,FALSE),VLOOKUP($A390,Pit!$A$4:$AZ$2261,P$2,FALSE))</f>
        <v>#N/A</v>
      </c>
      <c r="Q390" s="18" t="e">
        <f>IF($C390="B",VLOOKUP($A390,Bat!$A$4:$BD$2323,Q$1,FALSE),VLOOKUP($A390,Pit!$A$4:$AZ$2261,Q$2,FALSE))</f>
        <v>#N/A</v>
      </c>
      <c r="R390" s="19" t="e">
        <f>IF($C390="B",VLOOKUP($A390,Bat!$A$4:$BD$2323,R$1,FALSE),VLOOKUP($A390,Pit!$A$4:$AZ$2261,R$2,FALSE))</f>
        <v>#N/A</v>
      </c>
      <c r="S390" s="20" t="e">
        <f>IF($C390="B",VLOOKUP($A390,Bat!$A$4:$BD$2323,S$1,FALSE),VLOOKUP($A390,Pit!$A$4:$AZ$2261,S$2,FALSE))</f>
        <v>#N/A</v>
      </c>
      <c r="T390" s="17" t="e">
        <f>IF(S390="Slot","",VLOOKUP(IF($C390="B",VLOOKUP($A390,Bat!$A$4:$AT$2323,T$1,FALSE),VLOOKUP($A390,Pit!$A$4:$BD$2261,T$2,FALSE)),COND!$A$34:$B$40,2,FALSE))</f>
        <v>#N/A</v>
      </c>
      <c r="U390" s="21" t="e">
        <f>IF($C390="B",VLOOKUP($A390,Bat!$A$4:$AR$1287,44,FALSE),VLOOKUP($A390,Pit!$A$4:$BB$1239,54,FALSE))</f>
        <v>#N/A</v>
      </c>
      <c r="W390" s="21" t="e">
        <f t="shared" si="26"/>
        <v>#N/A</v>
      </c>
      <c r="X390" s="22" t="e">
        <f t="shared" si="27"/>
        <v>#N/A</v>
      </c>
      <c r="Y390" s="16" t="str">
        <f>IF(ISERROR(VLOOKUP($E390&amp;$F390,Results!$A$2:$G$413,Y$1,FALSE)),"",VLOOKUP($E390&amp;$F390,Results!$A$2:$G$413,Y$1,FALSE))</f>
        <v/>
      </c>
      <c r="Z390" s="16" t="str">
        <f>IF(ISERROR(VLOOKUP($E390&amp;$F390,Results!$A$2:$G$413,Z$1,FALSE)),"",VLOOKUP($E390&amp;$F390,Results!$A$2:$G$413,Z$1,FALSE))</f>
        <v/>
      </c>
      <c r="AA390" s="16" t="str">
        <f>IF(ISERROR(VLOOKUP($E390&amp;$F390,Results!$A$2:$G$413,AA$1,FALSE)),"",VLOOKUP($E390&amp;$F390,Results!$A$2:$G$413,AA$1,FALSE))</f>
        <v/>
      </c>
      <c r="AB390" s="16" t="str">
        <f>IF(ISERROR(VLOOKUP($E390&amp;$F390,Results!$A$2:$G$413,AB$1,FALSE)),"",VLOOKUP($E390&amp;$F390,Results!$A$2:$G$413,AB$1,FALSE))</f>
        <v/>
      </c>
      <c r="AC390" s="16"/>
      <c r="AD390" s="20" t="str">
        <f>IF(ISERROR(VLOOKUP($AB390&amp;"-"&amp;$F390,Bonuses!$B$1:$G$1000,4,FALSE)),"",INT(VLOOKUP($AB390&amp;"-"&amp;$F390,Bonuses!$B$1:$G$1000,4,FALSE)))</f>
        <v/>
      </c>
      <c r="AE390" s="16" t="str">
        <f>IF(ISERROR(VLOOKUP($AB390&amp;"-"&amp;$F390,Bonuses!$B$1:$G$1000,5,FALSE)),"",IF(VLOOKUP($AB390&amp;"-"&amp;$F390,Bonuses!$B$1:$G$1000,5,FALSE)="","",VLOOKUP($AB390&amp;"-"&amp;$F390,Bonuses!$B$1:$G$1000,6,FALSE)&amp;" yrs, "&amp;VLOOKUP($AB390&amp;"-"&amp;$F390,Bonuses!$B$1:$G$1000,5,FALSE)))</f>
        <v/>
      </c>
    </row>
    <row r="391" spans="1:31" s="21" customFormat="1">
      <c r="A391" s="21" t="s">
        <v>650</v>
      </c>
      <c r="B391" s="21">
        <f t="shared" si="24"/>
        <v>1</v>
      </c>
      <c r="C391" s="21" t="str">
        <f t="shared" si="25"/>
        <v>P</v>
      </c>
      <c r="D391" s="17">
        <f>IF($C391="B",VLOOKUP($A391,Bat!$A$4:$BD$2323,D$1,FALSE),VLOOKUP($A391,Pit!$A$4:$AZ$2261,D$2,FALSE))</f>
        <v>9250</v>
      </c>
      <c r="E391" s="16" t="str">
        <f>IF($C391="B",VLOOKUP($A391,Bat!$A$4:$BD$2323,E$1,FALSE),VLOOKUP($A391,Pit!$A$4:$AZ$2261,E$2,FALSE))</f>
        <v>MR</v>
      </c>
      <c r="F391" s="16" t="str">
        <f>IF($C391="B",VLOOKUP($A391,Bat!$A$4:$BD$2323,F$1,FALSE),VLOOKUP($A391,Pit!$A$4:$AZ$2261,F$2,FALSE))</f>
        <v>Carl Lilly</v>
      </c>
      <c r="G391" s="16">
        <f>IF($C391="B",VLOOKUP($A391,Bat!$A$4:$BD$2323,G$1,FALSE),VLOOKUP($A391,Pit!$A$4:$AZ$2261,G$2,FALSE))</f>
        <v>21</v>
      </c>
      <c r="H391" s="16" t="str">
        <f>IF($C391="B",VLOOKUP($A391,Bat!$A$4:$BD$2323,H$1,FALSE),VLOOKUP($A391,Pit!$A$4:$AZ$2261,H$2,FALSE))</f>
        <v>R</v>
      </c>
      <c r="I391" s="16" t="str">
        <f>IF($C391="B",VLOOKUP($A391,Bat!$A$4:$BD$2323,I$1,FALSE),VLOOKUP($A391,Pit!$A$4:$AZ$2261,I$2,FALSE))</f>
        <v>R</v>
      </c>
      <c r="J391" s="16" t="str">
        <f>IF($C391="B",VLOOKUP($A391,Bat!$A$4:$BD$2323,J$1,FALSE),VLOOKUP($A391,Pit!$A$4:$AZ$2261,J$2,FALSE))</f>
        <v>Normal</v>
      </c>
      <c r="K391" s="17" t="str">
        <f>IF($C391="B",VLOOKUP($A391,Bat!$A$4:$BD$2323,K$1,FALSE),VLOOKUP($A391,Pit!$A$4:$AZ$2261,K$2,FALSE))</f>
        <v>High</v>
      </c>
      <c r="L391" s="16">
        <f>IF($C391="B",VLOOKUP($A391,Bat!$A$4:$BD$2323,L$1,FALSE),VLOOKUP($A391,Pit!$A$4:$AZ$2261,L$2,FALSE))</f>
        <v>5</v>
      </c>
      <c r="M391" s="16">
        <f>IF($C391="B",VLOOKUP($A391,Bat!$A$4:$BD$2323,M$1,FALSE),VLOOKUP($A391,Pit!$A$4:$AZ$2261,M$2,FALSE))</f>
        <v>4</v>
      </c>
      <c r="N391" s="16">
        <f>IF($C391="B",VLOOKUP($A391,Bat!$A$4:$BD$2323,N$1,FALSE),VLOOKUP($A391,Pit!$A$4:$AZ$2261,N$2,FALSE))</f>
        <v>4</v>
      </c>
      <c r="O391" s="16" t="str">
        <f>IF($C391="B",VLOOKUP($A391,Bat!$A$4:$BD$2323,O$1,FALSE),VLOOKUP($A391,Pit!$A$4:$AZ$2261,O$2,FALSE))</f>
        <v>94-96 Mph</v>
      </c>
      <c r="P391" s="17">
        <f>IF($C391="B",VLOOKUP($A391,Bat!$A$4:$BD$2323,P$1,FALSE),VLOOKUP($A391,Pit!$A$4:$AZ$2261,P$2,FALSE))</f>
        <v>9</v>
      </c>
      <c r="Q391" s="18">
        <f>IF($C391="B",VLOOKUP($A391,Bat!$A$4:$BD$2323,Q$1,FALSE),VLOOKUP($A391,Pit!$A$4:$AZ$2261,Q$2,FALSE))</f>
        <v>31.765415895696904</v>
      </c>
      <c r="R391" s="19">
        <f>IF($C391="B",VLOOKUP($A391,Bat!$A$4:$BD$2323,R$1,FALSE),VLOOKUP($A391,Pit!$A$4:$AZ$2261,R$2,FALSE))</f>
        <v>-0.17114257466143648</v>
      </c>
      <c r="S391" s="20" t="str">
        <f>IF($C391="B",VLOOKUP($A391,Bat!$A$4:$BD$2323,S$1,FALSE),VLOOKUP($A391,Pit!$A$4:$AZ$2261,S$2,FALSE))</f>
        <v>Slot</v>
      </c>
      <c r="T391" s="17" t="str">
        <f>IF(S391="Slot","",VLOOKUP(IF($C391="B",VLOOKUP($A391,Bat!$A$4:$AT$2323,T$1,FALSE),VLOOKUP($A391,Pit!$A$4:$BD$2261,T$2,FALSE)),COND!$A$34:$B$40,2,FALSE))</f>
        <v/>
      </c>
      <c r="U391" s="21">
        <f>IF($C391="B",VLOOKUP($A391,Bat!$A$4:$AR$1287,44,FALSE),VLOOKUP($A391,Pit!$A$4:$BB$1239,54,FALSE))</f>
        <v>0</v>
      </c>
      <c r="W391" s="21">
        <f t="shared" si="26"/>
        <v>0</v>
      </c>
      <c r="X391" s="22" t="e">
        <f t="shared" si="27"/>
        <v>#N/A</v>
      </c>
      <c r="Y391" s="16" t="str">
        <f>IF(ISERROR(VLOOKUP($E391&amp;$F391,Results!$A$2:$G$413,Y$1,FALSE)),"",VLOOKUP($E391&amp;$F391,Results!$A$2:$G$413,Y$1,FALSE))</f>
        <v/>
      </c>
      <c r="Z391" s="16" t="str">
        <f>IF(ISERROR(VLOOKUP($E391&amp;$F391,Results!$A$2:$G$413,Z$1,FALSE)),"",VLOOKUP($E391&amp;$F391,Results!$A$2:$G$413,Z$1,FALSE))</f>
        <v/>
      </c>
      <c r="AA391" s="16" t="str">
        <f>IF(ISERROR(VLOOKUP($E391&amp;$F391,Results!$A$2:$G$413,AA$1,FALSE)),"",VLOOKUP($E391&amp;$F391,Results!$A$2:$G$413,AA$1,FALSE))</f>
        <v/>
      </c>
      <c r="AB391" s="16" t="str">
        <f>IF(ISERROR(VLOOKUP($E391&amp;$F391,Results!$A$2:$G$413,AB$1,FALSE)),"",VLOOKUP($E391&amp;$F391,Results!$A$2:$G$413,AB$1,FALSE))</f>
        <v/>
      </c>
      <c r="AC391" s="16"/>
      <c r="AD391" s="20" t="str">
        <f>IF(ISERROR(VLOOKUP($AB391&amp;"-"&amp;$F391,Bonuses!$B$1:$G$1000,4,FALSE)),"",INT(VLOOKUP($AB391&amp;"-"&amp;$F391,Bonuses!$B$1:$G$1000,4,FALSE)))</f>
        <v/>
      </c>
      <c r="AE391" s="16" t="str">
        <f>IF(ISERROR(VLOOKUP($AB391&amp;"-"&amp;$F391,Bonuses!$B$1:$G$1000,5,FALSE)),"",IF(VLOOKUP($AB391&amp;"-"&amp;$F391,Bonuses!$B$1:$G$1000,5,FALSE)="","",VLOOKUP($AB391&amp;"-"&amp;$F391,Bonuses!$B$1:$G$1000,6,FALSE)&amp;" yrs, "&amp;VLOOKUP($AB391&amp;"-"&amp;$F391,Bonuses!$B$1:$G$1000,5,FALSE)))</f>
        <v/>
      </c>
    </row>
    <row r="392" spans="1:31" s="21" customFormat="1">
      <c r="A392" s="21" t="s">
        <v>277</v>
      </c>
      <c r="B392" s="21">
        <f t="shared" si="24"/>
        <v>1</v>
      </c>
      <c r="C392" s="21" t="str">
        <f t="shared" si="25"/>
        <v>P</v>
      </c>
      <c r="D392" s="17">
        <f>IF($C392="B",VLOOKUP($A392,Bat!$A$4:$BD$2323,D$1,FALSE),VLOOKUP($A392,Pit!$A$4:$AZ$2261,D$2,FALSE))</f>
        <v>1853</v>
      </c>
      <c r="E392" s="16" t="str">
        <f>IF($C392="B",VLOOKUP($A392,Bat!$A$4:$BD$2323,E$1,FALSE),VLOOKUP($A392,Pit!$A$4:$AZ$2261,E$2,FALSE))</f>
        <v>CL</v>
      </c>
      <c r="F392" s="16" t="str">
        <f>IF($C392="B",VLOOKUP($A392,Bat!$A$4:$BD$2323,F$1,FALSE),VLOOKUP($A392,Pit!$A$4:$AZ$2261,F$2,FALSE))</f>
        <v>Luis Flores</v>
      </c>
      <c r="G392" s="16">
        <f>IF($C392="B",VLOOKUP($A392,Bat!$A$4:$BD$2323,G$1,FALSE),VLOOKUP($A392,Pit!$A$4:$AZ$2261,G$2,FALSE))</f>
        <v>18</v>
      </c>
      <c r="H392" s="16" t="str">
        <f>IF($C392="B",VLOOKUP($A392,Bat!$A$4:$BD$2323,H$1,FALSE),VLOOKUP($A392,Pit!$A$4:$AZ$2261,H$2,FALSE))</f>
        <v>R</v>
      </c>
      <c r="I392" s="16" t="str">
        <f>IF($C392="B",VLOOKUP($A392,Bat!$A$4:$BD$2323,I$1,FALSE),VLOOKUP($A392,Pit!$A$4:$AZ$2261,I$2,FALSE))</f>
        <v>R</v>
      </c>
      <c r="J392" s="16" t="str">
        <f>IF($C392="B",VLOOKUP($A392,Bat!$A$4:$BD$2323,J$1,FALSE),VLOOKUP($A392,Pit!$A$4:$AZ$2261,J$2,FALSE))</f>
        <v>Low</v>
      </c>
      <c r="K392" s="17" t="str">
        <f>IF($C392="B",VLOOKUP($A392,Bat!$A$4:$BD$2323,K$1,FALSE),VLOOKUP($A392,Pit!$A$4:$AZ$2261,K$2,FALSE))</f>
        <v>Low</v>
      </c>
      <c r="L392" s="16">
        <f>IF($C392="B",VLOOKUP($A392,Bat!$A$4:$BD$2323,L$1,FALSE),VLOOKUP($A392,Pit!$A$4:$AZ$2261,L$2,FALSE))</f>
        <v>5</v>
      </c>
      <c r="M392" s="16">
        <f>IF($C392="B",VLOOKUP($A392,Bat!$A$4:$BD$2323,M$1,FALSE),VLOOKUP($A392,Pit!$A$4:$AZ$2261,M$2,FALSE))</f>
        <v>5</v>
      </c>
      <c r="N392" s="16">
        <f>IF($C392="B",VLOOKUP($A392,Bat!$A$4:$BD$2323,N$1,FALSE),VLOOKUP($A392,Pit!$A$4:$AZ$2261,N$2,FALSE))</f>
        <v>4</v>
      </c>
      <c r="O392" s="16" t="str">
        <f>IF($C392="B",VLOOKUP($A392,Bat!$A$4:$BD$2323,O$1,FALSE),VLOOKUP($A392,Pit!$A$4:$AZ$2261,O$2,FALSE))</f>
        <v>85-87 Mph</v>
      </c>
      <c r="P392" s="17">
        <f>IF($C392="B",VLOOKUP($A392,Bat!$A$4:$BD$2323,P$1,FALSE),VLOOKUP($A392,Pit!$A$4:$AZ$2261,P$2,FALSE))</f>
        <v>6</v>
      </c>
      <c r="Q392" s="18">
        <f>IF($C392="B",VLOOKUP($A392,Bat!$A$4:$BD$2323,Q$1,FALSE),VLOOKUP($A392,Pit!$A$4:$AZ$2261,Q$2,FALSE))</f>
        <v>30.232261580296377</v>
      </c>
      <c r="R392" s="19">
        <f>IF($C392="B",VLOOKUP($A392,Bat!$A$4:$BD$2323,R$1,FALSE),VLOOKUP($A392,Pit!$A$4:$AZ$2261,R$2,FALSE))</f>
        <v>-0.29285439161967219</v>
      </c>
      <c r="S392" s="20" t="str">
        <f>IF($C392="B",VLOOKUP($A392,Bat!$A$4:$BD$2323,S$1,FALSE),VLOOKUP($A392,Pit!$A$4:$AZ$2261,S$2,FALSE))</f>
        <v>Slot</v>
      </c>
      <c r="T392" s="17" t="str">
        <f>IF(S392="Slot","",VLOOKUP(IF($C392="B",VLOOKUP($A392,Bat!$A$4:$AT$2323,T$1,FALSE),VLOOKUP($A392,Pit!$A$4:$BD$2261,T$2,FALSE)),COND!$A$34:$B$40,2,FALSE))</f>
        <v/>
      </c>
      <c r="U392" s="21">
        <f>IF($C392="B",VLOOKUP($A392,Bat!$A$4:$AR$1287,44,FALSE),VLOOKUP($A392,Pit!$A$4:$BB$1239,54,FALSE))</f>
        <v>0</v>
      </c>
      <c r="W392" s="21">
        <f t="shared" si="26"/>
        <v>0</v>
      </c>
      <c r="X392" s="22" t="e">
        <f t="shared" si="27"/>
        <v>#N/A</v>
      </c>
      <c r="Y392" s="16" t="str">
        <f>IF(ISERROR(VLOOKUP($E392&amp;$F392,Results!$A$2:$G$413,Y$1,FALSE)),"",VLOOKUP($E392&amp;$F392,Results!$A$2:$G$413,Y$1,FALSE))</f>
        <v/>
      </c>
      <c r="Z392" s="16" t="str">
        <f>IF(ISERROR(VLOOKUP($E392&amp;$F392,Results!$A$2:$G$413,Z$1,FALSE)),"",VLOOKUP($E392&amp;$F392,Results!$A$2:$G$413,Z$1,FALSE))</f>
        <v/>
      </c>
      <c r="AA392" s="16" t="str">
        <f>IF(ISERROR(VLOOKUP($E392&amp;$F392,Results!$A$2:$G$413,AA$1,FALSE)),"",VLOOKUP($E392&amp;$F392,Results!$A$2:$G$413,AA$1,FALSE))</f>
        <v/>
      </c>
      <c r="AB392" s="16" t="str">
        <f>IF(ISERROR(VLOOKUP($E392&amp;$F392,Results!$A$2:$G$413,AB$1,FALSE)),"",VLOOKUP($E392&amp;$F392,Results!$A$2:$G$413,AB$1,FALSE))</f>
        <v/>
      </c>
      <c r="AC392" s="16"/>
      <c r="AD392" s="20" t="str">
        <f>IF(ISERROR(VLOOKUP($AB392&amp;"-"&amp;$F392,Bonuses!$B$1:$G$1000,4,FALSE)),"",INT(VLOOKUP($AB392&amp;"-"&amp;$F392,Bonuses!$B$1:$G$1000,4,FALSE)))</f>
        <v/>
      </c>
      <c r="AE392" s="16" t="str">
        <f>IF(ISERROR(VLOOKUP($AB392&amp;"-"&amp;$F392,Bonuses!$B$1:$G$1000,5,FALSE)),"",IF(VLOOKUP($AB392&amp;"-"&amp;$F392,Bonuses!$B$1:$G$1000,5,FALSE)="","",VLOOKUP($AB392&amp;"-"&amp;$F392,Bonuses!$B$1:$G$1000,6,FALSE)&amp;" yrs, "&amp;VLOOKUP($AB392&amp;"-"&amp;$F392,Bonuses!$B$1:$G$1000,5,FALSE)))</f>
        <v/>
      </c>
    </row>
    <row r="393" spans="1:31" s="21" customFormat="1">
      <c r="A393" s="21" t="s">
        <v>653</v>
      </c>
      <c r="B393" s="21">
        <f t="shared" si="24"/>
        <v>1</v>
      </c>
      <c r="C393" s="21" t="str">
        <f t="shared" si="25"/>
        <v>P</v>
      </c>
      <c r="D393" s="17">
        <f>IF($C393="B",VLOOKUP($A393,Bat!$A$4:$BD$2323,D$1,FALSE),VLOOKUP($A393,Pit!$A$4:$AZ$2261,D$2,FALSE))</f>
        <v>6873</v>
      </c>
      <c r="E393" s="16" t="str">
        <f>IF($C393="B",VLOOKUP($A393,Bat!$A$4:$BD$2323,E$1,FALSE),VLOOKUP($A393,Pit!$A$4:$AZ$2261,E$2,FALSE))</f>
        <v>SP</v>
      </c>
      <c r="F393" s="16" t="str">
        <f>IF($C393="B",VLOOKUP($A393,Bat!$A$4:$BD$2323,F$1,FALSE),VLOOKUP($A393,Pit!$A$4:$AZ$2261,F$2,FALSE))</f>
        <v>Bruce Benson</v>
      </c>
      <c r="G393" s="16">
        <f>IF($C393="B",VLOOKUP($A393,Bat!$A$4:$BD$2323,G$1,FALSE),VLOOKUP($A393,Pit!$A$4:$AZ$2261,G$2,FALSE))</f>
        <v>21</v>
      </c>
      <c r="H393" s="16" t="str">
        <f>IF($C393="B",VLOOKUP($A393,Bat!$A$4:$BD$2323,H$1,FALSE),VLOOKUP($A393,Pit!$A$4:$AZ$2261,H$2,FALSE))</f>
        <v>R</v>
      </c>
      <c r="I393" s="16" t="str">
        <f>IF($C393="B",VLOOKUP($A393,Bat!$A$4:$BD$2323,I$1,FALSE),VLOOKUP($A393,Pit!$A$4:$AZ$2261,I$2,FALSE))</f>
        <v>R</v>
      </c>
      <c r="J393" s="16" t="str">
        <f>IF($C393="B",VLOOKUP($A393,Bat!$A$4:$BD$2323,J$1,FALSE),VLOOKUP($A393,Pit!$A$4:$AZ$2261,J$2,FALSE))</f>
        <v>Low</v>
      </c>
      <c r="K393" s="17" t="str">
        <f>IF($C393="B",VLOOKUP($A393,Bat!$A$4:$BD$2323,K$1,FALSE),VLOOKUP($A393,Pit!$A$4:$AZ$2261,K$2,FALSE))</f>
        <v>Low</v>
      </c>
      <c r="L393" s="16">
        <f>IF($C393="B",VLOOKUP($A393,Bat!$A$4:$BD$2323,L$1,FALSE),VLOOKUP($A393,Pit!$A$4:$AZ$2261,L$2,FALSE))</f>
        <v>5</v>
      </c>
      <c r="M393" s="16">
        <f>IF($C393="B",VLOOKUP($A393,Bat!$A$4:$BD$2323,M$1,FALSE),VLOOKUP($A393,Pit!$A$4:$AZ$2261,M$2,FALSE))</f>
        <v>4</v>
      </c>
      <c r="N393" s="16">
        <f>IF($C393="B",VLOOKUP($A393,Bat!$A$4:$BD$2323,N$1,FALSE),VLOOKUP($A393,Pit!$A$4:$AZ$2261,N$2,FALSE))</f>
        <v>4</v>
      </c>
      <c r="O393" s="16" t="str">
        <f>IF($C393="B",VLOOKUP($A393,Bat!$A$4:$BD$2323,O$1,FALSE),VLOOKUP($A393,Pit!$A$4:$AZ$2261,O$2,FALSE))</f>
        <v>94-96 Mph</v>
      </c>
      <c r="P393" s="17">
        <f>IF($C393="B",VLOOKUP($A393,Bat!$A$4:$BD$2323,P$1,FALSE),VLOOKUP($A393,Pit!$A$4:$AZ$2261,P$2,FALSE))</f>
        <v>8</v>
      </c>
      <c r="Q393" s="18">
        <f>IF($C393="B",VLOOKUP($A393,Bat!$A$4:$BD$2323,Q$1,FALSE),VLOOKUP($A393,Pit!$A$4:$AZ$2261,Q$2,FALSE))</f>
        <v>30.205716611737994</v>
      </c>
      <c r="R393" s="19">
        <f>IF($C393="B",VLOOKUP($A393,Bat!$A$4:$BD$2323,R$1,FALSE),VLOOKUP($A393,Pit!$A$4:$AZ$2261,R$2,FALSE))</f>
        <v>-0.29496170483784362</v>
      </c>
      <c r="S393" s="20" t="str">
        <f>IF($C393="B",VLOOKUP($A393,Bat!$A$4:$BD$2323,S$1,FALSE),VLOOKUP($A393,Pit!$A$4:$AZ$2261,S$2,FALSE))</f>
        <v>Slot</v>
      </c>
      <c r="T393" s="17" t="str">
        <f>IF(S393="Slot","",VLOOKUP(IF($C393="B",VLOOKUP($A393,Bat!$A$4:$AT$2323,T$1,FALSE),VLOOKUP($A393,Pit!$A$4:$BD$2261,T$2,FALSE)),COND!$A$34:$B$40,2,FALSE))</f>
        <v/>
      </c>
      <c r="U393" s="21">
        <f>IF($C393="B",VLOOKUP($A393,Bat!$A$4:$AR$1287,44,FALSE),VLOOKUP($A393,Pit!$A$4:$BB$1239,54,FALSE))</f>
        <v>0</v>
      </c>
      <c r="W393" s="21">
        <f t="shared" si="26"/>
        <v>0</v>
      </c>
      <c r="X393" s="22" t="e">
        <f t="shared" si="27"/>
        <v>#N/A</v>
      </c>
      <c r="Y393" s="16" t="str">
        <f>IF(ISERROR(VLOOKUP($E393&amp;$F393,Results!$A$2:$G$413,Y$1,FALSE)),"",VLOOKUP($E393&amp;$F393,Results!$A$2:$G$413,Y$1,FALSE))</f>
        <v/>
      </c>
      <c r="Z393" s="16" t="str">
        <f>IF(ISERROR(VLOOKUP($E393&amp;$F393,Results!$A$2:$G$413,Z$1,FALSE)),"",VLOOKUP($E393&amp;$F393,Results!$A$2:$G$413,Z$1,FALSE))</f>
        <v/>
      </c>
      <c r="AA393" s="16" t="str">
        <f>IF(ISERROR(VLOOKUP($E393&amp;$F393,Results!$A$2:$G$413,AA$1,FALSE)),"",VLOOKUP($E393&amp;$F393,Results!$A$2:$G$413,AA$1,FALSE))</f>
        <v/>
      </c>
      <c r="AB393" s="16" t="str">
        <f>IF(ISERROR(VLOOKUP($E393&amp;$F393,Results!$A$2:$G$413,AB$1,FALSE)),"",VLOOKUP($E393&amp;$F393,Results!$A$2:$G$413,AB$1,FALSE))</f>
        <v/>
      </c>
      <c r="AC393" s="16"/>
      <c r="AD393" s="20" t="str">
        <f>IF(ISERROR(VLOOKUP($AB393&amp;"-"&amp;$F393,Bonuses!$B$1:$G$1000,4,FALSE)),"",INT(VLOOKUP($AB393&amp;"-"&amp;$F393,Bonuses!$B$1:$G$1000,4,FALSE)))</f>
        <v/>
      </c>
      <c r="AE393" s="16" t="str">
        <f>IF(ISERROR(VLOOKUP($AB393&amp;"-"&amp;$F393,Bonuses!$B$1:$G$1000,5,FALSE)),"",IF(VLOOKUP($AB393&amp;"-"&amp;$F393,Bonuses!$B$1:$G$1000,5,FALSE)="","",VLOOKUP($AB393&amp;"-"&amp;$F393,Bonuses!$B$1:$G$1000,6,FALSE)&amp;" yrs, "&amp;VLOOKUP($AB393&amp;"-"&amp;$F393,Bonuses!$B$1:$G$1000,5,FALSE)))</f>
        <v/>
      </c>
    </row>
    <row r="394" spans="1:31" s="21" customFormat="1">
      <c r="A394" s="21" t="s">
        <v>676</v>
      </c>
      <c r="B394" s="21">
        <f t="shared" si="24"/>
        <v>1</v>
      </c>
      <c r="C394" s="21" t="str">
        <f t="shared" si="25"/>
        <v>P</v>
      </c>
      <c r="D394" s="17">
        <f>IF($C394="B",VLOOKUP($A394,Bat!$A$4:$BD$2323,D$1,FALSE),VLOOKUP($A394,Pit!$A$4:$AZ$2261,D$2,FALSE))</f>
        <v>6410</v>
      </c>
      <c r="E394" s="16" t="str">
        <f>IF($C394="B",VLOOKUP($A394,Bat!$A$4:$BD$2323,E$1,FALSE),VLOOKUP($A394,Pit!$A$4:$AZ$2261,E$2,FALSE))</f>
        <v>MR</v>
      </c>
      <c r="F394" s="16" t="str">
        <f>IF($C394="B",VLOOKUP($A394,Bat!$A$4:$BD$2323,F$1,FALSE),VLOOKUP($A394,Pit!$A$4:$AZ$2261,F$2,FALSE))</f>
        <v>Edmond Pals</v>
      </c>
      <c r="G394" s="16">
        <f>IF($C394="B",VLOOKUP($A394,Bat!$A$4:$BD$2323,G$1,FALSE),VLOOKUP($A394,Pit!$A$4:$AZ$2261,G$2,FALSE))</f>
        <v>21</v>
      </c>
      <c r="H394" s="16" t="str">
        <f>IF($C394="B",VLOOKUP($A394,Bat!$A$4:$BD$2323,H$1,FALSE),VLOOKUP($A394,Pit!$A$4:$AZ$2261,H$2,FALSE))</f>
        <v>R</v>
      </c>
      <c r="I394" s="16" t="str">
        <f>IF($C394="B",VLOOKUP($A394,Bat!$A$4:$BD$2323,I$1,FALSE),VLOOKUP($A394,Pit!$A$4:$AZ$2261,I$2,FALSE))</f>
        <v>R</v>
      </c>
      <c r="J394" s="16" t="str">
        <f>IF($C394="B",VLOOKUP($A394,Bat!$A$4:$BD$2323,J$1,FALSE),VLOOKUP($A394,Pit!$A$4:$AZ$2261,J$2,FALSE))</f>
        <v>Normal</v>
      </c>
      <c r="K394" s="17" t="str">
        <f>IF($C394="B",VLOOKUP($A394,Bat!$A$4:$BD$2323,K$1,FALSE),VLOOKUP($A394,Pit!$A$4:$AZ$2261,K$2,FALSE))</f>
        <v>Low</v>
      </c>
      <c r="L394" s="16">
        <f>IF($C394="B",VLOOKUP($A394,Bat!$A$4:$BD$2323,L$1,FALSE),VLOOKUP($A394,Pit!$A$4:$AZ$2261,L$2,FALSE))</f>
        <v>4</v>
      </c>
      <c r="M394" s="16">
        <f>IF($C394="B",VLOOKUP($A394,Bat!$A$4:$BD$2323,M$1,FALSE),VLOOKUP($A394,Pit!$A$4:$AZ$2261,M$2,FALSE))</f>
        <v>4</v>
      </c>
      <c r="N394" s="16">
        <f>IF($C394="B",VLOOKUP($A394,Bat!$A$4:$BD$2323,N$1,FALSE),VLOOKUP($A394,Pit!$A$4:$AZ$2261,N$2,FALSE))</f>
        <v>5</v>
      </c>
      <c r="O394" s="16" t="str">
        <f>IF($C394="B",VLOOKUP($A394,Bat!$A$4:$BD$2323,O$1,FALSE),VLOOKUP($A394,Pit!$A$4:$AZ$2261,O$2,FALSE))</f>
        <v>89-90 Mph</v>
      </c>
      <c r="P394" s="17">
        <f>IF($C394="B",VLOOKUP($A394,Bat!$A$4:$BD$2323,P$1,FALSE),VLOOKUP($A394,Pit!$A$4:$AZ$2261,P$2,FALSE))</f>
        <v>7</v>
      </c>
      <c r="Q394" s="18">
        <f>IF($C394="B",VLOOKUP($A394,Bat!$A$4:$BD$2323,Q$1,FALSE),VLOOKUP($A394,Pit!$A$4:$AZ$2261,Q$2,FALSE))</f>
        <v>30.626540821351043</v>
      </c>
      <c r="R394" s="19">
        <f>IF($C394="B",VLOOKUP($A394,Bat!$A$4:$BD$2323,R$1,FALSE),VLOOKUP($A394,Pit!$A$4:$AZ$2261,R$2,FALSE))</f>
        <v>-0.26155392673128242</v>
      </c>
      <c r="S394" s="20" t="str">
        <f>IF($C394="B",VLOOKUP($A394,Bat!$A$4:$BD$2323,S$1,FALSE),VLOOKUP($A394,Pit!$A$4:$AZ$2261,S$2,FALSE))</f>
        <v>Slot</v>
      </c>
      <c r="T394" s="17" t="str">
        <f>IF(S394="Slot","",VLOOKUP(IF($C394="B",VLOOKUP($A394,Bat!$A$4:$AT$2323,T$1,FALSE),VLOOKUP($A394,Pit!$A$4:$BD$2261,T$2,FALSE)),COND!$A$34:$B$40,2,FALSE))</f>
        <v/>
      </c>
      <c r="U394" s="21">
        <f>IF($C394="B",VLOOKUP($A394,Bat!$A$4:$AR$1287,44,FALSE),VLOOKUP($A394,Pit!$A$4:$BB$1239,54,FALSE))</f>
        <v>0</v>
      </c>
      <c r="W394" s="21">
        <f t="shared" si="26"/>
        <v>0</v>
      </c>
      <c r="X394" s="22" t="e">
        <f t="shared" si="27"/>
        <v>#N/A</v>
      </c>
      <c r="Y394" s="16" t="str">
        <f>IF(ISERROR(VLOOKUP($E394&amp;$F394,Results!$A$2:$G$413,Y$1,FALSE)),"",VLOOKUP($E394&amp;$F394,Results!$A$2:$G$413,Y$1,FALSE))</f>
        <v/>
      </c>
      <c r="Z394" s="16" t="str">
        <f>IF(ISERROR(VLOOKUP($E394&amp;$F394,Results!$A$2:$G$413,Z$1,FALSE)),"",VLOOKUP($E394&amp;$F394,Results!$A$2:$G$413,Z$1,FALSE))</f>
        <v/>
      </c>
      <c r="AA394" s="16" t="str">
        <f>IF(ISERROR(VLOOKUP($E394&amp;$F394,Results!$A$2:$G$413,AA$1,FALSE)),"",VLOOKUP($E394&amp;$F394,Results!$A$2:$G$413,AA$1,FALSE))</f>
        <v/>
      </c>
      <c r="AB394" s="16" t="str">
        <f>IF(ISERROR(VLOOKUP($E394&amp;$F394,Results!$A$2:$G$413,AB$1,FALSE)),"",VLOOKUP($E394&amp;$F394,Results!$A$2:$G$413,AB$1,FALSE))</f>
        <v/>
      </c>
      <c r="AC394" s="16"/>
      <c r="AD394" s="20" t="str">
        <f>IF(ISERROR(VLOOKUP($AB394&amp;"-"&amp;$F394,Bonuses!$B$1:$G$1000,4,FALSE)),"",INT(VLOOKUP($AB394&amp;"-"&amp;$F394,Bonuses!$B$1:$G$1000,4,FALSE)))</f>
        <v/>
      </c>
      <c r="AE394" s="16" t="str">
        <f>IF(ISERROR(VLOOKUP($AB394&amp;"-"&amp;$F394,Bonuses!$B$1:$G$1000,5,FALSE)),"",IF(VLOOKUP($AB394&amp;"-"&amp;$F394,Bonuses!$B$1:$G$1000,5,FALSE)="","",VLOOKUP($AB394&amp;"-"&amp;$F394,Bonuses!$B$1:$G$1000,6,FALSE)&amp;" yrs, "&amp;VLOOKUP($AB394&amp;"-"&amp;$F394,Bonuses!$B$1:$G$1000,5,FALSE)))</f>
        <v/>
      </c>
    </row>
    <row r="395" spans="1:31" s="21" customFormat="1">
      <c r="A395" s="21" t="s">
        <v>656</v>
      </c>
      <c r="B395" s="21">
        <f t="shared" si="24"/>
        <v>1</v>
      </c>
      <c r="C395" s="21" t="str">
        <f t="shared" si="25"/>
        <v>P</v>
      </c>
      <c r="D395" s="17">
        <f>IF($C395="B",VLOOKUP($A395,Bat!$A$4:$BD$2323,D$1,FALSE),VLOOKUP($A395,Pit!$A$4:$AZ$2261,D$2,FALSE))</f>
        <v>2467</v>
      </c>
      <c r="E395" s="16" t="str">
        <f>IF($C395="B",VLOOKUP($A395,Bat!$A$4:$BD$2323,E$1,FALSE),VLOOKUP($A395,Pit!$A$4:$AZ$2261,E$2,FALSE))</f>
        <v>SP</v>
      </c>
      <c r="F395" s="16" t="str">
        <f>IF($C395="B",VLOOKUP($A395,Bat!$A$4:$BD$2323,F$1,FALSE),VLOOKUP($A395,Pit!$A$4:$AZ$2261,F$2,FALSE))</f>
        <v>Mike Morgan</v>
      </c>
      <c r="G395" s="16">
        <f>IF($C395="B",VLOOKUP($A395,Bat!$A$4:$BD$2323,G$1,FALSE),VLOOKUP($A395,Pit!$A$4:$AZ$2261,G$2,FALSE))</f>
        <v>21</v>
      </c>
      <c r="H395" s="16" t="str">
        <f>IF($C395="B",VLOOKUP($A395,Bat!$A$4:$BD$2323,H$1,FALSE),VLOOKUP($A395,Pit!$A$4:$AZ$2261,H$2,FALSE))</f>
        <v>R</v>
      </c>
      <c r="I395" s="16" t="str">
        <f>IF($C395="B",VLOOKUP($A395,Bat!$A$4:$BD$2323,I$1,FALSE),VLOOKUP($A395,Pit!$A$4:$AZ$2261,I$2,FALSE))</f>
        <v>R</v>
      </c>
      <c r="J395" s="16" t="str">
        <f>IF($C395="B",VLOOKUP($A395,Bat!$A$4:$BD$2323,J$1,FALSE),VLOOKUP($A395,Pit!$A$4:$AZ$2261,J$2,FALSE))</f>
        <v>Normal</v>
      </c>
      <c r="K395" s="17" t="str">
        <f>IF($C395="B",VLOOKUP($A395,Bat!$A$4:$BD$2323,K$1,FALSE),VLOOKUP($A395,Pit!$A$4:$AZ$2261,K$2,FALSE))</f>
        <v>Low</v>
      </c>
      <c r="L395" s="16">
        <f>IF($C395="B",VLOOKUP($A395,Bat!$A$4:$BD$2323,L$1,FALSE),VLOOKUP($A395,Pit!$A$4:$AZ$2261,L$2,FALSE))</f>
        <v>5</v>
      </c>
      <c r="M395" s="16">
        <f>IF($C395="B",VLOOKUP($A395,Bat!$A$4:$BD$2323,M$1,FALSE),VLOOKUP($A395,Pit!$A$4:$AZ$2261,M$2,FALSE))</f>
        <v>4</v>
      </c>
      <c r="N395" s="16">
        <f>IF($C395="B",VLOOKUP($A395,Bat!$A$4:$BD$2323,N$1,FALSE),VLOOKUP($A395,Pit!$A$4:$AZ$2261,N$2,FALSE))</f>
        <v>4</v>
      </c>
      <c r="O395" s="16" t="str">
        <f>IF($C395="B",VLOOKUP($A395,Bat!$A$4:$BD$2323,O$1,FALSE),VLOOKUP($A395,Pit!$A$4:$AZ$2261,O$2,FALSE))</f>
        <v>96-98 Mph</v>
      </c>
      <c r="P395" s="17">
        <f>IF($C395="B",VLOOKUP($A395,Bat!$A$4:$BD$2323,P$1,FALSE),VLOOKUP($A395,Pit!$A$4:$AZ$2261,P$2,FALSE))</f>
        <v>6</v>
      </c>
      <c r="Q395" s="18">
        <f>IF($C395="B",VLOOKUP($A395,Bat!$A$4:$BD$2323,Q$1,FALSE),VLOOKUP($A395,Pit!$A$4:$AZ$2261,Q$2,FALSE))</f>
        <v>30.493815629818378</v>
      </c>
      <c r="R395" s="19">
        <f>IF($C395="B",VLOOKUP($A395,Bat!$A$4:$BD$2323,R$1,FALSE),VLOOKUP($A395,Pit!$A$4:$AZ$2261,R$2,FALSE))</f>
        <v>-0.27209052050746091</v>
      </c>
      <c r="S395" s="20" t="str">
        <f>IF($C395="B",VLOOKUP($A395,Bat!$A$4:$BD$2323,S$1,FALSE),VLOOKUP($A395,Pit!$A$4:$AZ$2261,S$2,FALSE))</f>
        <v>Slot</v>
      </c>
      <c r="T395" s="17" t="str">
        <f>IF(S395="Slot","",VLOOKUP(IF($C395="B",VLOOKUP($A395,Bat!$A$4:$AT$2323,T$1,FALSE),VLOOKUP($A395,Pit!$A$4:$BD$2261,T$2,FALSE)),COND!$A$34:$B$40,2,FALSE))</f>
        <v/>
      </c>
      <c r="U395" s="21">
        <f>IF($C395="B",VLOOKUP($A395,Bat!$A$4:$AR$1287,44,FALSE),VLOOKUP($A395,Pit!$A$4:$BB$1239,54,FALSE))</f>
        <v>0</v>
      </c>
      <c r="W395" s="21">
        <f t="shared" si="26"/>
        <v>0</v>
      </c>
      <c r="X395" s="22" t="e">
        <f t="shared" si="27"/>
        <v>#N/A</v>
      </c>
      <c r="Y395" s="16" t="str">
        <f>IF(ISERROR(VLOOKUP($E395&amp;$F395,Results!$A$2:$G$413,Y$1,FALSE)),"",VLOOKUP($E395&amp;$F395,Results!$A$2:$G$413,Y$1,FALSE))</f>
        <v/>
      </c>
      <c r="Z395" s="16" t="str">
        <f>IF(ISERROR(VLOOKUP($E395&amp;$F395,Results!$A$2:$G$413,Z$1,FALSE)),"",VLOOKUP($E395&amp;$F395,Results!$A$2:$G$413,Z$1,FALSE))</f>
        <v/>
      </c>
      <c r="AA395" s="16" t="str">
        <f>IF(ISERROR(VLOOKUP($E395&amp;$F395,Results!$A$2:$G$413,AA$1,FALSE)),"",VLOOKUP($E395&amp;$F395,Results!$A$2:$G$413,AA$1,FALSE))</f>
        <v/>
      </c>
      <c r="AB395" s="16" t="str">
        <f>IF(ISERROR(VLOOKUP($E395&amp;$F395,Results!$A$2:$G$413,AB$1,FALSE)),"",VLOOKUP($E395&amp;$F395,Results!$A$2:$G$413,AB$1,FALSE))</f>
        <v/>
      </c>
      <c r="AC395" s="16"/>
      <c r="AD395" s="20" t="str">
        <f>IF(ISERROR(VLOOKUP($AB395&amp;"-"&amp;$F395,Bonuses!$B$1:$G$1000,4,FALSE)),"",INT(VLOOKUP($AB395&amp;"-"&amp;$F395,Bonuses!$B$1:$G$1000,4,FALSE)))</f>
        <v/>
      </c>
      <c r="AE395" s="16" t="str">
        <f>IF(ISERROR(VLOOKUP($AB395&amp;"-"&amp;$F395,Bonuses!$B$1:$G$1000,5,FALSE)),"",IF(VLOOKUP($AB395&amp;"-"&amp;$F395,Bonuses!$B$1:$G$1000,5,FALSE)="","",VLOOKUP($AB395&amp;"-"&amp;$F395,Bonuses!$B$1:$G$1000,6,FALSE)&amp;" yrs, "&amp;VLOOKUP($AB395&amp;"-"&amp;$F395,Bonuses!$B$1:$G$1000,5,FALSE)))</f>
        <v/>
      </c>
    </row>
    <row r="396" spans="1:31" s="21" customFormat="1">
      <c r="A396" s="21" t="s">
        <v>666</v>
      </c>
      <c r="B396" s="21">
        <f t="shared" si="24"/>
        <v>1</v>
      </c>
      <c r="C396" s="21" t="str">
        <f t="shared" si="25"/>
        <v>P</v>
      </c>
      <c r="D396" s="17">
        <f>IF($C396="B",VLOOKUP($A396,Bat!$A$4:$BD$2323,D$1,FALSE),VLOOKUP($A396,Pit!$A$4:$AZ$2261,D$2,FALSE))</f>
        <v>7140</v>
      </c>
      <c r="E396" s="16" t="str">
        <f>IF($C396="B",VLOOKUP($A396,Bat!$A$4:$BD$2323,E$1,FALSE),VLOOKUP($A396,Pit!$A$4:$AZ$2261,E$2,FALSE))</f>
        <v>MR</v>
      </c>
      <c r="F396" s="16" t="str">
        <f>IF($C396="B",VLOOKUP($A396,Bat!$A$4:$BD$2323,F$1,FALSE),VLOOKUP($A396,Pit!$A$4:$AZ$2261,F$2,FALSE))</f>
        <v>Júlio Zamora</v>
      </c>
      <c r="G396" s="16">
        <f>IF($C396="B",VLOOKUP($A396,Bat!$A$4:$BD$2323,G$1,FALSE),VLOOKUP($A396,Pit!$A$4:$AZ$2261,G$2,FALSE))</f>
        <v>21</v>
      </c>
      <c r="H396" s="16" t="str">
        <f>IF($C396="B",VLOOKUP($A396,Bat!$A$4:$BD$2323,H$1,FALSE),VLOOKUP($A396,Pit!$A$4:$AZ$2261,H$2,FALSE))</f>
        <v>R</v>
      </c>
      <c r="I396" s="16" t="str">
        <f>IF($C396="B",VLOOKUP($A396,Bat!$A$4:$BD$2323,I$1,FALSE),VLOOKUP($A396,Pit!$A$4:$AZ$2261,I$2,FALSE))</f>
        <v>R</v>
      </c>
      <c r="J396" s="16" t="str">
        <f>IF($C396="B",VLOOKUP($A396,Bat!$A$4:$BD$2323,J$1,FALSE),VLOOKUP($A396,Pit!$A$4:$AZ$2261,J$2,FALSE))</f>
        <v>Low</v>
      </c>
      <c r="K396" s="17" t="str">
        <f>IF($C396="B",VLOOKUP($A396,Bat!$A$4:$BD$2323,K$1,FALSE),VLOOKUP($A396,Pit!$A$4:$AZ$2261,K$2,FALSE))</f>
        <v>Very High</v>
      </c>
      <c r="L396" s="16">
        <f>IF($C396="B",VLOOKUP($A396,Bat!$A$4:$BD$2323,L$1,FALSE),VLOOKUP($A396,Pit!$A$4:$AZ$2261,L$2,FALSE))</f>
        <v>6</v>
      </c>
      <c r="M396" s="16">
        <f>IF($C396="B",VLOOKUP($A396,Bat!$A$4:$BD$2323,M$1,FALSE),VLOOKUP($A396,Pit!$A$4:$AZ$2261,M$2,FALSE))</f>
        <v>3</v>
      </c>
      <c r="N396" s="16">
        <f>IF($C396="B",VLOOKUP($A396,Bat!$A$4:$BD$2323,N$1,FALSE),VLOOKUP($A396,Pit!$A$4:$AZ$2261,N$2,FALSE))</f>
        <v>4</v>
      </c>
      <c r="O396" s="16" t="str">
        <f>IF($C396="B",VLOOKUP($A396,Bat!$A$4:$BD$2323,O$1,FALSE),VLOOKUP($A396,Pit!$A$4:$AZ$2261,O$2,FALSE))</f>
        <v>89-90 Mph</v>
      </c>
      <c r="P396" s="17">
        <f>IF($C396="B",VLOOKUP($A396,Bat!$A$4:$BD$2323,P$1,FALSE),VLOOKUP($A396,Pit!$A$4:$AZ$2261,P$2,FALSE))</f>
        <v>10</v>
      </c>
      <c r="Q396" s="18">
        <f>IF($C396="B",VLOOKUP($A396,Bat!$A$4:$BD$2323,Q$1,FALSE),VLOOKUP($A396,Pit!$A$4:$AZ$2261,Q$2,FALSE))</f>
        <v>30.709000073650493</v>
      </c>
      <c r="R396" s="19">
        <f>IF($C396="B",VLOOKUP($A396,Bat!$A$4:$BD$2323,R$1,FALSE),VLOOKUP($A396,Pit!$A$4:$AZ$2261,R$2,FALSE))</f>
        <v>-0.25500777196944957</v>
      </c>
      <c r="S396" s="20" t="str">
        <f>IF($C396="B",VLOOKUP($A396,Bat!$A$4:$BD$2323,S$1,FALSE),VLOOKUP($A396,Pit!$A$4:$AZ$2261,S$2,FALSE))</f>
        <v>Slot</v>
      </c>
      <c r="T396" s="17" t="str">
        <f>IF(S396="Slot","",VLOOKUP(IF($C396="B",VLOOKUP($A396,Bat!$A$4:$AT$2323,T$1,FALSE),VLOOKUP($A396,Pit!$A$4:$BD$2261,T$2,FALSE)),COND!$A$34:$B$40,2,FALSE))</f>
        <v/>
      </c>
      <c r="U396" s="21">
        <f>IF($C396="B",VLOOKUP($A396,Bat!$A$4:$AR$1287,44,FALSE),VLOOKUP($A396,Pit!$A$4:$BB$1239,54,FALSE))</f>
        <v>0</v>
      </c>
      <c r="W396" s="21">
        <f t="shared" si="26"/>
        <v>0</v>
      </c>
      <c r="X396" s="22" t="e">
        <f t="shared" si="27"/>
        <v>#N/A</v>
      </c>
      <c r="Y396" s="16" t="str">
        <f>IF(ISERROR(VLOOKUP($E396&amp;$F396,Results!$A$2:$G$413,Y$1,FALSE)),"",VLOOKUP($E396&amp;$F396,Results!$A$2:$G$413,Y$1,FALSE))</f>
        <v/>
      </c>
      <c r="Z396" s="16" t="str">
        <f>IF(ISERROR(VLOOKUP($E396&amp;$F396,Results!$A$2:$G$413,Z$1,FALSE)),"",VLOOKUP($E396&amp;$F396,Results!$A$2:$G$413,Z$1,FALSE))</f>
        <v/>
      </c>
      <c r="AA396" s="16" t="str">
        <f>IF(ISERROR(VLOOKUP($E396&amp;$F396,Results!$A$2:$G$413,AA$1,FALSE)),"",VLOOKUP($E396&amp;$F396,Results!$A$2:$G$413,AA$1,FALSE))</f>
        <v/>
      </c>
      <c r="AB396" s="16" t="str">
        <f>IF(ISERROR(VLOOKUP($E396&amp;$F396,Results!$A$2:$G$413,AB$1,FALSE)),"",VLOOKUP($E396&amp;$F396,Results!$A$2:$G$413,AB$1,FALSE))</f>
        <v/>
      </c>
      <c r="AC396" s="16"/>
      <c r="AD396" s="20" t="str">
        <f>IF(ISERROR(VLOOKUP($AB396&amp;"-"&amp;$F396,Bonuses!$B$1:$G$1000,4,FALSE)),"",INT(VLOOKUP($AB396&amp;"-"&amp;$F396,Bonuses!$B$1:$G$1000,4,FALSE)))</f>
        <v/>
      </c>
      <c r="AE396" s="16" t="str">
        <f>IF(ISERROR(VLOOKUP($AB396&amp;"-"&amp;$F396,Bonuses!$B$1:$G$1000,5,FALSE)),"",IF(VLOOKUP($AB396&amp;"-"&amp;$F396,Bonuses!$B$1:$G$1000,5,FALSE)="","",VLOOKUP($AB396&amp;"-"&amp;$F396,Bonuses!$B$1:$G$1000,6,FALSE)&amp;" yrs, "&amp;VLOOKUP($AB396&amp;"-"&amp;$F396,Bonuses!$B$1:$G$1000,5,FALSE)))</f>
        <v/>
      </c>
    </row>
    <row r="397" spans="1:31" s="21" customFormat="1">
      <c r="A397" s="21" t="s">
        <v>580</v>
      </c>
      <c r="B397" s="21">
        <f t="shared" si="24"/>
        <v>1</v>
      </c>
      <c r="C397" s="21" t="str">
        <f t="shared" si="25"/>
        <v>P</v>
      </c>
      <c r="D397" s="17">
        <f>IF($C397="B",VLOOKUP($A397,Bat!$A$4:$BD$2323,D$1,FALSE),VLOOKUP($A397,Pit!$A$4:$AZ$2261,D$2,FALSE))</f>
        <v>1833</v>
      </c>
      <c r="E397" s="16" t="str">
        <f>IF($C397="B",VLOOKUP($A397,Bat!$A$4:$BD$2323,E$1,FALSE),VLOOKUP($A397,Pit!$A$4:$AZ$2261,E$2,FALSE))</f>
        <v>MR</v>
      </c>
      <c r="F397" s="16" t="str">
        <f>IF($C397="B",VLOOKUP($A397,Bat!$A$4:$BD$2323,F$1,FALSE),VLOOKUP($A397,Pit!$A$4:$AZ$2261,F$2,FALSE))</f>
        <v>José López</v>
      </c>
      <c r="G397" s="16">
        <f>IF($C397="B",VLOOKUP($A397,Bat!$A$4:$BD$2323,G$1,FALSE),VLOOKUP($A397,Pit!$A$4:$AZ$2261,G$2,FALSE))</f>
        <v>22</v>
      </c>
      <c r="H397" s="16" t="str">
        <f>IF($C397="B",VLOOKUP($A397,Bat!$A$4:$BD$2323,H$1,FALSE),VLOOKUP($A397,Pit!$A$4:$AZ$2261,H$2,FALSE))</f>
        <v>L</v>
      </c>
      <c r="I397" s="16" t="str">
        <f>IF($C397="B",VLOOKUP($A397,Bat!$A$4:$BD$2323,I$1,FALSE),VLOOKUP($A397,Pit!$A$4:$AZ$2261,I$2,FALSE))</f>
        <v>L</v>
      </c>
      <c r="J397" s="16" t="str">
        <f>IF($C397="B",VLOOKUP($A397,Bat!$A$4:$BD$2323,J$1,FALSE),VLOOKUP($A397,Pit!$A$4:$AZ$2261,J$2,FALSE))</f>
        <v>Low</v>
      </c>
      <c r="K397" s="17" t="str">
        <f>IF($C397="B",VLOOKUP($A397,Bat!$A$4:$BD$2323,K$1,FALSE),VLOOKUP($A397,Pit!$A$4:$AZ$2261,K$2,FALSE))</f>
        <v>Very Low</v>
      </c>
      <c r="L397" s="16">
        <f>IF($C397="B",VLOOKUP($A397,Bat!$A$4:$BD$2323,L$1,FALSE),VLOOKUP($A397,Pit!$A$4:$AZ$2261,L$2,FALSE))</f>
        <v>6</v>
      </c>
      <c r="M397" s="16">
        <f>IF($C397="B",VLOOKUP($A397,Bat!$A$4:$BD$2323,M$1,FALSE),VLOOKUP($A397,Pit!$A$4:$AZ$2261,M$2,FALSE))</f>
        <v>4</v>
      </c>
      <c r="N397" s="16">
        <f>IF($C397="B",VLOOKUP($A397,Bat!$A$4:$BD$2323,N$1,FALSE),VLOOKUP($A397,Pit!$A$4:$AZ$2261,N$2,FALSE))</f>
        <v>4</v>
      </c>
      <c r="O397" s="16" t="str">
        <f>IF($C397="B",VLOOKUP($A397,Bat!$A$4:$BD$2323,O$1,FALSE),VLOOKUP($A397,Pit!$A$4:$AZ$2261,O$2,FALSE))</f>
        <v>91-93 Mph</v>
      </c>
      <c r="P397" s="17">
        <f>IF($C397="B",VLOOKUP($A397,Bat!$A$4:$BD$2323,P$1,FALSE),VLOOKUP($A397,Pit!$A$4:$AZ$2261,P$2,FALSE))</f>
        <v>10</v>
      </c>
      <c r="Q397" s="18">
        <f>IF($C397="B",VLOOKUP($A397,Bat!$A$4:$BD$2323,Q$1,FALSE),VLOOKUP($A397,Pit!$A$4:$AZ$2261,Q$2,FALSE))</f>
        <v>28.856720745537611</v>
      </c>
      <c r="R397" s="19">
        <f>IF($C397="B",VLOOKUP($A397,Bat!$A$4:$BD$2323,R$1,FALSE),VLOOKUP($A397,Pit!$A$4:$AZ$2261,R$2,FALSE))</f>
        <v>-0.4020538196335447</v>
      </c>
      <c r="S397" s="20" t="str">
        <f>IF($C397="B",VLOOKUP($A397,Bat!$A$4:$BD$2323,S$1,FALSE),VLOOKUP($A397,Pit!$A$4:$AZ$2261,S$2,FALSE))</f>
        <v>Slot</v>
      </c>
      <c r="T397" s="17" t="str">
        <f>IF(S397="Slot","",VLOOKUP(IF($C397="B",VLOOKUP($A397,Bat!$A$4:$AT$2323,T$1,FALSE),VLOOKUP($A397,Pit!$A$4:$BD$2261,T$2,FALSE)),COND!$A$34:$B$40,2,FALSE))</f>
        <v/>
      </c>
      <c r="U397" s="21">
        <f>IF($C397="B",VLOOKUP($A397,Bat!$A$4:$AR$1287,44,FALSE),VLOOKUP($A397,Pit!$A$4:$BB$1239,54,FALSE))</f>
        <v>0</v>
      </c>
      <c r="W397" s="21">
        <f t="shared" si="26"/>
        <v>0</v>
      </c>
      <c r="X397" s="22" t="e">
        <f t="shared" si="27"/>
        <v>#N/A</v>
      </c>
      <c r="Y397" s="16" t="str">
        <f>IF(ISERROR(VLOOKUP($E397&amp;$F397,Results!$A$2:$G$413,Y$1,FALSE)),"",VLOOKUP($E397&amp;$F397,Results!$A$2:$G$413,Y$1,FALSE))</f>
        <v/>
      </c>
      <c r="Z397" s="16" t="str">
        <f>IF(ISERROR(VLOOKUP($E397&amp;$F397,Results!$A$2:$G$413,Z$1,FALSE)),"",VLOOKUP($E397&amp;$F397,Results!$A$2:$G$413,Z$1,FALSE))</f>
        <v/>
      </c>
      <c r="AA397" s="16" t="str">
        <f>IF(ISERROR(VLOOKUP($E397&amp;$F397,Results!$A$2:$G$413,AA$1,FALSE)),"",VLOOKUP($E397&amp;$F397,Results!$A$2:$G$413,AA$1,FALSE))</f>
        <v/>
      </c>
      <c r="AB397" s="16" t="str">
        <f>IF(ISERROR(VLOOKUP($E397&amp;$F397,Results!$A$2:$G$413,AB$1,FALSE)),"",VLOOKUP($E397&amp;$F397,Results!$A$2:$G$413,AB$1,FALSE))</f>
        <v/>
      </c>
      <c r="AC397" s="16"/>
      <c r="AD397" s="20" t="str">
        <f>IF(ISERROR(VLOOKUP($AB397&amp;"-"&amp;$F397,Bonuses!$B$1:$G$1000,4,FALSE)),"",INT(VLOOKUP($AB397&amp;"-"&amp;$F397,Bonuses!$B$1:$G$1000,4,FALSE)))</f>
        <v/>
      </c>
      <c r="AE397" s="16" t="str">
        <f>IF(ISERROR(VLOOKUP($AB397&amp;"-"&amp;$F397,Bonuses!$B$1:$G$1000,5,FALSE)),"",IF(VLOOKUP($AB397&amp;"-"&amp;$F397,Bonuses!$B$1:$G$1000,5,FALSE)="","",VLOOKUP($AB397&amp;"-"&amp;$F397,Bonuses!$B$1:$G$1000,6,FALSE)&amp;" yrs, "&amp;VLOOKUP($AB397&amp;"-"&amp;$F397,Bonuses!$B$1:$G$1000,5,FALSE)))</f>
        <v/>
      </c>
    </row>
    <row r="398" spans="1:31" s="21" customFormat="1">
      <c r="A398" s="21" t="s">
        <v>94</v>
      </c>
      <c r="B398" s="21">
        <f t="shared" si="24"/>
        <v>1</v>
      </c>
      <c r="C398" s="21" t="str">
        <f t="shared" si="25"/>
        <v>P</v>
      </c>
      <c r="D398" s="17">
        <f>IF($C398="B",VLOOKUP($A398,Bat!$A$4:$BD$2323,D$1,FALSE),VLOOKUP($A398,Pit!$A$4:$AZ$2261,D$2,FALSE))</f>
        <v>13761</v>
      </c>
      <c r="E398" s="16" t="str">
        <f>IF($C398="B",VLOOKUP($A398,Bat!$A$4:$BD$2323,E$1,FALSE),VLOOKUP($A398,Pit!$A$4:$AZ$2261,E$2,FALSE))</f>
        <v>SP</v>
      </c>
      <c r="F398" s="16" t="str">
        <f>IF($C398="B",VLOOKUP($A398,Bat!$A$4:$BD$2323,F$1,FALSE),VLOOKUP($A398,Pit!$A$4:$AZ$2261,F$2,FALSE))</f>
        <v>Willis Warren</v>
      </c>
      <c r="G398" s="16">
        <f>IF($C398="B",VLOOKUP($A398,Bat!$A$4:$BD$2323,G$1,FALSE),VLOOKUP($A398,Pit!$A$4:$AZ$2261,G$2,FALSE))</f>
        <v>18</v>
      </c>
      <c r="H398" s="16" t="str">
        <f>IF($C398="B",VLOOKUP($A398,Bat!$A$4:$BD$2323,H$1,FALSE),VLOOKUP($A398,Pit!$A$4:$AZ$2261,H$2,FALSE))</f>
        <v>R</v>
      </c>
      <c r="I398" s="16" t="str">
        <f>IF($C398="B",VLOOKUP($A398,Bat!$A$4:$BD$2323,I$1,FALSE),VLOOKUP($A398,Pit!$A$4:$AZ$2261,I$2,FALSE))</f>
        <v>R</v>
      </c>
      <c r="J398" s="16" t="str">
        <f>IF($C398="B",VLOOKUP($A398,Bat!$A$4:$BD$2323,J$1,FALSE),VLOOKUP($A398,Pit!$A$4:$AZ$2261,J$2,FALSE))</f>
        <v>High</v>
      </c>
      <c r="K398" s="17" t="str">
        <f>IF($C398="B",VLOOKUP($A398,Bat!$A$4:$BD$2323,K$1,FALSE),VLOOKUP($A398,Pit!$A$4:$AZ$2261,K$2,FALSE))</f>
        <v>Normal</v>
      </c>
      <c r="L398" s="16">
        <f>IF($C398="B",VLOOKUP($A398,Bat!$A$4:$BD$2323,L$1,FALSE),VLOOKUP($A398,Pit!$A$4:$AZ$2261,L$2,FALSE))</f>
        <v>5</v>
      </c>
      <c r="M398" s="16">
        <f>IF($C398="B",VLOOKUP($A398,Bat!$A$4:$BD$2323,M$1,FALSE),VLOOKUP($A398,Pit!$A$4:$AZ$2261,M$2,FALSE))</f>
        <v>4</v>
      </c>
      <c r="N398" s="16">
        <f>IF($C398="B",VLOOKUP($A398,Bat!$A$4:$BD$2323,N$1,FALSE),VLOOKUP($A398,Pit!$A$4:$AZ$2261,N$2,FALSE))</f>
        <v>4</v>
      </c>
      <c r="O398" s="16" t="str">
        <f>IF($C398="B",VLOOKUP($A398,Bat!$A$4:$BD$2323,O$1,FALSE),VLOOKUP($A398,Pit!$A$4:$AZ$2261,O$2,FALSE))</f>
        <v>89-90 Mph</v>
      </c>
      <c r="P398" s="17">
        <f>IF($C398="B",VLOOKUP($A398,Bat!$A$4:$BD$2323,P$1,FALSE),VLOOKUP($A398,Pit!$A$4:$AZ$2261,P$2,FALSE))</f>
        <v>6</v>
      </c>
      <c r="Q398" s="18">
        <f>IF($C398="B",VLOOKUP($A398,Bat!$A$4:$BD$2323,Q$1,FALSE),VLOOKUP($A398,Pit!$A$4:$AZ$2261,Q$2,FALSE))</f>
        <v>31.250014772031157</v>
      </c>
      <c r="R398" s="19">
        <f>IF($C398="B",VLOOKUP($A398,Bat!$A$4:$BD$2323,R$1,FALSE),VLOOKUP($A398,Pit!$A$4:$AZ$2261,R$2,FALSE))</f>
        <v>-0.21205848677383624</v>
      </c>
      <c r="S398" s="20" t="str">
        <f>IF($C398="B",VLOOKUP($A398,Bat!$A$4:$BD$2323,S$1,FALSE),VLOOKUP($A398,Pit!$A$4:$AZ$2261,S$2,FALSE))</f>
        <v>Slot</v>
      </c>
      <c r="T398" s="17" t="str">
        <f>IF(S398="Slot","",VLOOKUP(IF($C398="B",VLOOKUP($A398,Bat!$A$4:$AT$2323,T$1,FALSE),VLOOKUP($A398,Pit!$A$4:$BD$2261,T$2,FALSE)),COND!$A$34:$B$40,2,FALSE))</f>
        <v/>
      </c>
      <c r="U398" s="21">
        <f>IF($C398="B",VLOOKUP($A398,Bat!$A$4:$AR$1287,44,FALSE),VLOOKUP($A398,Pit!$A$4:$BB$1239,54,FALSE))</f>
        <v>0</v>
      </c>
      <c r="W398" s="21">
        <f t="shared" si="26"/>
        <v>0</v>
      </c>
      <c r="X398" s="22" t="e">
        <f t="shared" si="27"/>
        <v>#N/A</v>
      </c>
      <c r="Y398" s="16" t="str">
        <f>IF(ISERROR(VLOOKUP($E398&amp;$F398,Results!$A$2:$G$413,Y$1,FALSE)),"",VLOOKUP($E398&amp;$F398,Results!$A$2:$G$413,Y$1,FALSE))</f>
        <v/>
      </c>
      <c r="Z398" s="16" t="str">
        <f>IF(ISERROR(VLOOKUP($E398&amp;$F398,Results!$A$2:$G$413,Z$1,FALSE)),"",VLOOKUP($E398&amp;$F398,Results!$A$2:$G$413,Z$1,FALSE))</f>
        <v/>
      </c>
      <c r="AA398" s="16" t="str">
        <f>IF(ISERROR(VLOOKUP($E398&amp;$F398,Results!$A$2:$G$413,AA$1,FALSE)),"",VLOOKUP($E398&amp;$F398,Results!$A$2:$G$413,AA$1,FALSE))</f>
        <v/>
      </c>
      <c r="AB398" s="16" t="str">
        <f>IF(ISERROR(VLOOKUP($E398&amp;$F398,Results!$A$2:$G$413,AB$1,FALSE)),"",VLOOKUP($E398&amp;$F398,Results!$A$2:$G$413,AB$1,FALSE))</f>
        <v/>
      </c>
      <c r="AC398" s="16"/>
      <c r="AD398" s="20" t="str">
        <f>IF(ISERROR(VLOOKUP($AB398&amp;"-"&amp;$F398,Bonuses!$B$1:$G$1000,4,FALSE)),"",INT(VLOOKUP($AB398&amp;"-"&amp;$F398,Bonuses!$B$1:$G$1000,4,FALSE)))</f>
        <v/>
      </c>
      <c r="AE398" s="16" t="str">
        <f>IF(ISERROR(VLOOKUP($AB398&amp;"-"&amp;$F398,Bonuses!$B$1:$G$1000,5,FALSE)),"",IF(VLOOKUP($AB398&amp;"-"&amp;$F398,Bonuses!$B$1:$G$1000,5,FALSE)="","",VLOOKUP($AB398&amp;"-"&amp;$F398,Bonuses!$B$1:$G$1000,6,FALSE)&amp;" yrs, "&amp;VLOOKUP($AB398&amp;"-"&amp;$F398,Bonuses!$B$1:$G$1000,5,FALSE)))</f>
        <v/>
      </c>
    </row>
    <row r="399" spans="1:31" s="21" customFormat="1">
      <c r="A399" s="21" t="s">
        <v>691</v>
      </c>
      <c r="B399" s="21">
        <f t="shared" si="24"/>
        <v>1</v>
      </c>
      <c r="C399" s="21" t="str">
        <f t="shared" si="25"/>
        <v>P</v>
      </c>
      <c r="D399" s="17">
        <f>IF($C399="B",VLOOKUP($A399,Bat!$A$4:$BD$2323,D$1,FALSE),VLOOKUP($A399,Pit!$A$4:$AZ$2261,D$2,FALSE))</f>
        <v>2169</v>
      </c>
      <c r="E399" s="16" t="str">
        <f>IF($C399="B",VLOOKUP($A399,Bat!$A$4:$BD$2323,E$1,FALSE),VLOOKUP($A399,Pit!$A$4:$AZ$2261,E$2,FALSE))</f>
        <v>SP</v>
      </c>
      <c r="F399" s="16" t="str">
        <f>IF($C399="B",VLOOKUP($A399,Bat!$A$4:$BD$2323,F$1,FALSE),VLOOKUP($A399,Pit!$A$4:$AZ$2261,F$2,FALSE))</f>
        <v>Vincente Murillo</v>
      </c>
      <c r="G399" s="16">
        <f>IF($C399="B",VLOOKUP($A399,Bat!$A$4:$BD$2323,G$1,FALSE),VLOOKUP($A399,Pit!$A$4:$AZ$2261,G$2,FALSE))</f>
        <v>21</v>
      </c>
      <c r="H399" s="16" t="str">
        <f>IF($C399="B",VLOOKUP($A399,Bat!$A$4:$BD$2323,H$1,FALSE),VLOOKUP($A399,Pit!$A$4:$AZ$2261,H$2,FALSE))</f>
        <v>R</v>
      </c>
      <c r="I399" s="16" t="str">
        <f>IF($C399="B",VLOOKUP($A399,Bat!$A$4:$BD$2323,I$1,FALSE),VLOOKUP($A399,Pit!$A$4:$AZ$2261,I$2,FALSE))</f>
        <v>R</v>
      </c>
      <c r="J399" s="16" t="str">
        <f>IF($C399="B",VLOOKUP($A399,Bat!$A$4:$BD$2323,J$1,FALSE),VLOOKUP($A399,Pit!$A$4:$AZ$2261,J$2,FALSE))</f>
        <v>Very High</v>
      </c>
      <c r="K399" s="17" t="str">
        <f>IF($C399="B",VLOOKUP($A399,Bat!$A$4:$BD$2323,K$1,FALSE),VLOOKUP($A399,Pit!$A$4:$AZ$2261,K$2,FALSE))</f>
        <v>Normal</v>
      </c>
      <c r="L399" s="16">
        <f>IF($C399="B",VLOOKUP($A399,Bat!$A$4:$BD$2323,L$1,FALSE),VLOOKUP($A399,Pit!$A$4:$AZ$2261,L$2,FALSE))</f>
        <v>4</v>
      </c>
      <c r="M399" s="16">
        <f>IF($C399="B",VLOOKUP($A399,Bat!$A$4:$BD$2323,M$1,FALSE),VLOOKUP($A399,Pit!$A$4:$AZ$2261,M$2,FALSE))</f>
        <v>5</v>
      </c>
      <c r="N399" s="16">
        <f>IF($C399="B",VLOOKUP($A399,Bat!$A$4:$BD$2323,N$1,FALSE),VLOOKUP($A399,Pit!$A$4:$AZ$2261,N$2,FALSE))</f>
        <v>4</v>
      </c>
      <c r="O399" s="16" t="str">
        <f>IF($C399="B",VLOOKUP($A399,Bat!$A$4:$BD$2323,O$1,FALSE),VLOOKUP($A399,Pit!$A$4:$AZ$2261,O$2,FALSE))</f>
        <v>91-93 Mph</v>
      </c>
      <c r="P399" s="17">
        <f>IF($C399="B",VLOOKUP($A399,Bat!$A$4:$BD$2323,P$1,FALSE),VLOOKUP($A399,Pit!$A$4:$AZ$2261,P$2,FALSE))</f>
        <v>6</v>
      </c>
      <c r="Q399" s="18">
        <f>IF($C399="B",VLOOKUP($A399,Bat!$A$4:$BD$2323,Q$1,FALSE),VLOOKUP($A399,Pit!$A$4:$AZ$2261,Q$2,FALSE))</f>
        <v>31.078259541427485</v>
      </c>
      <c r="R399" s="19">
        <f>IF($C399="B",VLOOKUP($A399,Bat!$A$4:$BD$2323,R$1,FALSE),VLOOKUP($A399,Pit!$A$4:$AZ$2261,R$2,FALSE))</f>
        <v>-0.22569354032250172</v>
      </c>
      <c r="S399" s="20" t="str">
        <f>IF($C399="B",VLOOKUP($A399,Bat!$A$4:$BD$2323,S$1,FALSE),VLOOKUP($A399,Pit!$A$4:$AZ$2261,S$2,FALSE))</f>
        <v>Slot</v>
      </c>
      <c r="T399" s="17" t="str">
        <f>IF(S399="Slot","",VLOOKUP(IF($C399="B",VLOOKUP($A399,Bat!$A$4:$AT$2323,T$1,FALSE),VLOOKUP($A399,Pit!$A$4:$BD$2261,T$2,FALSE)),COND!$A$34:$B$40,2,FALSE))</f>
        <v/>
      </c>
      <c r="U399" s="21">
        <f>IF($C399="B",VLOOKUP($A399,Bat!$A$4:$AR$1287,44,FALSE),VLOOKUP($A399,Pit!$A$4:$BB$1239,54,FALSE))</f>
        <v>0</v>
      </c>
      <c r="W399" s="21">
        <f t="shared" si="26"/>
        <v>0</v>
      </c>
      <c r="X399" s="22" t="e">
        <f t="shared" si="27"/>
        <v>#N/A</v>
      </c>
      <c r="Y399" s="16" t="str">
        <f>IF(ISERROR(VLOOKUP($E399&amp;$F399,Results!$A$2:$G$413,Y$1,FALSE)),"",VLOOKUP($E399&amp;$F399,Results!$A$2:$G$413,Y$1,FALSE))</f>
        <v/>
      </c>
      <c r="Z399" s="16" t="str">
        <f>IF(ISERROR(VLOOKUP($E399&amp;$F399,Results!$A$2:$G$413,Z$1,FALSE)),"",VLOOKUP($E399&amp;$F399,Results!$A$2:$G$413,Z$1,FALSE))</f>
        <v/>
      </c>
      <c r="AA399" s="16" t="str">
        <f>IF(ISERROR(VLOOKUP($E399&amp;$F399,Results!$A$2:$G$413,AA$1,FALSE)),"",VLOOKUP($E399&amp;$F399,Results!$A$2:$G$413,AA$1,FALSE))</f>
        <v/>
      </c>
      <c r="AB399" s="16" t="str">
        <f>IF(ISERROR(VLOOKUP($E399&amp;$F399,Results!$A$2:$G$413,AB$1,FALSE)),"",VLOOKUP($E399&amp;$F399,Results!$A$2:$G$413,AB$1,FALSE))</f>
        <v/>
      </c>
      <c r="AC399" s="16"/>
      <c r="AD399" s="20" t="str">
        <f>IF(ISERROR(VLOOKUP($AB399&amp;"-"&amp;$F399,Bonuses!$B$1:$G$1000,4,FALSE)),"",INT(VLOOKUP($AB399&amp;"-"&amp;$F399,Bonuses!$B$1:$G$1000,4,FALSE)))</f>
        <v/>
      </c>
      <c r="AE399" s="16" t="str">
        <f>IF(ISERROR(VLOOKUP($AB399&amp;"-"&amp;$F399,Bonuses!$B$1:$G$1000,5,FALSE)),"",IF(VLOOKUP($AB399&amp;"-"&amp;$F399,Bonuses!$B$1:$G$1000,5,FALSE)="","",VLOOKUP($AB399&amp;"-"&amp;$F399,Bonuses!$B$1:$G$1000,6,FALSE)&amp;" yrs, "&amp;VLOOKUP($AB399&amp;"-"&amp;$F399,Bonuses!$B$1:$G$1000,5,FALSE)))</f>
        <v/>
      </c>
    </row>
    <row r="400" spans="1:31" s="21" customFormat="1">
      <c r="A400" s="21" t="s">
        <v>693</v>
      </c>
      <c r="B400" s="21">
        <f t="shared" si="24"/>
        <v>1</v>
      </c>
      <c r="C400" s="21" t="str">
        <f t="shared" si="25"/>
        <v>P</v>
      </c>
      <c r="D400" s="17">
        <f>IF($C400="B",VLOOKUP($A400,Bat!$A$4:$BD$2323,D$1,FALSE),VLOOKUP($A400,Pit!$A$4:$AZ$2261,D$2,FALSE))</f>
        <v>1957</v>
      </c>
      <c r="E400" s="16" t="str">
        <f>IF($C400="B",VLOOKUP($A400,Bat!$A$4:$BD$2323,E$1,FALSE),VLOOKUP($A400,Pit!$A$4:$AZ$2261,E$2,FALSE))</f>
        <v>MR</v>
      </c>
      <c r="F400" s="16" t="str">
        <f>IF($C400="B",VLOOKUP($A400,Bat!$A$4:$BD$2323,F$1,FALSE),VLOOKUP($A400,Pit!$A$4:$AZ$2261,F$2,FALSE))</f>
        <v>Filip de Gast</v>
      </c>
      <c r="G400" s="16">
        <f>IF($C400="B",VLOOKUP($A400,Bat!$A$4:$BD$2323,G$1,FALSE),VLOOKUP($A400,Pit!$A$4:$AZ$2261,G$2,FALSE))</f>
        <v>21</v>
      </c>
      <c r="H400" s="16" t="str">
        <f>IF($C400="B",VLOOKUP($A400,Bat!$A$4:$BD$2323,H$1,FALSE),VLOOKUP($A400,Pit!$A$4:$AZ$2261,H$2,FALSE))</f>
        <v>S</v>
      </c>
      <c r="I400" s="16" t="str">
        <f>IF($C400="B",VLOOKUP($A400,Bat!$A$4:$BD$2323,I$1,FALSE),VLOOKUP($A400,Pit!$A$4:$AZ$2261,I$2,FALSE))</f>
        <v>R</v>
      </c>
      <c r="J400" s="16" t="str">
        <f>IF($C400="B",VLOOKUP($A400,Bat!$A$4:$BD$2323,J$1,FALSE),VLOOKUP($A400,Pit!$A$4:$AZ$2261,J$2,FALSE))</f>
        <v>Normal</v>
      </c>
      <c r="K400" s="17" t="str">
        <f>IF($C400="B",VLOOKUP($A400,Bat!$A$4:$BD$2323,K$1,FALSE),VLOOKUP($A400,Pit!$A$4:$AZ$2261,K$2,FALSE))</f>
        <v>Normal</v>
      </c>
      <c r="L400" s="16">
        <f>IF($C400="B",VLOOKUP($A400,Bat!$A$4:$BD$2323,L$1,FALSE),VLOOKUP($A400,Pit!$A$4:$AZ$2261,L$2,FALSE))</f>
        <v>5</v>
      </c>
      <c r="M400" s="16">
        <f>IF($C400="B",VLOOKUP($A400,Bat!$A$4:$BD$2323,M$1,FALSE),VLOOKUP($A400,Pit!$A$4:$AZ$2261,M$2,FALSE))</f>
        <v>4</v>
      </c>
      <c r="N400" s="16">
        <f>IF($C400="B",VLOOKUP($A400,Bat!$A$4:$BD$2323,N$1,FALSE),VLOOKUP($A400,Pit!$A$4:$AZ$2261,N$2,FALSE))</f>
        <v>4</v>
      </c>
      <c r="O400" s="16" t="str">
        <f>IF($C400="B",VLOOKUP($A400,Bat!$A$4:$BD$2323,O$1,FALSE),VLOOKUP($A400,Pit!$A$4:$AZ$2261,O$2,FALSE))</f>
        <v>92-94 Mph</v>
      </c>
      <c r="P400" s="17">
        <f>IF($C400="B",VLOOKUP($A400,Bat!$A$4:$BD$2323,P$1,FALSE),VLOOKUP($A400,Pit!$A$4:$AZ$2261,P$2,FALSE))</f>
        <v>5</v>
      </c>
      <c r="Q400" s="18">
        <f>IF($C400="B",VLOOKUP($A400,Bat!$A$4:$BD$2323,Q$1,FALSE),VLOOKUP($A400,Pit!$A$4:$AZ$2261,Q$2,FALSE))</f>
        <v>30.623196898970285</v>
      </c>
      <c r="R400" s="19">
        <f>IF($C400="B",VLOOKUP($A400,Bat!$A$4:$BD$2323,R$1,FALSE),VLOOKUP($A400,Pit!$A$4:$AZ$2261,R$2,FALSE))</f>
        <v>-0.26181938916036801</v>
      </c>
      <c r="S400" s="20" t="str">
        <f>IF($C400="B",VLOOKUP($A400,Bat!$A$4:$BD$2323,S$1,FALSE),VLOOKUP($A400,Pit!$A$4:$AZ$2261,S$2,FALSE))</f>
        <v>Slot</v>
      </c>
      <c r="T400" s="17" t="str">
        <f>IF(S400="Slot","",VLOOKUP(IF($C400="B",VLOOKUP($A400,Bat!$A$4:$AT$2323,T$1,FALSE),VLOOKUP($A400,Pit!$A$4:$BD$2261,T$2,FALSE)),COND!$A$34:$B$40,2,FALSE))</f>
        <v/>
      </c>
      <c r="U400" s="21">
        <f>IF($C400="B",VLOOKUP($A400,Bat!$A$4:$AR$1287,44,FALSE),VLOOKUP($A400,Pit!$A$4:$BB$1239,54,FALSE))</f>
        <v>0</v>
      </c>
      <c r="W400" s="21">
        <f t="shared" si="26"/>
        <v>0</v>
      </c>
      <c r="X400" s="22" t="e">
        <f t="shared" si="27"/>
        <v>#N/A</v>
      </c>
      <c r="Y400" s="16" t="str">
        <f>IF(ISERROR(VLOOKUP($E400&amp;$F400,Results!$A$2:$G$413,Y$1,FALSE)),"",VLOOKUP($E400&amp;$F400,Results!$A$2:$G$413,Y$1,FALSE))</f>
        <v/>
      </c>
      <c r="Z400" s="16" t="str">
        <f>IF(ISERROR(VLOOKUP($E400&amp;$F400,Results!$A$2:$G$413,Z$1,FALSE)),"",VLOOKUP($E400&amp;$F400,Results!$A$2:$G$413,Z$1,FALSE))</f>
        <v/>
      </c>
      <c r="AA400" s="16" t="str">
        <f>IF(ISERROR(VLOOKUP($E400&amp;$F400,Results!$A$2:$G$413,AA$1,FALSE)),"",VLOOKUP($E400&amp;$F400,Results!$A$2:$G$413,AA$1,FALSE))</f>
        <v/>
      </c>
      <c r="AB400" s="16" t="str">
        <f>IF(ISERROR(VLOOKUP($E400&amp;$F400,Results!$A$2:$G$413,AB$1,FALSE)),"",VLOOKUP($E400&amp;$F400,Results!$A$2:$G$413,AB$1,FALSE))</f>
        <v/>
      </c>
      <c r="AC400" s="16"/>
      <c r="AD400" s="20" t="str">
        <f>IF(ISERROR(VLOOKUP($AB400&amp;"-"&amp;$F400,Bonuses!$B$1:$G$1000,4,FALSE)),"",INT(VLOOKUP($AB400&amp;"-"&amp;$F400,Bonuses!$B$1:$G$1000,4,FALSE)))</f>
        <v/>
      </c>
      <c r="AE400" s="16" t="str">
        <f>IF(ISERROR(VLOOKUP($AB400&amp;"-"&amp;$F400,Bonuses!$B$1:$G$1000,5,FALSE)),"",IF(VLOOKUP($AB400&amp;"-"&amp;$F400,Bonuses!$B$1:$G$1000,5,FALSE)="","",VLOOKUP($AB400&amp;"-"&amp;$F400,Bonuses!$B$1:$G$1000,6,FALSE)&amp;" yrs, "&amp;VLOOKUP($AB400&amp;"-"&amp;$F400,Bonuses!$B$1:$G$1000,5,FALSE)))</f>
        <v/>
      </c>
    </row>
    <row r="401" spans="1:31" s="21" customFormat="1">
      <c r="A401" s="21" t="s">
        <v>711</v>
      </c>
      <c r="B401" s="21">
        <f t="shared" si="24"/>
        <v>1</v>
      </c>
      <c r="C401" s="21" t="str">
        <f t="shared" si="25"/>
        <v>P</v>
      </c>
      <c r="D401" s="17">
        <f>IF($C401="B",VLOOKUP($A401,Bat!$A$4:$BD$2323,D$1,FALSE),VLOOKUP($A401,Pit!$A$4:$AZ$2261,D$2,FALSE))</f>
        <v>1493</v>
      </c>
      <c r="E401" s="16" t="str">
        <f>IF($C401="B",VLOOKUP($A401,Bat!$A$4:$BD$2323,E$1,FALSE),VLOOKUP($A401,Pit!$A$4:$AZ$2261,E$2,FALSE))</f>
        <v>MR</v>
      </c>
      <c r="F401" s="16" t="str">
        <f>IF($C401="B",VLOOKUP($A401,Bat!$A$4:$BD$2323,F$1,FALSE),VLOOKUP($A401,Pit!$A$4:$AZ$2261,F$2,FALSE))</f>
        <v>Kokaji Muriithi</v>
      </c>
      <c r="G401" s="16">
        <f>IF($C401="B",VLOOKUP($A401,Bat!$A$4:$BD$2323,G$1,FALSE),VLOOKUP($A401,Pit!$A$4:$AZ$2261,G$2,FALSE))</f>
        <v>18</v>
      </c>
      <c r="H401" s="16" t="str">
        <f>IF($C401="B",VLOOKUP($A401,Bat!$A$4:$BD$2323,H$1,FALSE),VLOOKUP($A401,Pit!$A$4:$AZ$2261,H$2,FALSE))</f>
        <v>R</v>
      </c>
      <c r="I401" s="16" t="str">
        <f>IF($C401="B",VLOOKUP($A401,Bat!$A$4:$BD$2323,I$1,FALSE),VLOOKUP($A401,Pit!$A$4:$AZ$2261,I$2,FALSE))</f>
        <v>R</v>
      </c>
      <c r="J401" s="16" t="str">
        <f>IF($C401="B",VLOOKUP($A401,Bat!$A$4:$BD$2323,J$1,FALSE),VLOOKUP($A401,Pit!$A$4:$AZ$2261,J$2,FALSE))</f>
        <v>Normal</v>
      </c>
      <c r="K401" s="17" t="str">
        <f>IF($C401="B",VLOOKUP($A401,Bat!$A$4:$BD$2323,K$1,FALSE),VLOOKUP($A401,Pit!$A$4:$AZ$2261,K$2,FALSE))</f>
        <v>Low</v>
      </c>
      <c r="L401" s="16">
        <f>IF($C401="B",VLOOKUP($A401,Bat!$A$4:$BD$2323,L$1,FALSE),VLOOKUP($A401,Pit!$A$4:$AZ$2261,L$2,FALSE))</f>
        <v>4</v>
      </c>
      <c r="M401" s="16">
        <f>IF($C401="B",VLOOKUP($A401,Bat!$A$4:$BD$2323,M$1,FALSE),VLOOKUP($A401,Pit!$A$4:$AZ$2261,M$2,FALSE))</f>
        <v>4</v>
      </c>
      <c r="N401" s="16">
        <f>IF($C401="B",VLOOKUP($A401,Bat!$A$4:$BD$2323,N$1,FALSE),VLOOKUP($A401,Pit!$A$4:$AZ$2261,N$2,FALSE))</f>
        <v>5</v>
      </c>
      <c r="O401" s="16" t="str">
        <f>IF($C401="B",VLOOKUP($A401,Bat!$A$4:$BD$2323,O$1,FALSE),VLOOKUP($A401,Pit!$A$4:$AZ$2261,O$2,FALSE))</f>
        <v>90-92 Mph</v>
      </c>
      <c r="P401" s="17">
        <f>IF($C401="B",VLOOKUP($A401,Bat!$A$4:$BD$2323,P$1,FALSE),VLOOKUP($A401,Pit!$A$4:$AZ$2261,P$2,FALSE))</f>
        <v>5</v>
      </c>
      <c r="Q401" s="18">
        <f>IF($C401="B",VLOOKUP($A401,Bat!$A$4:$BD$2323,Q$1,FALSE),VLOOKUP($A401,Pit!$A$4:$AZ$2261,Q$2,FALSE))</f>
        <v>30.107374790436715</v>
      </c>
      <c r="R401" s="19">
        <f>IF($C401="B",VLOOKUP($A401,Bat!$A$4:$BD$2323,R$1,FALSE),VLOOKUP($A401,Pit!$A$4:$AZ$2261,R$2,FALSE))</f>
        <v>-0.30276872180497383</v>
      </c>
      <c r="S401" s="20">
        <f>IF($C401="B",VLOOKUP($A401,Bat!$A$4:$BD$2323,S$1,FALSE),VLOOKUP($A401,Pit!$A$4:$AZ$2261,S$2,FALSE))</f>
        <v>2000000</v>
      </c>
      <c r="T401" s="17" t="str">
        <f>IF(S401="Slot","",VLOOKUP(IF($C401="B",VLOOKUP($A401,Bat!$A$4:$AT$2323,T$1,FALSE),VLOOKUP($A401,Pit!$A$4:$BD$2261,T$2,FALSE)),COND!$A$34:$B$40,2,FALSE))</f>
        <v>EH</v>
      </c>
      <c r="U401" s="21">
        <f>IF($C401="B",VLOOKUP($A401,Bat!$A$4:$AR$1287,44,FALSE),VLOOKUP($A401,Pit!$A$4:$BB$1239,54,FALSE))</f>
        <v>0</v>
      </c>
      <c r="W401" s="21">
        <f t="shared" si="26"/>
        <v>0</v>
      </c>
      <c r="X401" s="22" t="e">
        <f t="shared" si="27"/>
        <v>#N/A</v>
      </c>
      <c r="Y401" s="16" t="str">
        <f>IF(ISERROR(VLOOKUP($E401&amp;$F401,Results!$A$2:$G$413,Y$1,FALSE)),"",VLOOKUP($E401&amp;$F401,Results!$A$2:$G$413,Y$1,FALSE))</f>
        <v/>
      </c>
      <c r="Z401" s="16" t="str">
        <f>IF(ISERROR(VLOOKUP($E401&amp;$F401,Results!$A$2:$G$413,Z$1,FALSE)),"",VLOOKUP($E401&amp;$F401,Results!$A$2:$G$413,Z$1,FALSE))</f>
        <v/>
      </c>
      <c r="AA401" s="16" t="str">
        <f>IF(ISERROR(VLOOKUP($E401&amp;$F401,Results!$A$2:$G$413,AA$1,FALSE)),"",VLOOKUP($E401&amp;$F401,Results!$A$2:$G$413,AA$1,FALSE))</f>
        <v/>
      </c>
      <c r="AB401" s="16" t="str">
        <f>IF(ISERROR(VLOOKUP($E401&amp;$F401,Results!$A$2:$G$413,AB$1,FALSE)),"",VLOOKUP($E401&amp;$F401,Results!$A$2:$G$413,AB$1,FALSE))</f>
        <v/>
      </c>
      <c r="AC401" s="16"/>
      <c r="AD401" s="20" t="str">
        <f>IF(ISERROR(VLOOKUP($AB401&amp;"-"&amp;$F401,Bonuses!$B$1:$G$1000,4,FALSE)),"",INT(VLOOKUP($AB401&amp;"-"&amp;$F401,Bonuses!$B$1:$G$1000,4,FALSE)))</f>
        <v/>
      </c>
      <c r="AE401" s="16" t="str">
        <f>IF(ISERROR(VLOOKUP($AB401&amp;"-"&amp;$F401,Bonuses!$B$1:$G$1000,5,FALSE)),"",IF(VLOOKUP($AB401&amp;"-"&amp;$F401,Bonuses!$B$1:$G$1000,5,FALSE)="","",VLOOKUP($AB401&amp;"-"&amp;$F401,Bonuses!$B$1:$G$1000,6,FALSE)&amp;" yrs, "&amp;VLOOKUP($AB401&amp;"-"&amp;$F401,Bonuses!$B$1:$G$1000,5,FALSE)))</f>
        <v/>
      </c>
    </row>
    <row r="402" spans="1:31" s="21" customFormat="1">
      <c r="A402" s="21" t="s">
        <v>667</v>
      </c>
      <c r="B402" s="21">
        <f t="shared" si="24"/>
        <v>1</v>
      </c>
      <c r="C402" s="21" t="str">
        <f t="shared" si="25"/>
        <v>P</v>
      </c>
      <c r="D402" s="17">
        <f>IF($C402="B",VLOOKUP($A402,Bat!$A$4:$BD$2323,D$1,FALSE),VLOOKUP($A402,Pit!$A$4:$AZ$2261,D$2,FALSE))</f>
        <v>7170</v>
      </c>
      <c r="E402" s="16" t="str">
        <f>IF($C402="B",VLOOKUP($A402,Bat!$A$4:$BD$2323,E$1,FALSE),VLOOKUP($A402,Pit!$A$4:$AZ$2261,E$2,FALSE))</f>
        <v>MR</v>
      </c>
      <c r="F402" s="16" t="str">
        <f>IF($C402="B",VLOOKUP($A402,Bat!$A$4:$BD$2323,F$1,FALSE),VLOOKUP($A402,Pit!$A$4:$AZ$2261,F$2,FALSE))</f>
        <v>Kenneth Colón</v>
      </c>
      <c r="G402" s="16">
        <f>IF($C402="B",VLOOKUP($A402,Bat!$A$4:$BD$2323,G$1,FALSE),VLOOKUP($A402,Pit!$A$4:$AZ$2261,G$2,FALSE))</f>
        <v>21</v>
      </c>
      <c r="H402" s="16" t="str">
        <f>IF($C402="B",VLOOKUP($A402,Bat!$A$4:$BD$2323,H$1,FALSE),VLOOKUP($A402,Pit!$A$4:$AZ$2261,H$2,FALSE))</f>
        <v>R</v>
      </c>
      <c r="I402" s="16" t="str">
        <f>IF($C402="B",VLOOKUP($A402,Bat!$A$4:$BD$2323,I$1,FALSE),VLOOKUP($A402,Pit!$A$4:$AZ$2261,I$2,FALSE))</f>
        <v>R</v>
      </c>
      <c r="J402" s="16" t="str">
        <f>IF($C402="B",VLOOKUP($A402,Bat!$A$4:$BD$2323,J$1,FALSE),VLOOKUP($A402,Pit!$A$4:$AZ$2261,J$2,FALSE))</f>
        <v>Normal</v>
      </c>
      <c r="K402" s="17" t="str">
        <f>IF($C402="B",VLOOKUP($A402,Bat!$A$4:$BD$2323,K$1,FALSE),VLOOKUP($A402,Pit!$A$4:$AZ$2261,K$2,FALSE))</f>
        <v>Normal</v>
      </c>
      <c r="L402" s="16">
        <f>IF($C402="B",VLOOKUP($A402,Bat!$A$4:$BD$2323,L$1,FALSE),VLOOKUP($A402,Pit!$A$4:$AZ$2261,L$2,FALSE))</f>
        <v>5</v>
      </c>
      <c r="M402" s="16">
        <f>IF($C402="B",VLOOKUP($A402,Bat!$A$4:$BD$2323,M$1,FALSE),VLOOKUP($A402,Pit!$A$4:$AZ$2261,M$2,FALSE))</f>
        <v>4</v>
      </c>
      <c r="N402" s="16">
        <f>IF($C402="B",VLOOKUP($A402,Bat!$A$4:$BD$2323,N$1,FALSE),VLOOKUP($A402,Pit!$A$4:$AZ$2261,N$2,FALSE))</f>
        <v>4</v>
      </c>
      <c r="O402" s="16" t="str">
        <f>IF($C402="B",VLOOKUP($A402,Bat!$A$4:$BD$2323,O$1,FALSE),VLOOKUP($A402,Pit!$A$4:$AZ$2261,O$2,FALSE))</f>
        <v>93-95 Mph</v>
      </c>
      <c r="P402" s="17">
        <f>IF($C402="B",VLOOKUP($A402,Bat!$A$4:$BD$2323,P$1,FALSE),VLOOKUP($A402,Pit!$A$4:$AZ$2261,P$2,FALSE))</f>
        <v>8</v>
      </c>
      <c r="Q402" s="18">
        <f>IF($C402="B",VLOOKUP($A402,Bat!$A$4:$BD$2323,Q$1,FALSE),VLOOKUP($A402,Pit!$A$4:$AZ$2261,Q$2,FALSE))</f>
        <v>30.552591611737995</v>
      </c>
      <c r="R402" s="19">
        <f>IF($C402="B",VLOOKUP($A402,Bat!$A$4:$BD$2323,R$1,FALSE),VLOOKUP($A402,Pit!$A$4:$AZ$2261,R$2,FALSE))</f>
        <v>-0.26742449864581153</v>
      </c>
      <c r="S402" s="20" t="str">
        <f>IF($C402="B",VLOOKUP($A402,Bat!$A$4:$BD$2323,S$1,FALSE),VLOOKUP($A402,Pit!$A$4:$AZ$2261,S$2,FALSE))</f>
        <v>Slot</v>
      </c>
      <c r="T402" s="17" t="str">
        <f>IF(S402="Slot","",VLOOKUP(IF($C402="B",VLOOKUP($A402,Bat!$A$4:$AT$2323,T$1,FALSE),VLOOKUP($A402,Pit!$A$4:$BD$2261,T$2,FALSE)),COND!$A$34:$B$40,2,FALSE))</f>
        <v/>
      </c>
      <c r="U402" s="21">
        <f>IF($C402="B",VLOOKUP($A402,Bat!$A$4:$AR$1287,44,FALSE),VLOOKUP($A402,Pit!$A$4:$BB$1239,54,FALSE))</f>
        <v>0</v>
      </c>
      <c r="W402" s="21">
        <f t="shared" si="26"/>
        <v>0</v>
      </c>
      <c r="X402" s="22" t="e">
        <f t="shared" si="27"/>
        <v>#N/A</v>
      </c>
      <c r="Y402" s="16" t="str">
        <f>IF(ISERROR(VLOOKUP($E402&amp;$F402,Results!$A$2:$G$413,Y$1,FALSE)),"",VLOOKUP($E402&amp;$F402,Results!$A$2:$G$413,Y$1,FALSE))</f>
        <v/>
      </c>
      <c r="Z402" s="16" t="str">
        <f>IF(ISERROR(VLOOKUP($E402&amp;$F402,Results!$A$2:$G$413,Z$1,FALSE)),"",VLOOKUP($E402&amp;$F402,Results!$A$2:$G$413,Z$1,FALSE))</f>
        <v/>
      </c>
      <c r="AA402" s="16" t="str">
        <f>IF(ISERROR(VLOOKUP($E402&amp;$F402,Results!$A$2:$G$413,AA$1,FALSE)),"",VLOOKUP($E402&amp;$F402,Results!$A$2:$G$413,AA$1,FALSE))</f>
        <v/>
      </c>
      <c r="AB402" s="16" t="str">
        <f>IF(ISERROR(VLOOKUP($E402&amp;$F402,Results!$A$2:$G$413,AB$1,FALSE)),"",VLOOKUP($E402&amp;$F402,Results!$A$2:$G$413,AB$1,FALSE))</f>
        <v/>
      </c>
      <c r="AC402" s="16"/>
      <c r="AD402" s="20" t="str">
        <f>IF(ISERROR(VLOOKUP($AB402&amp;"-"&amp;$F402,Bonuses!$B$1:$G$1000,4,FALSE)),"",INT(VLOOKUP($AB402&amp;"-"&amp;$F402,Bonuses!$B$1:$G$1000,4,FALSE)))</f>
        <v/>
      </c>
      <c r="AE402" s="16" t="str">
        <f>IF(ISERROR(VLOOKUP($AB402&amp;"-"&amp;$F402,Bonuses!$B$1:$G$1000,5,FALSE)),"",IF(VLOOKUP($AB402&amp;"-"&amp;$F402,Bonuses!$B$1:$G$1000,5,FALSE)="","",VLOOKUP($AB402&amp;"-"&amp;$F402,Bonuses!$B$1:$G$1000,6,FALSE)&amp;" yrs, "&amp;VLOOKUP($AB402&amp;"-"&amp;$F402,Bonuses!$B$1:$G$1000,5,FALSE)))</f>
        <v/>
      </c>
    </row>
    <row r="403" spans="1:31" s="21" customFormat="1">
      <c r="A403" s="21" t="s">
        <v>276</v>
      </c>
      <c r="B403" s="21">
        <f t="shared" si="24"/>
        <v>1</v>
      </c>
      <c r="C403" s="21" t="str">
        <f t="shared" si="25"/>
        <v>P</v>
      </c>
      <c r="D403" s="17">
        <f>IF($C403="B",VLOOKUP($A403,Bat!$A$4:$BD$2323,D$1,FALSE),VLOOKUP($A403,Pit!$A$4:$AZ$2261,D$2,FALSE))</f>
        <v>2454</v>
      </c>
      <c r="E403" s="16" t="str">
        <f>IF($C403="B",VLOOKUP($A403,Bat!$A$4:$BD$2323,E$1,FALSE),VLOOKUP($A403,Pit!$A$4:$AZ$2261,E$2,FALSE))</f>
        <v>MR</v>
      </c>
      <c r="F403" s="16" t="str">
        <f>IF($C403="B",VLOOKUP($A403,Bat!$A$4:$BD$2323,F$1,FALSE),VLOOKUP($A403,Pit!$A$4:$AZ$2261,F$2,FALSE))</f>
        <v>Duane Kidd</v>
      </c>
      <c r="G403" s="16">
        <f>IF($C403="B",VLOOKUP($A403,Bat!$A$4:$BD$2323,G$1,FALSE),VLOOKUP($A403,Pit!$A$4:$AZ$2261,G$2,FALSE))</f>
        <v>21</v>
      </c>
      <c r="H403" s="16" t="str">
        <f>IF($C403="B",VLOOKUP($A403,Bat!$A$4:$BD$2323,H$1,FALSE),VLOOKUP($A403,Pit!$A$4:$AZ$2261,H$2,FALSE))</f>
        <v>R</v>
      </c>
      <c r="I403" s="16" t="str">
        <f>IF($C403="B",VLOOKUP($A403,Bat!$A$4:$BD$2323,I$1,FALSE),VLOOKUP($A403,Pit!$A$4:$AZ$2261,I$2,FALSE))</f>
        <v>R</v>
      </c>
      <c r="J403" s="16" t="str">
        <f>IF($C403="B",VLOOKUP($A403,Bat!$A$4:$BD$2323,J$1,FALSE),VLOOKUP($A403,Pit!$A$4:$AZ$2261,J$2,FALSE))</f>
        <v>Normal</v>
      </c>
      <c r="K403" s="17" t="str">
        <f>IF($C403="B",VLOOKUP($A403,Bat!$A$4:$BD$2323,K$1,FALSE),VLOOKUP($A403,Pit!$A$4:$AZ$2261,K$2,FALSE))</f>
        <v>Very Low</v>
      </c>
      <c r="L403" s="16">
        <f>IF($C403="B",VLOOKUP($A403,Bat!$A$4:$BD$2323,L$1,FALSE),VLOOKUP($A403,Pit!$A$4:$AZ$2261,L$2,FALSE))</f>
        <v>5</v>
      </c>
      <c r="M403" s="16">
        <f>IF($C403="B",VLOOKUP($A403,Bat!$A$4:$BD$2323,M$1,FALSE),VLOOKUP($A403,Pit!$A$4:$AZ$2261,M$2,FALSE))</f>
        <v>5</v>
      </c>
      <c r="N403" s="16">
        <f>IF($C403="B",VLOOKUP($A403,Bat!$A$4:$BD$2323,N$1,FALSE),VLOOKUP($A403,Pit!$A$4:$AZ$2261,N$2,FALSE))</f>
        <v>4</v>
      </c>
      <c r="O403" s="16" t="str">
        <f>IF($C403="B",VLOOKUP($A403,Bat!$A$4:$BD$2323,O$1,FALSE),VLOOKUP($A403,Pit!$A$4:$AZ$2261,O$2,FALSE))</f>
        <v>94-96 Mph</v>
      </c>
      <c r="P403" s="17">
        <f>IF($C403="B",VLOOKUP($A403,Bat!$A$4:$BD$2323,P$1,FALSE),VLOOKUP($A403,Pit!$A$4:$AZ$2261,P$2,FALSE))</f>
        <v>7</v>
      </c>
      <c r="Q403" s="18">
        <f>IF($C403="B",VLOOKUP($A403,Bat!$A$4:$BD$2323,Q$1,FALSE),VLOOKUP($A403,Pit!$A$4:$AZ$2261,Q$2,FALSE))</f>
        <v>28.996766082513037</v>
      </c>
      <c r="R403" s="19">
        <f>IF($C403="B",VLOOKUP($A403,Bat!$A$4:$BD$2323,R$1,FALSE),VLOOKUP($A403,Pit!$A$4:$AZ$2261,R$2,FALSE))</f>
        <v>-0.39093610483563501</v>
      </c>
      <c r="S403" s="20" t="str">
        <f>IF($C403="B",VLOOKUP($A403,Bat!$A$4:$BD$2323,S$1,FALSE),VLOOKUP($A403,Pit!$A$4:$AZ$2261,S$2,FALSE))</f>
        <v>Slot</v>
      </c>
      <c r="T403" s="17" t="str">
        <f>IF(S403="Slot","",VLOOKUP(IF($C403="B",VLOOKUP($A403,Bat!$A$4:$AT$2323,T$1,FALSE),VLOOKUP($A403,Pit!$A$4:$BD$2261,T$2,FALSE)),COND!$A$34:$B$40,2,FALSE))</f>
        <v/>
      </c>
      <c r="U403" s="21">
        <f>IF($C403="B",VLOOKUP($A403,Bat!$A$4:$AR$1287,44,FALSE),VLOOKUP($A403,Pit!$A$4:$BB$1239,54,FALSE))</f>
        <v>0</v>
      </c>
      <c r="W403" s="21">
        <f t="shared" si="26"/>
        <v>0</v>
      </c>
      <c r="X403" s="22" t="e">
        <f t="shared" si="27"/>
        <v>#N/A</v>
      </c>
      <c r="Y403" s="16" t="str">
        <f>IF(ISERROR(VLOOKUP($E403&amp;$F403,Results!$A$2:$G$413,Y$1,FALSE)),"",VLOOKUP($E403&amp;$F403,Results!$A$2:$G$413,Y$1,FALSE))</f>
        <v/>
      </c>
      <c r="Z403" s="16" t="str">
        <f>IF(ISERROR(VLOOKUP($E403&amp;$F403,Results!$A$2:$G$413,Z$1,FALSE)),"",VLOOKUP($E403&amp;$F403,Results!$A$2:$G$413,Z$1,FALSE))</f>
        <v/>
      </c>
      <c r="AA403" s="16" t="str">
        <f>IF(ISERROR(VLOOKUP($E403&amp;$F403,Results!$A$2:$G$413,AA$1,FALSE)),"",VLOOKUP($E403&amp;$F403,Results!$A$2:$G$413,AA$1,FALSE))</f>
        <v/>
      </c>
      <c r="AB403" s="16" t="str">
        <f>IF(ISERROR(VLOOKUP($E403&amp;$F403,Results!$A$2:$G$413,AB$1,FALSE)),"",VLOOKUP($E403&amp;$F403,Results!$A$2:$G$413,AB$1,FALSE))</f>
        <v/>
      </c>
      <c r="AC403" s="16"/>
      <c r="AD403" s="20" t="str">
        <f>IF(ISERROR(VLOOKUP($AB403&amp;"-"&amp;$F403,Bonuses!$B$1:$G$1000,4,FALSE)),"",INT(VLOOKUP($AB403&amp;"-"&amp;$F403,Bonuses!$B$1:$G$1000,4,FALSE)))</f>
        <v/>
      </c>
      <c r="AE403" s="16" t="str">
        <f>IF(ISERROR(VLOOKUP($AB403&amp;"-"&amp;$F403,Bonuses!$B$1:$G$1000,5,FALSE)),"",IF(VLOOKUP($AB403&amp;"-"&amp;$F403,Bonuses!$B$1:$G$1000,5,FALSE)="","",VLOOKUP($AB403&amp;"-"&amp;$F403,Bonuses!$B$1:$G$1000,6,FALSE)&amp;" yrs, "&amp;VLOOKUP($AB403&amp;"-"&amp;$F403,Bonuses!$B$1:$G$1000,5,FALSE)))</f>
        <v/>
      </c>
    </row>
    <row r="404" spans="1:31" s="21" customFormat="1">
      <c r="A404" s="21" t="s">
        <v>683</v>
      </c>
      <c r="B404" s="21">
        <f t="shared" si="24"/>
        <v>1</v>
      </c>
      <c r="C404" s="21" t="str">
        <f t="shared" si="25"/>
        <v>P</v>
      </c>
      <c r="D404" s="17">
        <f>IF($C404="B",VLOOKUP($A404,Bat!$A$4:$BD$2323,D$1,FALSE),VLOOKUP($A404,Pit!$A$4:$AZ$2261,D$2,FALSE))</f>
        <v>6730</v>
      </c>
      <c r="E404" s="16" t="str">
        <f>IF($C404="B",VLOOKUP($A404,Bat!$A$4:$BD$2323,E$1,FALSE),VLOOKUP($A404,Pit!$A$4:$AZ$2261,E$2,FALSE))</f>
        <v>SP</v>
      </c>
      <c r="F404" s="16" t="str">
        <f>IF($C404="B",VLOOKUP($A404,Bat!$A$4:$BD$2323,F$1,FALSE),VLOOKUP($A404,Pit!$A$4:$AZ$2261,F$2,FALSE))</f>
        <v>Gerard Ladner</v>
      </c>
      <c r="G404" s="16">
        <f>IF($C404="B",VLOOKUP($A404,Bat!$A$4:$BD$2323,G$1,FALSE),VLOOKUP($A404,Pit!$A$4:$AZ$2261,G$2,FALSE))</f>
        <v>21</v>
      </c>
      <c r="H404" s="16" t="str">
        <f>IF($C404="B",VLOOKUP($A404,Bat!$A$4:$BD$2323,H$1,FALSE),VLOOKUP($A404,Pit!$A$4:$AZ$2261,H$2,FALSE))</f>
        <v>R</v>
      </c>
      <c r="I404" s="16" t="str">
        <f>IF($C404="B",VLOOKUP($A404,Bat!$A$4:$BD$2323,I$1,FALSE),VLOOKUP($A404,Pit!$A$4:$AZ$2261,I$2,FALSE))</f>
        <v>R</v>
      </c>
      <c r="J404" s="16" t="str">
        <f>IF($C404="B",VLOOKUP($A404,Bat!$A$4:$BD$2323,J$1,FALSE),VLOOKUP($A404,Pit!$A$4:$AZ$2261,J$2,FALSE))</f>
        <v>Normal</v>
      </c>
      <c r="K404" s="17" t="str">
        <f>IF($C404="B",VLOOKUP($A404,Bat!$A$4:$BD$2323,K$1,FALSE),VLOOKUP($A404,Pit!$A$4:$AZ$2261,K$2,FALSE))</f>
        <v>Normal</v>
      </c>
      <c r="L404" s="16">
        <f>IF($C404="B",VLOOKUP($A404,Bat!$A$4:$BD$2323,L$1,FALSE),VLOOKUP($A404,Pit!$A$4:$AZ$2261,L$2,FALSE))</f>
        <v>5</v>
      </c>
      <c r="M404" s="16">
        <f>IF($C404="B",VLOOKUP($A404,Bat!$A$4:$BD$2323,M$1,FALSE),VLOOKUP($A404,Pit!$A$4:$AZ$2261,M$2,FALSE))</f>
        <v>4</v>
      </c>
      <c r="N404" s="16">
        <f>IF($C404="B",VLOOKUP($A404,Bat!$A$4:$BD$2323,N$1,FALSE),VLOOKUP($A404,Pit!$A$4:$AZ$2261,N$2,FALSE))</f>
        <v>4</v>
      </c>
      <c r="O404" s="16" t="str">
        <f>IF($C404="B",VLOOKUP($A404,Bat!$A$4:$BD$2323,O$1,FALSE),VLOOKUP($A404,Pit!$A$4:$AZ$2261,O$2,FALSE))</f>
        <v>90-92 Mph</v>
      </c>
      <c r="P404" s="17">
        <f>IF($C404="B",VLOOKUP($A404,Bat!$A$4:$BD$2323,P$1,FALSE),VLOOKUP($A404,Pit!$A$4:$AZ$2261,P$2,FALSE))</f>
        <v>5</v>
      </c>
      <c r="Q404" s="18">
        <f>IF($C404="B",VLOOKUP($A404,Bat!$A$4:$BD$2323,Q$1,FALSE),VLOOKUP($A404,Pit!$A$4:$AZ$2261,Q$2,FALSE))</f>
        <v>30.454069388589737</v>
      </c>
      <c r="R404" s="19">
        <f>IF($C404="B",VLOOKUP($A404,Bat!$A$4:$BD$2323,R$1,FALSE),VLOOKUP($A404,Pit!$A$4:$AZ$2261,R$2,FALSE))</f>
        <v>-0.2752458370914504</v>
      </c>
      <c r="S404" s="20" t="str">
        <f>IF($C404="B",VLOOKUP($A404,Bat!$A$4:$BD$2323,S$1,FALSE),VLOOKUP($A404,Pit!$A$4:$AZ$2261,S$2,FALSE))</f>
        <v>Slot</v>
      </c>
      <c r="T404" s="17" t="str">
        <f>IF(S404="Slot","",VLOOKUP(IF($C404="B",VLOOKUP($A404,Bat!$A$4:$AT$2323,T$1,FALSE),VLOOKUP($A404,Pit!$A$4:$BD$2261,T$2,FALSE)),COND!$A$34:$B$40,2,FALSE))</f>
        <v/>
      </c>
      <c r="U404" s="21">
        <f>IF($C404="B",VLOOKUP($A404,Bat!$A$4:$AR$1287,44,FALSE),VLOOKUP($A404,Pit!$A$4:$BB$1239,54,FALSE))</f>
        <v>0</v>
      </c>
      <c r="W404" s="21">
        <f t="shared" si="26"/>
        <v>0</v>
      </c>
      <c r="X404" s="22" t="e">
        <f t="shared" si="27"/>
        <v>#N/A</v>
      </c>
      <c r="Y404" s="16" t="str">
        <f>IF(ISERROR(VLOOKUP($E404&amp;$F404,Results!$A$2:$G$413,Y$1,FALSE)),"",VLOOKUP($E404&amp;$F404,Results!$A$2:$G$413,Y$1,FALSE))</f>
        <v/>
      </c>
      <c r="Z404" s="16" t="str">
        <f>IF(ISERROR(VLOOKUP($E404&amp;$F404,Results!$A$2:$G$413,Z$1,FALSE)),"",VLOOKUP($E404&amp;$F404,Results!$A$2:$G$413,Z$1,FALSE))</f>
        <v/>
      </c>
      <c r="AA404" s="16" t="str">
        <f>IF(ISERROR(VLOOKUP($E404&amp;$F404,Results!$A$2:$G$413,AA$1,FALSE)),"",VLOOKUP($E404&amp;$F404,Results!$A$2:$G$413,AA$1,FALSE))</f>
        <v/>
      </c>
      <c r="AB404" s="16" t="str">
        <f>IF(ISERROR(VLOOKUP($E404&amp;$F404,Results!$A$2:$G$413,AB$1,FALSE)),"",VLOOKUP($E404&amp;$F404,Results!$A$2:$G$413,AB$1,FALSE))</f>
        <v/>
      </c>
      <c r="AC404" s="16"/>
      <c r="AD404" s="20" t="str">
        <f>IF(ISERROR(VLOOKUP($AB404&amp;"-"&amp;$F404,Bonuses!$B$1:$G$1000,4,FALSE)),"",INT(VLOOKUP($AB404&amp;"-"&amp;$F404,Bonuses!$B$1:$G$1000,4,FALSE)))</f>
        <v/>
      </c>
      <c r="AE404" s="16" t="str">
        <f>IF(ISERROR(VLOOKUP($AB404&amp;"-"&amp;$F404,Bonuses!$B$1:$G$1000,5,FALSE)),"",IF(VLOOKUP($AB404&amp;"-"&amp;$F404,Bonuses!$B$1:$G$1000,5,FALSE)="","",VLOOKUP($AB404&amp;"-"&amp;$F404,Bonuses!$B$1:$G$1000,6,FALSE)&amp;" yrs, "&amp;VLOOKUP($AB404&amp;"-"&amp;$F404,Bonuses!$B$1:$G$1000,5,FALSE)))</f>
        <v/>
      </c>
    </row>
    <row r="405" spans="1:31" s="21" customFormat="1">
      <c r="A405" s="21" t="s">
        <v>658</v>
      </c>
      <c r="B405" s="21">
        <f t="shared" si="24"/>
        <v>1</v>
      </c>
      <c r="C405" s="21" t="str">
        <f t="shared" si="25"/>
        <v>P</v>
      </c>
      <c r="D405" s="17">
        <f>IF($C405="B",VLOOKUP($A405,Bat!$A$4:$BD$2323,D$1,FALSE),VLOOKUP($A405,Pit!$A$4:$AZ$2261,D$2,FALSE))</f>
        <v>9476</v>
      </c>
      <c r="E405" s="16" t="str">
        <f>IF($C405="B",VLOOKUP($A405,Bat!$A$4:$BD$2323,E$1,FALSE),VLOOKUP($A405,Pit!$A$4:$AZ$2261,E$2,FALSE))</f>
        <v>SP</v>
      </c>
      <c r="F405" s="16" t="str">
        <f>IF($C405="B",VLOOKUP($A405,Bat!$A$4:$BD$2323,F$1,FALSE),VLOOKUP($A405,Pit!$A$4:$AZ$2261,F$2,FALSE))</f>
        <v>José Chávez</v>
      </c>
      <c r="G405" s="16">
        <f>IF($C405="B",VLOOKUP($A405,Bat!$A$4:$BD$2323,G$1,FALSE),VLOOKUP($A405,Pit!$A$4:$AZ$2261,G$2,FALSE))</f>
        <v>21</v>
      </c>
      <c r="H405" s="16" t="str">
        <f>IF($C405="B",VLOOKUP($A405,Bat!$A$4:$BD$2323,H$1,FALSE),VLOOKUP($A405,Pit!$A$4:$AZ$2261,H$2,FALSE))</f>
        <v>S</v>
      </c>
      <c r="I405" s="16" t="str">
        <f>IF($C405="B",VLOOKUP($A405,Bat!$A$4:$BD$2323,I$1,FALSE),VLOOKUP($A405,Pit!$A$4:$AZ$2261,I$2,FALSE))</f>
        <v>R</v>
      </c>
      <c r="J405" s="16" t="str">
        <f>IF($C405="B",VLOOKUP($A405,Bat!$A$4:$BD$2323,J$1,FALSE),VLOOKUP($A405,Pit!$A$4:$AZ$2261,J$2,FALSE))</f>
        <v>Very Low</v>
      </c>
      <c r="K405" s="17" t="str">
        <f>IF($C405="B",VLOOKUP($A405,Bat!$A$4:$BD$2323,K$1,FALSE),VLOOKUP($A405,Pit!$A$4:$AZ$2261,K$2,FALSE))</f>
        <v>Normal</v>
      </c>
      <c r="L405" s="16">
        <f>IF($C405="B",VLOOKUP($A405,Bat!$A$4:$BD$2323,L$1,FALSE),VLOOKUP($A405,Pit!$A$4:$AZ$2261,L$2,FALSE))</f>
        <v>5</v>
      </c>
      <c r="M405" s="16">
        <f>IF($C405="B",VLOOKUP($A405,Bat!$A$4:$BD$2323,M$1,FALSE),VLOOKUP($A405,Pit!$A$4:$AZ$2261,M$2,FALSE))</f>
        <v>4</v>
      </c>
      <c r="N405" s="16">
        <f>IF($C405="B",VLOOKUP($A405,Bat!$A$4:$BD$2323,N$1,FALSE),VLOOKUP($A405,Pit!$A$4:$AZ$2261,N$2,FALSE))</f>
        <v>4</v>
      </c>
      <c r="O405" s="16" t="str">
        <f>IF($C405="B",VLOOKUP($A405,Bat!$A$4:$BD$2323,O$1,FALSE),VLOOKUP($A405,Pit!$A$4:$AZ$2261,O$2,FALSE))</f>
        <v>96-98 Mph</v>
      </c>
      <c r="P405" s="17">
        <f>IF($C405="B",VLOOKUP($A405,Bat!$A$4:$BD$2323,P$1,FALSE),VLOOKUP($A405,Pit!$A$4:$AZ$2261,P$2,FALSE))</f>
        <v>8</v>
      </c>
      <c r="Q405" s="18">
        <f>IF($C405="B",VLOOKUP($A405,Bat!$A$4:$BD$2323,Q$1,FALSE),VLOOKUP($A405,Pit!$A$4:$AZ$2261,Q$2,FALSE))</f>
        <v>28.870674146268776</v>
      </c>
      <c r="R405" s="19">
        <f>IF($C405="B",VLOOKUP($A405,Bat!$A$4:$BD$2323,R$1,FALSE),VLOOKUP($A405,Pit!$A$4:$AZ$2261,R$2,FALSE))</f>
        <v>-0.40094610742305348</v>
      </c>
      <c r="S405" s="20" t="str">
        <f>IF($C405="B",VLOOKUP($A405,Bat!$A$4:$BD$2323,S$1,FALSE),VLOOKUP($A405,Pit!$A$4:$AZ$2261,S$2,FALSE))</f>
        <v>Slot</v>
      </c>
      <c r="T405" s="17" t="str">
        <f>IF(S405="Slot","",VLOOKUP(IF($C405="B",VLOOKUP($A405,Bat!$A$4:$AT$2323,T$1,FALSE),VLOOKUP($A405,Pit!$A$4:$BD$2261,T$2,FALSE)),COND!$A$34:$B$40,2,FALSE))</f>
        <v/>
      </c>
      <c r="U405" s="21">
        <f>IF($C405="B",VLOOKUP($A405,Bat!$A$4:$AR$1287,44,FALSE),VLOOKUP($A405,Pit!$A$4:$BB$1239,54,FALSE))</f>
        <v>0</v>
      </c>
      <c r="W405" s="21">
        <f t="shared" si="26"/>
        <v>0</v>
      </c>
      <c r="X405" s="22" t="e">
        <f t="shared" si="27"/>
        <v>#N/A</v>
      </c>
      <c r="Y405" s="16" t="str">
        <f>IF(ISERROR(VLOOKUP($E405&amp;$F405,Results!$A$2:$G$413,Y$1,FALSE)),"",VLOOKUP($E405&amp;$F405,Results!$A$2:$G$413,Y$1,FALSE))</f>
        <v/>
      </c>
      <c r="Z405" s="16" t="str">
        <f>IF(ISERROR(VLOOKUP($E405&amp;$F405,Results!$A$2:$G$413,Z$1,FALSE)),"",VLOOKUP($E405&amp;$F405,Results!$A$2:$G$413,Z$1,FALSE))</f>
        <v/>
      </c>
      <c r="AA405" s="16" t="str">
        <f>IF(ISERROR(VLOOKUP($E405&amp;$F405,Results!$A$2:$G$413,AA$1,FALSE)),"",VLOOKUP($E405&amp;$F405,Results!$A$2:$G$413,AA$1,FALSE))</f>
        <v/>
      </c>
      <c r="AB405" s="16" t="str">
        <f>IF(ISERROR(VLOOKUP($E405&amp;$F405,Results!$A$2:$G$413,AB$1,FALSE)),"",VLOOKUP($E405&amp;$F405,Results!$A$2:$G$413,AB$1,FALSE))</f>
        <v/>
      </c>
      <c r="AC405" s="16"/>
      <c r="AD405" s="20" t="str">
        <f>IF(ISERROR(VLOOKUP($AB405&amp;"-"&amp;$F405,Bonuses!$B$1:$G$1000,4,FALSE)),"",INT(VLOOKUP($AB405&amp;"-"&amp;$F405,Bonuses!$B$1:$G$1000,4,FALSE)))</f>
        <v/>
      </c>
      <c r="AE405" s="16" t="str">
        <f>IF(ISERROR(VLOOKUP($AB405&amp;"-"&amp;$F405,Bonuses!$B$1:$G$1000,5,FALSE)),"",IF(VLOOKUP($AB405&amp;"-"&amp;$F405,Bonuses!$B$1:$G$1000,5,FALSE)="","",VLOOKUP($AB405&amp;"-"&amp;$F405,Bonuses!$B$1:$G$1000,6,FALSE)&amp;" yrs, "&amp;VLOOKUP($AB405&amp;"-"&amp;$F405,Bonuses!$B$1:$G$1000,5,FALSE)))</f>
        <v/>
      </c>
    </row>
    <row r="406" spans="1:31" s="21" customFormat="1">
      <c r="A406" s="21" t="s">
        <v>571</v>
      </c>
      <c r="B406" s="21">
        <f t="shared" si="24"/>
        <v>1</v>
      </c>
      <c r="C406" s="21" t="str">
        <f t="shared" si="25"/>
        <v>P</v>
      </c>
      <c r="D406" s="17">
        <f>IF($C406="B",VLOOKUP($A406,Bat!$A$4:$BD$2323,D$1,FALSE),VLOOKUP($A406,Pit!$A$4:$AZ$2261,D$2,FALSE))</f>
        <v>13768</v>
      </c>
      <c r="E406" s="16" t="str">
        <f>IF($C406="B",VLOOKUP($A406,Bat!$A$4:$BD$2323,E$1,FALSE),VLOOKUP($A406,Pit!$A$4:$AZ$2261,E$2,FALSE))</f>
        <v>SP</v>
      </c>
      <c r="F406" s="16" t="str">
        <f>IF($C406="B",VLOOKUP($A406,Bat!$A$4:$BD$2323,F$1,FALSE),VLOOKUP($A406,Pit!$A$4:$AZ$2261,F$2,FALSE))</f>
        <v>Brian Buckner</v>
      </c>
      <c r="G406" s="16">
        <f>IF($C406="B",VLOOKUP($A406,Bat!$A$4:$BD$2323,G$1,FALSE),VLOOKUP($A406,Pit!$A$4:$AZ$2261,G$2,FALSE))</f>
        <v>18</v>
      </c>
      <c r="H406" s="16" t="str">
        <f>IF($C406="B",VLOOKUP($A406,Bat!$A$4:$BD$2323,H$1,FALSE),VLOOKUP($A406,Pit!$A$4:$AZ$2261,H$2,FALSE))</f>
        <v>L</v>
      </c>
      <c r="I406" s="16" t="str">
        <f>IF($C406="B",VLOOKUP($A406,Bat!$A$4:$BD$2323,I$1,FALSE),VLOOKUP($A406,Pit!$A$4:$AZ$2261,I$2,FALSE))</f>
        <v>R</v>
      </c>
      <c r="J406" s="16" t="str">
        <f>IF($C406="B",VLOOKUP($A406,Bat!$A$4:$BD$2323,J$1,FALSE),VLOOKUP($A406,Pit!$A$4:$AZ$2261,J$2,FALSE))</f>
        <v>Very High</v>
      </c>
      <c r="K406" s="17" t="str">
        <f>IF($C406="B",VLOOKUP($A406,Bat!$A$4:$BD$2323,K$1,FALSE),VLOOKUP($A406,Pit!$A$4:$AZ$2261,K$2,FALSE))</f>
        <v>Low</v>
      </c>
      <c r="L406" s="16">
        <f>IF($C406="B",VLOOKUP($A406,Bat!$A$4:$BD$2323,L$1,FALSE),VLOOKUP($A406,Pit!$A$4:$AZ$2261,L$2,FALSE))</f>
        <v>4</v>
      </c>
      <c r="M406" s="16">
        <f>IF($C406="B",VLOOKUP($A406,Bat!$A$4:$BD$2323,M$1,FALSE),VLOOKUP($A406,Pit!$A$4:$AZ$2261,M$2,FALSE))</f>
        <v>4</v>
      </c>
      <c r="N406" s="16">
        <f>IF($C406="B",VLOOKUP($A406,Bat!$A$4:$BD$2323,N$1,FALSE),VLOOKUP($A406,Pit!$A$4:$AZ$2261,N$2,FALSE))</f>
        <v>5</v>
      </c>
      <c r="O406" s="16" t="str">
        <f>IF($C406="B",VLOOKUP($A406,Bat!$A$4:$BD$2323,O$1,FALSE),VLOOKUP($A406,Pit!$A$4:$AZ$2261,O$2,FALSE))</f>
        <v>83-85 Mph</v>
      </c>
      <c r="P406" s="17">
        <f>IF($C406="B",VLOOKUP($A406,Bat!$A$4:$BD$2323,P$1,FALSE),VLOOKUP($A406,Pit!$A$4:$AZ$2261,P$2,FALSE))</f>
        <v>3</v>
      </c>
      <c r="Q406" s="18">
        <f>IF($C406="B",VLOOKUP($A406,Bat!$A$4:$BD$2323,Q$1,FALSE),VLOOKUP($A406,Pit!$A$4:$AZ$2261,Q$2,FALSE))</f>
        <v>30.086421152477755</v>
      </c>
      <c r="R406" s="19">
        <f>IF($C406="B",VLOOKUP($A406,Bat!$A$4:$BD$2323,R$1,FALSE),VLOOKUP($A406,Pit!$A$4:$AZ$2261,R$2,FALSE))</f>
        <v>-0.304432158630773</v>
      </c>
      <c r="S406" s="20" t="str">
        <f>IF($C406="B",VLOOKUP($A406,Bat!$A$4:$BD$2323,S$1,FALSE),VLOOKUP($A406,Pit!$A$4:$AZ$2261,S$2,FALSE))</f>
        <v>Slot</v>
      </c>
      <c r="T406" s="17" t="str">
        <f>IF(S406="Slot","",VLOOKUP(IF($C406="B",VLOOKUP($A406,Bat!$A$4:$AT$2323,T$1,FALSE),VLOOKUP($A406,Pit!$A$4:$BD$2261,T$2,FALSE)),COND!$A$34:$B$40,2,FALSE))</f>
        <v/>
      </c>
      <c r="U406" s="21">
        <f>IF($C406="B",VLOOKUP($A406,Bat!$A$4:$AR$1287,44,FALSE),VLOOKUP($A406,Pit!$A$4:$BB$1239,54,FALSE))</f>
        <v>0</v>
      </c>
      <c r="W406" s="21">
        <f t="shared" si="26"/>
        <v>0</v>
      </c>
      <c r="X406" s="22" t="e">
        <f t="shared" si="27"/>
        <v>#N/A</v>
      </c>
      <c r="Y406" s="16" t="str">
        <f>IF(ISERROR(VLOOKUP($E406&amp;$F406,Results!$A$2:$G$413,Y$1,FALSE)),"",VLOOKUP($E406&amp;$F406,Results!$A$2:$G$413,Y$1,FALSE))</f>
        <v/>
      </c>
      <c r="Z406" s="16" t="str">
        <f>IF(ISERROR(VLOOKUP($E406&amp;$F406,Results!$A$2:$G$413,Z$1,FALSE)),"",VLOOKUP($E406&amp;$F406,Results!$A$2:$G$413,Z$1,FALSE))</f>
        <v/>
      </c>
      <c r="AA406" s="16" t="str">
        <f>IF(ISERROR(VLOOKUP($E406&amp;$F406,Results!$A$2:$G$413,AA$1,FALSE)),"",VLOOKUP($E406&amp;$F406,Results!$A$2:$G$413,AA$1,FALSE))</f>
        <v/>
      </c>
      <c r="AB406" s="16" t="str">
        <f>IF(ISERROR(VLOOKUP($E406&amp;$F406,Results!$A$2:$G$413,AB$1,FALSE)),"",VLOOKUP($E406&amp;$F406,Results!$A$2:$G$413,AB$1,FALSE))</f>
        <v/>
      </c>
      <c r="AC406" s="16"/>
      <c r="AD406" s="20" t="str">
        <f>IF(ISERROR(VLOOKUP($AB406&amp;"-"&amp;$F406,Bonuses!$B$1:$G$1000,4,FALSE)),"",INT(VLOOKUP($AB406&amp;"-"&amp;$F406,Bonuses!$B$1:$G$1000,4,FALSE)))</f>
        <v/>
      </c>
      <c r="AE406" s="16" t="str">
        <f>IF(ISERROR(VLOOKUP($AB406&amp;"-"&amp;$F406,Bonuses!$B$1:$G$1000,5,FALSE)),"",IF(VLOOKUP($AB406&amp;"-"&amp;$F406,Bonuses!$B$1:$G$1000,5,FALSE)="","",VLOOKUP($AB406&amp;"-"&amp;$F406,Bonuses!$B$1:$G$1000,6,FALSE)&amp;" yrs, "&amp;VLOOKUP($AB406&amp;"-"&amp;$F406,Bonuses!$B$1:$G$1000,5,FALSE)))</f>
        <v/>
      </c>
    </row>
    <row r="407" spans="1:31" s="21" customFormat="1">
      <c r="A407" s="21" t="s">
        <v>696</v>
      </c>
      <c r="B407" s="21">
        <f t="shared" si="24"/>
        <v>1</v>
      </c>
      <c r="C407" s="21" t="str">
        <f t="shared" si="25"/>
        <v>P</v>
      </c>
      <c r="D407" s="17">
        <f>IF($C407="B",VLOOKUP($A407,Bat!$A$4:$BD$2323,D$1,FALSE),VLOOKUP($A407,Pit!$A$4:$AZ$2261,D$2,FALSE))</f>
        <v>8756</v>
      </c>
      <c r="E407" s="16" t="str">
        <f>IF($C407="B",VLOOKUP($A407,Bat!$A$4:$BD$2323,E$1,FALSE),VLOOKUP($A407,Pit!$A$4:$AZ$2261,E$2,FALSE))</f>
        <v>MR</v>
      </c>
      <c r="F407" s="16" t="str">
        <f>IF($C407="B",VLOOKUP($A407,Bat!$A$4:$BD$2323,F$1,FALSE),VLOOKUP($A407,Pit!$A$4:$AZ$2261,F$2,FALSE))</f>
        <v>George Beck</v>
      </c>
      <c r="G407" s="16">
        <f>IF($C407="B",VLOOKUP($A407,Bat!$A$4:$BD$2323,G$1,FALSE),VLOOKUP($A407,Pit!$A$4:$AZ$2261,G$2,FALSE))</f>
        <v>21</v>
      </c>
      <c r="H407" s="16" t="str">
        <f>IF($C407="B",VLOOKUP($A407,Bat!$A$4:$BD$2323,H$1,FALSE),VLOOKUP($A407,Pit!$A$4:$AZ$2261,H$2,FALSE))</f>
        <v>L</v>
      </c>
      <c r="I407" s="16" t="str">
        <f>IF($C407="B",VLOOKUP($A407,Bat!$A$4:$BD$2323,I$1,FALSE),VLOOKUP($A407,Pit!$A$4:$AZ$2261,I$2,FALSE))</f>
        <v>L</v>
      </c>
      <c r="J407" s="16" t="str">
        <f>IF($C407="B",VLOOKUP($A407,Bat!$A$4:$BD$2323,J$1,FALSE),VLOOKUP($A407,Pit!$A$4:$AZ$2261,J$2,FALSE))</f>
        <v>Very Low</v>
      </c>
      <c r="K407" s="17" t="str">
        <f>IF($C407="B",VLOOKUP($A407,Bat!$A$4:$BD$2323,K$1,FALSE),VLOOKUP($A407,Pit!$A$4:$AZ$2261,K$2,FALSE))</f>
        <v>High</v>
      </c>
      <c r="L407" s="16">
        <f>IF($C407="B",VLOOKUP($A407,Bat!$A$4:$BD$2323,L$1,FALSE),VLOOKUP($A407,Pit!$A$4:$AZ$2261,L$2,FALSE))</f>
        <v>4</v>
      </c>
      <c r="M407" s="16">
        <f>IF($C407="B",VLOOKUP($A407,Bat!$A$4:$BD$2323,M$1,FALSE),VLOOKUP($A407,Pit!$A$4:$AZ$2261,M$2,FALSE))</f>
        <v>4</v>
      </c>
      <c r="N407" s="16">
        <f>IF($C407="B",VLOOKUP($A407,Bat!$A$4:$BD$2323,N$1,FALSE),VLOOKUP($A407,Pit!$A$4:$AZ$2261,N$2,FALSE))</f>
        <v>5</v>
      </c>
      <c r="O407" s="16" t="str">
        <f>IF($C407="B",VLOOKUP($A407,Bat!$A$4:$BD$2323,O$1,FALSE),VLOOKUP($A407,Pit!$A$4:$AZ$2261,O$2,FALSE))</f>
        <v>92-94 Mph</v>
      </c>
      <c r="P407" s="17">
        <f>IF($C407="B",VLOOKUP($A407,Bat!$A$4:$BD$2323,P$1,FALSE),VLOOKUP($A407,Pit!$A$4:$AZ$2261,P$2,FALSE))</f>
        <v>7</v>
      </c>
      <c r="Q407" s="18">
        <f>IF($C407="B",VLOOKUP($A407,Bat!$A$4:$BD$2323,Q$1,FALSE),VLOOKUP($A407,Pit!$A$4:$AZ$2261,Q$2,FALSE))</f>
        <v>29.175004934561866</v>
      </c>
      <c r="R407" s="19">
        <f>IF($C407="B",VLOOKUP($A407,Bat!$A$4:$BD$2323,R$1,FALSE),VLOOKUP($A407,Pit!$A$4:$AZ$2261,R$2,FALSE))</f>
        <v>-0.37678633901134767</v>
      </c>
      <c r="S407" s="20" t="str">
        <f>IF($C407="B",VLOOKUP($A407,Bat!$A$4:$BD$2323,S$1,FALSE),VLOOKUP($A407,Pit!$A$4:$AZ$2261,S$2,FALSE))</f>
        <v>Slot</v>
      </c>
      <c r="T407" s="17" t="str">
        <f>IF(S407="Slot","",VLOOKUP(IF($C407="B",VLOOKUP($A407,Bat!$A$4:$AT$2323,T$1,FALSE),VLOOKUP($A407,Pit!$A$4:$BD$2261,T$2,FALSE)),COND!$A$34:$B$40,2,FALSE))</f>
        <v/>
      </c>
      <c r="U407" s="21">
        <f>IF($C407="B",VLOOKUP($A407,Bat!$A$4:$AR$1287,44,FALSE),VLOOKUP($A407,Pit!$A$4:$BB$1239,54,FALSE))</f>
        <v>0</v>
      </c>
      <c r="W407" s="21">
        <f t="shared" si="26"/>
        <v>0</v>
      </c>
      <c r="X407" s="22" t="e">
        <f t="shared" si="27"/>
        <v>#N/A</v>
      </c>
      <c r="Y407" s="16" t="str">
        <f>IF(ISERROR(VLOOKUP($E407&amp;$F407,Results!$A$2:$G$413,Y$1,FALSE)),"",VLOOKUP($E407&amp;$F407,Results!$A$2:$G$413,Y$1,FALSE))</f>
        <v/>
      </c>
      <c r="Z407" s="16" t="str">
        <f>IF(ISERROR(VLOOKUP($E407&amp;$F407,Results!$A$2:$G$413,Z$1,FALSE)),"",VLOOKUP($E407&amp;$F407,Results!$A$2:$G$413,Z$1,FALSE))</f>
        <v/>
      </c>
      <c r="AA407" s="16" t="str">
        <f>IF(ISERROR(VLOOKUP($E407&amp;$F407,Results!$A$2:$G$413,AA$1,FALSE)),"",VLOOKUP($E407&amp;$F407,Results!$A$2:$G$413,AA$1,FALSE))</f>
        <v/>
      </c>
      <c r="AB407" s="16" t="str">
        <f>IF(ISERROR(VLOOKUP($E407&amp;$F407,Results!$A$2:$G$413,AB$1,FALSE)),"",VLOOKUP($E407&amp;$F407,Results!$A$2:$G$413,AB$1,FALSE))</f>
        <v/>
      </c>
      <c r="AC407" s="16"/>
      <c r="AD407" s="20" t="str">
        <f>IF(ISERROR(VLOOKUP($AB407&amp;"-"&amp;$F407,Bonuses!$B$1:$G$1000,4,FALSE)),"",INT(VLOOKUP($AB407&amp;"-"&amp;$F407,Bonuses!$B$1:$G$1000,4,FALSE)))</f>
        <v/>
      </c>
      <c r="AE407" s="16" t="str">
        <f>IF(ISERROR(VLOOKUP($AB407&amp;"-"&amp;$F407,Bonuses!$B$1:$G$1000,5,FALSE)),"",IF(VLOOKUP($AB407&amp;"-"&amp;$F407,Bonuses!$B$1:$G$1000,5,FALSE)="","",VLOOKUP($AB407&amp;"-"&amp;$F407,Bonuses!$B$1:$G$1000,6,FALSE)&amp;" yrs, "&amp;VLOOKUP($AB407&amp;"-"&amp;$F407,Bonuses!$B$1:$G$1000,5,FALSE)))</f>
        <v/>
      </c>
    </row>
    <row r="408" spans="1:31" s="21" customFormat="1">
      <c r="A408" s="21" t="s">
        <v>700</v>
      </c>
      <c r="B408" s="21">
        <f t="shared" si="24"/>
        <v>1</v>
      </c>
      <c r="C408" s="21" t="str">
        <f t="shared" si="25"/>
        <v>P</v>
      </c>
      <c r="D408" s="17" t="e">
        <f>IF($C408="B",VLOOKUP($A408,Bat!$A$4:$BD$2323,D$1,FALSE),VLOOKUP($A408,Pit!$A$4:$AZ$2261,D$2,FALSE))</f>
        <v>#N/A</v>
      </c>
      <c r="E408" s="16" t="e">
        <f>IF($C408="B",VLOOKUP($A408,Bat!$A$4:$BD$2323,E$1,FALSE),VLOOKUP($A408,Pit!$A$4:$AZ$2261,E$2,FALSE))</f>
        <v>#N/A</v>
      </c>
      <c r="F408" s="16" t="e">
        <f>IF($C408="B",VLOOKUP($A408,Bat!$A$4:$BD$2323,F$1,FALSE),VLOOKUP($A408,Pit!$A$4:$AZ$2261,F$2,FALSE))</f>
        <v>#N/A</v>
      </c>
      <c r="G408" s="16" t="e">
        <f>IF($C408="B",VLOOKUP($A408,Bat!$A$4:$BD$2323,G$1,FALSE),VLOOKUP($A408,Pit!$A$4:$AZ$2261,G$2,FALSE))</f>
        <v>#N/A</v>
      </c>
      <c r="H408" s="16" t="e">
        <f>IF($C408="B",VLOOKUP($A408,Bat!$A$4:$BD$2323,H$1,FALSE),VLOOKUP($A408,Pit!$A$4:$AZ$2261,H$2,FALSE))</f>
        <v>#N/A</v>
      </c>
      <c r="I408" s="16" t="e">
        <f>IF($C408="B",VLOOKUP($A408,Bat!$A$4:$BD$2323,I$1,FALSE),VLOOKUP($A408,Pit!$A$4:$AZ$2261,I$2,FALSE))</f>
        <v>#N/A</v>
      </c>
      <c r="J408" s="16" t="e">
        <f>IF($C408="B",VLOOKUP($A408,Bat!$A$4:$BD$2323,J$1,FALSE),VLOOKUP($A408,Pit!$A$4:$AZ$2261,J$2,FALSE))</f>
        <v>#N/A</v>
      </c>
      <c r="K408" s="17" t="e">
        <f>IF($C408="B",VLOOKUP($A408,Bat!$A$4:$BD$2323,K$1,FALSE),VLOOKUP($A408,Pit!$A$4:$AZ$2261,K$2,FALSE))</f>
        <v>#N/A</v>
      </c>
      <c r="L408" s="16" t="e">
        <f>IF($C408="B",VLOOKUP($A408,Bat!$A$4:$BD$2323,L$1,FALSE),VLOOKUP($A408,Pit!$A$4:$AZ$2261,L$2,FALSE))</f>
        <v>#N/A</v>
      </c>
      <c r="M408" s="16" t="e">
        <f>IF($C408="B",VLOOKUP($A408,Bat!$A$4:$BD$2323,M$1,FALSE),VLOOKUP($A408,Pit!$A$4:$AZ$2261,M$2,FALSE))</f>
        <v>#N/A</v>
      </c>
      <c r="N408" s="16" t="e">
        <f>IF($C408="B",VLOOKUP($A408,Bat!$A$4:$BD$2323,N$1,FALSE),VLOOKUP($A408,Pit!$A$4:$AZ$2261,N$2,FALSE))</f>
        <v>#N/A</v>
      </c>
      <c r="O408" s="16" t="e">
        <f>IF($C408="B",VLOOKUP($A408,Bat!$A$4:$BD$2323,O$1,FALSE),VLOOKUP($A408,Pit!$A$4:$AZ$2261,O$2,FALSE))</f>
        <v>#N/A</v>
      </c>
      <c r="P408" s="17" t="e">
        <f>IF($C408="B",VLOOKUP($A408,Bat!$A$4:$BD$2323,P$1,FALSE),VLOOKUP($A408,Pit!$A$4:$AZ$2261,P$2,FALSE))</f>
        <v>#N/A</v>
      </c>
      <c r="Q408" s="18" t="e">
        <f>IF($C408="B",VLOOKUP($A408,Bat!$A$4:$BD$2323,Q$1,FALSE),VLOOKUP($A408,Pit!$A$4:$AZ$2261,Q$2,FALSE))</f>
        <v>#N/A</v>
      </c>
      <c r="R408" s="19" t="e">
        <f>IF($C408="B",VLOOKUP($A408,Bat!$A$4:$BD$2323,R$1,FALSE),VLOOKUP($A408,Pit!$A$4:$AZ$2261,R$2,FALSE))</f>
        <v>#N/A</v>
      </c>
      <c r="S408" s="20" t="e">
        <f>IF($C408="B",VLOOKUP($A408,Bat!$A$4:$BD$2323,S$1,FALSE),VLOOKUP($A408,Pit!$A$4:$AZ$2261,S$2,FALSE))</f>
        <v>#N/A</v>
      </c>
      <c r="T408" s="17" t="e">
        <f>IF(S408="Slot","",VLOOKUP(IF($C408="B",VLOOKUP($A408,Bat!$A$4:$AT$2323,T$1,FALSE),VLOOKUP($A408,Pit!$A$4:$BD$2261,T$2,FALSE)),COND!$A$34:$B$40,2,FALSE))</f>
        <v>#N/A</v>
      </c>
      <c r="U408" s="21" t="e">
        <f>IF($C408="B",VLOOKUP($A408,Bat!$A$4:$AR$1287,44,FALSE),VLOOKUP($A408,Pit!$A$4:$BB$1239,54,FALSE))</f>
        <v>#N/A</v>
      </c>
      <c r="W408" s="21" t="e">
        <f t="shared" si="26"/>
        <v>#N/A</v>
      </c>
      <c r="X408" s="22" t="e">
        <f t="shared" si="27"/>
        <v>#N/A</v>
      </c>
      <c r="Y408" s="16" t="str">
        <f>IF(ISERROR(VLOOKUP($E408&amp;$F408,Results!$A$2:$G$413,Y$1,FALSE)),"",VLOOKUP($E408&amp;$F408,Results!$A$2:$G$413,Y$1,FALSE))</f>
        <v/>
      </c>
      <c r="Z408" s="16" t="str">
        <f>IF(ISERROR(VLOOKUP($E408&amp;$F408,Results!$A$2:$G$413,Z$1,FALSE)),"",VLOOKUP($E408&amp;$F408,Results!$A$2:$G$413,Z$1,FALSE))</f>
        <v/>
      </c>
      <c r="AA408" s="16" t="str">
        <f>IF(ISERROR(VLOOKUP($E408&amp;$F408,Results!$A$2:$G$413,AA$1,FALSE)),"",VLOOKUP($E408&amp;$F408,Results!$A$2:$G$413,AA$1,FALSE))</f>
        <v/>
      </c>
      <c r="AB408" s="16" t="str">
        <f>IF(ISERROR(VLOOKUP($E408&amp;$F408,Results!$A$2:$G$413,AB$1,FALSE)),"",VLOOKUP($E408&amp;$F408,Results!$A$2:$G$413,AB$1,FALSE))</f>
        <v/>
      </c>
      <c r="AC408" s="16"/>
      <c r="AD408" s="20" t="str">
        <f>IF(ISERROR(VLOOKUP($AB408&amp;"-"&amp;$F408,Bonuses!$B$1:$G$1000,4,FALSE)),"",INT(VLOOKUP($AB408&amp;"-"&amp;$F408,Bonuses!$B$1:$G$1000,4,FALSE)))</f>
        <v/>
      </c>
      <c r="AE408" s="16" t="str">
        <f>IF(ISERROR(VLOOKUP($AB408&amp;"-"&amp;$F408,Bonuses!$B$1:$G$1000,5,FALSE)),"",IF(VLOOKUP($AB408&amp;"-"&amp;$F408,Bonuses!$B$1:$G$1000,5,FALSE)="","",VLOOKUP($AB408&amp;"-"&amp;$F408,Bonuses!$B$1:$G$1000,6,FALSE)&amp;" yrs, "&amp;VLOOKUP($AB408&amp;"-"&amp;$F408,Bonuses!$B$1:$G$1000,5,FALSE)))</f>
        <v/>
      </c>
    </row>
    <row r="409" spans="1:31" s="21" customFormat="1">
      <c r="A409" s="21" t="s">
        <v>668</v>
      </c>
      <c r="B409" s="21">
        <f t="shared" si="24"/>
        <v>1</v>
      </c>
      <c r="C409" s="21" t="str">
        <f t="shared" si="25"/>
        <v>P</v>
      </c>
      <c r="D409" s="17">
        <f>IF($C409="B",VLOOKUP($A409,Bat!$A$4:$BD$2323,D$1,FALSE),VLOOKUP($A409,Pit!$A$4:$AZ$2261,D$2,FALSE))</f>
        <v>13918</v>
      </c>
      <c r="E409" s="16" t="str">
        <f>IF($C409="B",VLOOKUP($A409,Bat!$A$4:$BD$2323,E$1,FALSE),VLOOKUP($A409,Pit!$A$4:$AZ$2261,E$2,FALSE))</f>
        <v>SP</v>
      </c>
      <c r="F409" s="16" t="str">
        <f>IF($C409="B",VLOOKUP($A409,Bat!$A$4:$BD$2323,F$1,FALSE),VLOOKUP($A409,Pit!$A$4:$AZ$2261,F$2,FALSE))</f>
        <v>Jim Cox</v>
      </c>
      <c r="G409" s="16">
        <f>IF($C409="B",VLOOKUP($A409,Bat!$A$4:$BD$2323,G$1,FALSE),VLOOKUP($A409,Pit!$A$4:$AZ$2261,G$2,FALSE))</f>
        <v>18</v>
      </c>
      <c r="H409" s="16" t="str">
        <f>IF($C409="B",VLOOKUP($A409,Bat!$A$4:$BD$2323,H$1,FALSE),VLOOKUP($A409,Pit!$A$4:$AZ$2261,H$2,FALSE))</f>
        <v>L</v>
      </c>
      <c r="I409" s="16" t="str">
        <f>IF($C409="B",VLOOKUP($A409,Bat!$A$4:$BD$2323,I$1,FALSE),VLOOKUP($A409,Pit!$A$4:$AZ$2261,I$2,FALSE))</f>
        <v>L</v>
      </c>
      <c r="J409" s="16" t="str">
        <f>IF($C409="B",VLOOKUP($A409,Bat!$A$4:$BD$2323,J$1,FALSE),VLOOKUP($A409,Pit!$A$4:$AZ$2261,J$2,FALSE))</f>
        <v>Low</v>
      </c>
      <c r="K409" s="17" t="str">
        <f>IF($C409="B",VLOOKUP($A409,Bat!$A$4:$BD$2323,K$1,FALSE),VLOOKUP($A409,Pit!$A$4:$AZ$2261,K$2,FALSE))</f>
        <v>Low</v>
      </c>
      <c r="L409" s="16">
        <f>IF($C409="B",VLOOKUP($A409,Bat!$A$4:$BD$2323,L$1,FALSE),VLOOKUP($A409,Pit!$A$4:$AZ$2261,L$2,FALSE))</f>
        <v>5</v>
      </c>
      <c r="M409" s="16">
        <f>IF($C409="B",VLOOKUP($A409,Bat!$A$4:$BD$2323,M$1,FALSE),VLOOKUP($A409,Pit!$A$4:$AZ$2261,M$2,FALSE))</f>
        <v>5</v>
      </c>
      <c r="N409" s="16">
        <f>IF($C409="B",VLOOKUP($A409,Bat!$A$4:$BD$2323,N$1,FALSE),VLOOKUP($A409,Pit!$A$4:$AZ$2261,N$2,FALSE))</f>
        <v>3</v>
      </c>
      <c r="O409" s="16" t="str">
        <f>IF($C409="B",VLOOKUP($A409,Bat!$A$4:$BD$2323,O$1,FALSE),VLOOKUP($A409,Pit!$A$4:$AZ$2261,O$2,FALSE))</f>
        <v>90-92 Mph</v>
      </c>
      <c r="P409" s="17">
        <f>IF($C409="B",VLOOKUP($A409,Bat!$A$4:$BD$2323,P$1,FALSE),VLOOKUP($A409,Pit!$A$4:$AZ$2261,P$2,FALSE))</f>
        <v>7</v>
      </c>
      <c r="Q409" s="18">
        <f>IF($C409="B",VLOOKUP($A409,Bat!$A$4:$BD$2323,Q$1,FALSE),VLOOKUP($A409,Pit!$A$4:$AZ$2261,Q$2,FALSE))</f>
        <v>29.187714884760386</v>
      </c>
      <c r="R409" s="19">
        <f>IF($C409="B",VLOOKUP($A409,Bat!$A$4:$BD$2323,R$1,FALSE),VLOOKUP($A409,Pit!$A$4:$AZ$2261,R$2,FALSE))</f>
        <v>-0.3757773400367686</v>
      </c>
      <c r="S409" s="20" t="str">
        <f>IF($C409="B",VLOOKUP($A409,Bat!$A$4:$BD$2323,S$1,FALSE),VLOOKUP($A409,Pit!$A$4:$AZ$2261,S$2,FALSE))</f>
        <v>Slot</v>
      </c>
      <c r="T409" s="17" t="str">
        <f>IF(S409="Slot","",VLOOKUP(IF($C409="B",VLOOKUP($A409,Bat!$A$4:$AT$2323,T$1,FALSE),VLOOKUP($A409,Pit!$A$4:$BD$2261,T$2,FALSE)),COND!$A$34:$B$40,2,FALSE))</f>
        <v/>
      </c>
      <c r="U409" s="21">
        <f>IF($C409="B",VLOOKUP($A409,Bat!$A$4:$AR$1287,44,FALSE),VLOOKUP($A409,Pit!$A$4:$BB$1239,54,FALSE))</f>
        <v>0</v>
      </c>
      <c r="W409" s="21">
        <f t="shared" si="26"/>
        <v>0</v>
      </c>
      <c r="X409" s="22" t="e">
        <f t="shared" si="27"/>
        <v>#N/A</v>
      </c>
      <c r="Y409" s="16" t="str">
        <f>IF(ISERROR(VLOOKUP($E409&amp;$F409,Results!$A$2:$G$413,Y$1,FALSE)),"",VLOOKUP($E409&amp;$F409,Results!$A$2:$G$413,Y$1,FALSE))</f>
        <v/>
      </c>
      <c r="Z409" s="16" t="str">
        <f>IF(ISERROR(VLOOKUP($E409&amp;$F409,Results!$A$2:$G$413,Z$1,FALSE)),"",VLOOKUP($E409&amp;$F409,Results!$A$2:$G$413,Z$1,FALSE))</f>
        <v/>
      </c>
      <c r="AA409" s="16" t="str">
        <f>IF(ISERROR(VLOOKUP($E409&amp;$F409,Results!$A$2:$G$413,AA$1,FALSE)),"",VLOOKUP($E409&amp;$F409,Results!$A$2:$G$413,AA$1,FALSE))</f>
        <v/>
      </c>
      <c r="AB409" s="16" t="str">
        <f>IF(ISERROR(VLOOKUP($E409&amp;$F409,Results!$A$2:$G$413,AB$1,FALSE)),"",VLOOKUP($E409&amp;$F409,Results!$A$2:$G$413,AB$1,FALSE))</f>
        <v/>
      </c>
      <c r="AC409" s="16"/>
      <c r="AD409" s="20" t="str">
        <f>IF(ISERROR(VLOOKUP($AB409&amp;"-"&amp;$F409,Bonuses!$B$1:$G$1000,4,FALSE)),"",INT(VLOOKUP($AB409&amp;"-"&amp;$F409,Bonuses!$B$1:$G$1000,4,FALSE)))</f>
        <v/>
      </c>
      <c r="AE409" s="16" t="str">
        <f>IF(ISERROR(VLOOKUP($AB409&amp;"-"&amp;$F409,Bonuses!$B$1:$G$1000,5,FALSE)),"",IF(VLOOKUP($AB409&amp;"-"&amp;$F409,Bonuses!$B$1:$G$1000,5,FALSE)="","",VLOOKUP($AB409&amp;"-"&amp;$F409,Bonuses!$B$1:$G$1000,6,FALSE)&amp;" yrs, "&amp;VLOOKUP($AB409&amp;"-"&amp;$F409,Bonuses!$B$1:$G$1000,5,FALSE)))</f>
        <v/>
      </c>
    </row>
    <row r="410" spans="1:31" s="21" customFormat="1">
      <c r="A410" s="21" t="s">
        <v>597</v>
      </c>
      <c r="B410" s="21">
        <f t="shared" si="24"/>
        <v>1</v>
      </c>
      <c r="C410" s="21" t="str">
        <f t="shared" si="25"/>
        <v>P</v>
      </c>
      <c r="D410" s="17" t="e">
        <f>IF($C410="B",VLOOKUP($A410,Bat!$A$4:$BD$2323,D$1,FALSE),VLOOKUP($A410,Pit!$A$4:$AZ$2261,D$2,FALSE))</f>
        <v>#N/A</v>
      </c>
      <c r="E410" s="16" t="e">
        <f>IF($C410="B",VLOOKUP($A410,Bat!$A$4:$BD$2323,E$1,FALSE),VLOOKUP($A410,Pit!$A$4:$AZ$2261,E$2,FALSE))</f>
        <v>#N/A</v>
      </c>
      <c r="F410" s="16" t="e">
        <f>IF($C410="B",VLOOKUP($A410,Bat!$A$4:$BD$2323,F$1,FALSE),VLOOKUP($A410,Pit!$A$4:$AZ$2261,F$2,FALSE))</f>
        <v>#N/A</v>
      </c>
      <c r="G410" s="16" t="e">
        <f>IF($C410="B",VLOOKUP($A410,Bat!$A$4:$BD$2323,G$1,FALSE),VLOOKUP($A410,Pit!$A$4:$AZ$2261,G$2,FALSE))</f>
        <v>#N/A</v>
      </c>
      <c r="H410" s="16" t="e">
        <f>IF($C410="B",VLOOKUP($A410,Bat!$A$4:$BD$2323,H$1,FALSE),VLOOKUP($A410,Pit!$A$4:$AZ$2261,H$2,FALSE))</f>
        <v>#N/A</v>
      </c>
      <c r="I410" s="16" t="e">
        <f>IF($C410="B",VLOOKUP($A410,Bat!$A$4:$BD$2323,I$1,FALSE),VLOOKUP($A410,Pit!$A$4:$AZ$2261,I$2,FALSE))</f>
        <v>#N/A</v>
      </c>
      <c r="J410" s="16" t="e">
        <f>IF($C410="B",VLOOKUP($A410,Bat!$A$4:$BD$2323,J$1,FALSE),VLOOKUP($A410,Pit!$A$4:$AZ$2261,J$2,FALSE))</f>
        <v>#N/A</v>
      </c>
      <c r="K410" s="17" t="e">
        <f>IF($C410="B",VLOOKUP($A410,Bat!$A$4:$BD$2323,K$1,FALSE),VLOOKUP($A410,Pit!$A$4:$AZ$2261,K$2,FALSE))</f>
        <v>#N/A</v>
      </c>
      <c r="L410" s="16" t="e">
        <f>IF($C410="B",VLOOKUP($A410,Bat!$A$4:$BD$2323,L$1,FALSE),VLOOKUP($A410,Pit!$A$4:$AZ$2261,L$2,FALSE))</f>
        <v>#N/A</v>
      </c>
      <c r="M410" s="16" t="e">
        <f>IF($C410="B",VLOOKUP($A410,Bat!$A$4:$BD$2323,M$1,FALSE),VLOOKUP($A410,Pit!$A$4:$AZ$2261,M$2,FALSE))</f>
        <v>#N/A</v>
      </c>
      <c r="N410" s="16" t="e">
        <f>IF($C410="B",VLOOKUP($A410,Bat!$A$4:$BD$2323,N$1,FALSE),VLOOKUP($A410,Pit!$A$4:$AZ$2261,N$2,FALSE))</f>
        <v>#N/A</v>
      </c>
      <c r="O410" s="16" t="e">
        <f>IF($C410="B",VLOOKUP($A410,Bat!$A$4:$BD$2323,O$1,FALSE),VLOOKUP($A410,Pit!$A$4:$AZ$2261,O$2,FALSE))</f>
        <v>#N/A</v>
      </c>
      <c r="P410" s="17" t="e">
        <f>IF($C410="B",VLOOKUP($A410,Bat!$A$4:$BD$2323,P$1,FALSE),VLOOKUP($A410,Pit!$A$4:$AZ$2261,P$2,FALSE))</f>
        <v>#N/A</v>
      </c>
      <c r="Q410" s="18" t="e">
        <f>IF($C410="B",VLOOKUP($A410,Bat!$A$4:$BD$2323,Q$1,FALSE),VLOOKUP($A410,Pit!$A$4:$AZ$2261,Q$2,FALSE))</f>
        <v>#N/A</v>
      </c>
      <c r="R410" s="19" t="e">
        <f>IF($C410="B",VLOOKUP($A410,Bat!$A$4:$BD$2323,R$1,FALSE),VLOOKUP($A410,Pit!$A$4:$AZ$2261,R$2,FALSE))</f>
        <v>#N/A</v>
      </c>
      <c r="S410" s="20" t="e">
        <f>IF($C410="B",VLOOKUP($A410,Bat!$A$4:$BD$2323,S$1,FALSE),VLOOKUP($A410,Pit!$A$4:$AZ$2261,S$2,FALSE))</f>
        <v>#N/A</v>
      </c>
      <c r="T410" s="17" t="e">
        <f>IF(S410="Slot","",VLOOKUP(IF($C410="B",VLOOKUP($A410,Bat!$A$4:$AT$2323,T$1,FALSE),VLOOKUP($A410,Pit!$A$4:$BD$2261,T$2,FALSE)),COND!$A$34:$B$40,2,FALSE))</f>
        <v>#N/A</v>
      </c>
      <c r="U410" s="21" t="e">
        <f>IF($C410="B",VLOOKUP($A410,Bat!$A$4:$AR$1287,44,FALSE),VLOOKUP($A410,Pit!$A$4:$BB$1239,54,FALSE))</f>
        <v>#N/A</v>
      </c>
      <c r="W410" s="21" t="e">
        <f t="shared" si="26"/>
        <v>#N/A</v>
      </c>
      <c r="X410" s="22" t="e">
        <f t="shared" si="27"/>
        <v>#N/A</v>
      </c>
      <c r="Y410" s="16" t="str">
        <f>IF(ISERROR(VLOOKUP($E410&amp;$F410,Results!$A$2:$G$413,Y$1,FALSE)),"",VLOOKUP($E410&amp;$F410,Results!$A$2:$G$413,Y$1,FALSE))</f>
        <v/>
      </c>
      <c r="Z410" s="16" t="str">
        <f>IF(ISERROR(VLOOKUP($E410&amp;$F410,Results!$A$2:$G$413,Z$1,FALSE)),"",VLOOKUP($E410&amp;$F410,Results!$A$2:$G$413,Z$1,FALSE))</f>
        <v/>
      </c>
      <c r="AA410" s="16" t="str">
        <f>IF(ISERROR(VLOOKUP($E410&amp;$F410,Results!$A$2:$G$413,AA$1,FALSE)),"",VLOOKUP($E410&amp;$F410,Results!$A$2:$G$413,AA$1,FALSE))</f>
        <v/>
      </c>
      <c r="AB410" s="16" t="str">
        <f>IF(ISERROR(VLOOKUP($E410&amp;$F410,Results!$A$2:$G$413,AB$1,FALSE)),"",VLOOKUP($E410&amp;$F410,Results!$A$2:$G$413,AB$1,FALSE))</f>
        <v/>
      </c>
      <c r="AC410" s="16"/>
      <c r="AD410" s="20" t="str">
        <f>IF(ISERROR(VLOOKUP($AB410&amp;"-"&amp;$F410,Bonuses!$B$1:$G$1000,4,FALSE)),"",INT(VLOOKUP($AB410&amp;"-"&amp;$F410,Bonuses!$B$1:$G$1000,4,FALSE)))</f>
        <v/>
      </c>
      <c r="AE410" s="16" t="str">
        <f>IF(ISERROR(VLOOKUP($AB410&amp;"-"&amp;$F410,Bonuses!$B$1:$G$1000,5,FALSE)),"",IF(VLOOKUP($AB410&amp;"-"&amp;$F410,Bonuses!$B$1:$G$1000,5,FALSE)="","",VLOOKUP($AB410&amp;"-"&amp;$F410,Bonuses!$B$1:$G$1000,6,FALSE)&amp;" yrs, "&amp;VLOOKUP($AB410&amp;"-"&amp;$F410,Bonuses!$B$1:$G$1000,5,FALSE)))</f>
        <v/>
      </c>
    </row>
    <row r="411" spans="1:31" s="21" customFormat="1">
      <c r="A411" s="21" t="s">
        <v>722</v>
      </c>
      <c r="B411" s="21">
        <f t="shared" si="24"/>
        <v>1</v>
      </c>
      <c r="C411" s="21" t="str">
        <f t="shared" si="25"/>
        <v>P</v>
      </c>
      <c r="D411" s="17">
        <f>IF($C411="B",VLOOKUP($A411,Bat!$A$4:$BD$2323,D$1,FALSE),VLOOKUP($A411,Pit!$A$4:$AZ$2261,D$2,FALSE))</f>
        <v>7035</v>
      </c>
      <c r="E411" s="16" t="str">
        <f>IF($C411="B",VLOOKUP($A411,Bat!$A$4:$BD$2323,E$1,FALSE),VLOOKUP($A411,Pit!$A$4:$AZ$2261,E$2,FALSE))</f>
        <v>MR</v>
      </c>
      <c r="F411" s="16" t="str">
        <f>IF($C411="B",VLOOKUP($A411,Bat!$A$4:$BD$2323,F$1,FALSE),VLOOKUP($A411,Pit!$A$4:$AZ$2261,F$2,FALSE))</f>
        <v>Carlos Herrera</v>
      </c>
      <c r="G411" s="16">
        <f>IF($C411="B",VLOOKUP($A411,Bat!$A$4:$BD$2323,G$1,FALSE),VLOOKUP($A411,Pit!$A$4:$AZ$2261,G$2,FALSE))</f>
        <v>21</v>
      </c>
      <c r="H411" s="16" t="str">
        <f>IF($C411="B",VLOOKUP($A411,Bat!$A$4:$BD$2323,H$1,FALSE),VLOOKUP($A411,Pit!$A$4:$AZ$2261,H$2,FALSE))</f>
        <v>R</v>
      </c>
      <c r="I411" s="16" t="str">
        <f>IF($C411="B",VLOOKUP($A411,Bat!$A$4:$BD$2323,I$1,FALSE),VLOOKUP($A411,Pit!$A$4:$AZ$2261,I$2,FALSE))</f>
        <v>R</v>
      </c>
      <c r="J411" s="16" t="str">
        <f>IF($C411="B",VLOOKUP($A411,Bat!$A$4:$BD$2323,J$1,FALSE),VLOOKUP($A411,Pit!$A$4:$AZ$2261,J$2,FALSE))</f>
        <v>Low</v>
      </c>
      <c r="K411" s="17" t="str">
        <f>IF($C411="B",VLOOKUP($A411,Bat!$A$4:$BD$2323,K$1,FALSE),VLOOKUP($A411,Pit!$A$4:$AZ$2261,K$2,FALSE))</f>
        <v>Very High</v>
      </c>
      <c r="L411" s="16">
        <f>IF($C411="B",VLOOKUP($A411,Bat!$A$4:$BD$2323,L$1,FALSE),VLOOKUP($A411,Pit!$A$4:$AZ$2261,L$2,FALSE))</f>
        <v>4</v>
      </c>
      <c r="M411" s="16">
        <f>IF($C411="B",VLOOKUP($A411,Bat!$A$4:$BD$2323,M$1,FALSE),VLOOKUP($A411,Pit!$A$4:$AZ$2261,M$2,FALSE))</f>
        <v>4</v>
      </c>
      <c r="N411" s="16">
        <f>IF($C411="B",VLOOKUP($A411,Bat!$A$4:$BD$2323,N$1,FALSE),VLOOKUP($A411,Pit!$A$4:$AZ$2261,N$2,FALSE))</f>
        <v>5</v>
      </c>
      <c r="O411" s="16" t="str">
        <f>IF($C411="B",VLOOKUP($A411,Bat!$A$4:$BD$2323,O$1,FALSE),VLOOKUP($A411,Pit!$A$4:$AZ$2261,O$2,FALSE))</f>
        <v>91-93 Mph</v>
      </c>
      <c r="P411" s="17">
        <f>IF($C411="B",VLOOKUP($A411,Bat!$A$4:$BD$2323,P$1,FALSE),VLOOKUP($A411,Pit!$A$4:$AZ$2261,P$2,FALSE))</f>
        <v>4</v>
      </c>
      <c r="Q411" s="18">
        <f>IF($C411="B",VLOOKUP($A411,Bat!$A$4:$BD$2323,Q$1,FALSE),VLOOKUP($A411,Pit!$A$4:$AZ$2261,Q$2,FALSE))</f>
        <v>29.790746039490514</v>
      </c>
      <c r="R411" s="19">
        <f>IF($C411="B",VLOOKUP($A411,Bat!$A$4:$BD$2323,R$1,FALSE),VLOOKUP($A411,Pit!$A$4:$AZ$2261,R$2,FALSE))</f>
        <v>-0.32790478292535175</v>
      </c>
      <c r="S411" s="20" t="str">
        <f>IF($C411="B",VLOOKUP($A411,Bat!$A$4:$BD$2323,S$1,FALSE),VLOOKUP($A411,Pit!$A$4:$AZ$2261,S$2,FALSE))</f>
        <v>Slot</v>
      </c>
      <c r="T411" s="17" t="str">
        <f>IF(S411="Slot","",VLOOKUP(IF($C411="B",VLOOKUP($A411,Bat!$A$4:$AT$2323,T$1,FALSE),VLOOKUP($A411,Pit!$A$4:$BD$2261,T$2,FALSE)),COND!$A$34:$B$40,2,FALSE))</f>
        <v/>
      </c>
      <c r="U411" s="21">
        <f>IF($C411="B",VLOOKUP($A411,Bat!$A$4:$AR$1287,44,FALSE),VLOOKUP($A411,Pit!$A$4:$BB$1239,54,FALSE))</f>
        <v>0</v>
      </c>
      <c r="W411" s="21">
        <f t="shared" si="26"/>
        <v>0</v>
      </c>
      <c r="X411" s="22" t="e">
        <f t="shared" si="27"/>
        <v>#N/A</v>
      </c>
      <c r="Y411" s="16" t="str">
        <f>IF(ISERROR(VLOOKUP($E411&amp;$F411,Results!$A$2:$G$413,Y$1,FALSE)),"",VLOOKUP($E411&amp;$F411,Results!$A$2:$G$413,Y$1,FALSE))</f>
        <v/>
      </c>
      <c r="Z411" s="16" t="str">
        <f>IF(ISERROR(VLOOKUP($E411&amp;$F411,Results!$A$2:$G$413,Z$1,FALSE)),"",VLOOKUP($E411&amp;$F411,Results!$A$2:$G$413,Z$1,FALSE))</f>
        <v/>
      </c>
      <c r="AA411" s="16" t="str">
        <f>IF(ISERROR(VLOOKUP($E411&amp;$F411,Results!$A$2:$G$413,AA$1,FALSE)),"",VLOOKUP($E411&amp;$F411,Results!$A$2:$G$413,AA$1,FALSE))</f>
        <v/>
      </c>
      <c r="AB411" s="16" t="str">
        <f>IF(ISERROR(VLOOKUP($E411&amp;$F411,Results!$A$2:$G$413,AB$1,FALSE)),"",VLOOKUP($E411&amp;$F411,Results!$A$2:$G$413,AB$1,FALSE))</f>
        <v/>
      </c>
      <c r="AC411" s="16"/>
      <c r="AD411" s="20" t="str">
        <f>IF(ISERROR(VLOOKUP($AB411&amp;"-"&amp;$F411,Bonuses!$B$1:$G$1000,4,FALSE)),"",INT(VLOOKUP($AB411&amp;"-"&amp;$F411,Bonuses!$B$1:$G$1000,4,FALSE)))</f>
        <v/>
      </c>
      <c r="AE411" s="16" t="str">
        <f>IF(ISERROR(VLOOKUP($AB411&amp;"-"&amp;$F411,Bonuses!$B$1:$G$1000,5,FALSE)),"",IF(VLOOKUP($AB411&amp;"-"&amp;$F411,Bonuses!$B$1:$G$1000,5,FALSE)="","",VLOOKUP($AB411&amp;"-"&amp;$F411,Bonuses!$B$1:$G$1000,6,FALSE)&amp;" yrs, "&amp;VLOOKUP($AB411&amp;"-"&amp;$F411,Bonuses!$B$1:$G$1000,5,FALSE)))</f>
        <v/>
      </c>
    </row>
    <row r="412" spans="1:31" s="21" customFormat="1">
      <c r="A412" s="21" t="s">
        <v>663</v>
      </c>
      <c r="B412" s="21">
        <f t="shared" si="24"/>
        <v>1</v>
      </c>
      <c r="C412" s="21" t="str">
        <f t="shared" si="25"/>
        <v>P</v>
      </c>
      <c r="D412" s="17">
        <f>IF($C412="B",VLOOKUP($A412,Bat!$A$4:$BD$2323,D$1,FALSE),VLOOKUP($A412,Pit!$A$4:$AZ$2261,D$2,FALSE))</f>
        <v>2283</v>
      </c>
      <c r="E412" s="16" t="str">
        <f>IF($C412="B",VLOOKUP($A412,Bat!$A$4:$BD$2323,E$1,FALSE),VLOOKUP($A412,Pit!$A$4:$AZ$2261,E$2,FALSE))</f>
        <v>MR</v>
      </c>
      <c r="F412" s="16" t="str">
        <f>IF($C412="B",VLOOKUP($A412,Bat!$A$4:$BD$2323,F$1,FALSE),VLOOKUP($A412,Pit!$A$4:$AZ$2261,F$2,FALSE))</f>
        <v>Marcos García</v>
      </c>
      <c r="G412" s="16">
        <f>IF($C412="B",VLOOKUP($A412,Bat!$A$4:$BD$2323,G$1,FALSE),VLOOKUP($A412,Pit!$A$4:$AZ$2261,G$2,FALSE))</f>
        <v>21</v>
      </c>
      <c r="H412" s="16" t="str">
        <f>IF($C412="B",VLOOKUP($A412,Bat!$A$4:$BD$2323,H$1,FALSE),VLOOKUP($A412,Pit!$A$4:$AZ$2261,H$2,FALSE))</f>
        <v>R</v>
      </c>
      <c r="I412" s="16" t="str">
        <f>IF($C412="B",VLOOKUP($A412,Bat!$A$4:$BD$2323,I$1,FALSE),VLOOKUP($A412,Pit!$A$4:$AZ$2261,I$2,FALSE))</f>
        <v>L</v>
      </c>
      <c r="J412" s="16" t="str">
        <f>IF($C412="B",VLOOKUP($A412,Bat!$A$4:$BD$2323,J$1,FALSE),VLOOKUP($A412,Pit!$A$4:$AZ$2261,J$2,FALSE))</f>
        <v>Very Low</v>
      </c>
      <c r="K412" s="17" t="str">
        <f>IF($C412="B",VLOOKUP($A412,Bat!$A$4:$BD$2323,K$1,FALSE),VLOOKUP($A412,Pit!$A$4:$AZ$2261,K$2,FALSE))</f>
        <v>Low</v>
      </c>
      <c r="L412" s="16">
        <f>IF($C412="B",VLOOKUP($A412,Bat!$A$4:$BD$2323,L$1,FALSE),VLOOKUP($A412,Pit!$A$4:$AZ$2261,L$2,FALSE))</f>
        <v>5</v>
      </c>
      <c r="M412" s="16">
        <f>IF($C412="B",VLOOKUP($A412,Bat!$A$4:$BD$2323,M$1,FALSE),VLOOKUP($A412,Pit!$A$4:$AZ$2261,M$2,FALSE))</f>
        <v>4</v>
      </c>
      <c r="N412" s="16">
        <f>IF($C412="B",VLOOKUP($A412,Bat!$A$4:$BD$2323,N$1,FALSE),VLOOKUP($A412,Pit!$A$4:$AZ$2261,N$2,FALSE))</f>
        <v>4</v>
      </c>
      <c r="O412" s="16" t="str">
        <f>IF($C412="B",VLOOKUP($A412,Bat!$A$4:$BD$2323,O$1,FALSE),VLOOKUP($A412,Pit!$A$4:$AZ$2261,O$2,FALSE))</f>
        <v>95-97 Mph</v>
      </c>
      <c r="P412" s="17">
        <f>IF($C412="B",VLOOKUP($A412,Bat!$A$4:$BD$2323,P$1,FALSE),VLOOKUP($A412,Pit!$A$4:$AZ$2261,P$2,FALSE))</f>
        <v>6</v>
      </c>
      <c r="Q412" s="18">
        <f>IF($C412="B",VLOOKUP($A412,Bat!$A$4:$BD$2323,Q$1,FALSE),VLOOKUP($A412,Pit!$A$4:$AZ$2261,Q$2,FALSE))</f>
        <v>27.946323406712477</v>
      </c>
      <c r="R412" s="19">
        <f>IF($C412="B",VLOOKUP($A412,Bat!$A$4:$BD$2323,R$1,FALSE),VLOOKUP($A412,Pit!$A$4:$AZ$2261,R$2,FALSE))</f>
        <v>-0.47432711472804556</v>
      </c>
      <c r="S412" s="20" t="str">
        <f>IF($C412="B",VLOOKUP($A412,Bat!$A$4:$BD$2323,S$1,FALSE),VLOOKUP($A412,Pit!$A$4:$AZ$2261,S$2,FALSE))</f>
        <v>Slot</v>
      </c>
      <c r="T412" s="17" t="str">
        <f>IF(S412="Slot","",VLOOKUP(IF($C412="B",VLOOKUP($A412,Bat!$A$4:$AT$2323,T$1,FALSE),VLOOKUP($A412,Pit!$A$4:$BD$2261,T$2,FALSE)),COND!$A$34:$B$40,2,FALSE))</f>
        <v/>
      </c>
      <c r="U412" s="21">
        <f>IF($C412="B",VLOOKUP($A412,Bat!$A$4:$AR$1287,44,FALSE),VLOOKUP($A412,Pit!$A$4:$BB$1239,54,FALSE))</f>
        <v>0</v>
      </c>
      <c r="W412" s="21">
        <f t="shared" si="26"/>
        <v>0</v>
      </c>
      <c r="X412" s="22" t="e">
        <f t="shared" si="27"/>
        <v>#N/A</v>
      </c>
      <c r="Y412" s="16" t="str">
        <f>IF(ISERROR(VLOOKUP($E412&amp;$F412,Results!$A$2:$G$413,Y$1,FALSE)),"",VLOOKUP($E412&amp;$F412,Results!$A$2:$G$413,Y$1,FALSE))</f>
        <v/>
      </c>
      <c r="Z412" s="16" t="str">
        <f>IF(ISERROR(VLOOKUP($E412&amp;$F412,Results!$A$2:$G$413,Z$1,FALSE)),"",VLOOKUP($E412&amp;$F412,Results!$A$2:$G$413,Z$1,FALSE))</f>
        <v/>
      </c>
      <c r="AA412" s="16" t="str">
        <f>IF(ISERROR(VLOOKUP($E412&amp;$F412,Results!$A$2:$G$413,AA$1,FALSE)),"",VLOOKUP($E412&amp;$F412,Results!$A$2:$G$413,AA$1,FALSE))</f>
        <v/>
      </c>
      <c r="AB412" s="16" t="str">
        <f>IF(ISERROR(VLOOKUP($E412&amp;$F412,Results!$A$2:$G$413,AB$1,FALSE)),"",VLOOKUP($E412&amp;$F412,Results!$A$2:$G$413,AB$1,FALSE))</f>
        <v/>
      </c>
      <c r="AC412" s="16"/>
      <c r="AD412" s="20" t="str">
        <f>IF(ISERROR(VLOOKUP($AB412&amp;"-"&amp;$F412,Bonuses!$B$1:$G$1000,4,FALSE)),"",INT(VLOOKUP($AB412&amp;"-"&amp;$F412,Bonuses!$B$1:$G$1000,4,FALSE)))</f>
        <v/>
      </c>
      <c r="AE412" s="16" t="str">
        <f>IF(ISERROR(VLOOKUP($AB412&amp;"-"&amp;$F412,Bonuses!$B$1:$G$1000,5,FALSE)),"",IF(VLOOKUP($AB412&amp;"-"&amp;$F412,Bonuses!$B$1:$G$1000,5,FALSE)="","",VLOOKUP($AB412&amp;"-"&amp;$F412,Bonuses!$B$1:$G$1000,6,FALSE)&amp;" yrs, "&amp;VLOOKUP($AB412&amp;"-"&amp;$F412,Bonuses!$B$1:$G$1000,5,FALSE)))</f>
        <v/>
      </c>
    </row>
    <row r="413" spans="1:31" s="21" customFormat="1">
      <c r="A413" s="21" t="s">
        <v>682</v>
      </c>
      <c r="B413" s="21">
        <f t="shared" si="24"/>
        <v>1</v>
      </c>
      <c r="C413" s="21" t="str">
        <f t="shared" si="25"/>
        <v>P</v>
      </c>
      <c r="D413" s="17">
        <f>IF($C413="B",VLOOKUP($A413,Bat!$A$4:$BD$2323,D$1,FALSE),VLOOKUP($A413,Pit!$A$4:$AZ$2261,D$2,FALSE))</f>
        <v>8641</v>
      </c>
      <c r="E413" s="16" t="str">
        <f>IF($C413="B",VLOOKUP($A413,Bat!$A$4:$BD$2323,E$1,FALSE),VLOOKUP($A413,Pit!$A$4:$AZ$2261,E$2,FALSE))</f>
        <v>MR</v>
      </c>
      <c r="F413" s="16" t="str">
        <f>IF($C413="B",VLOOKUP($A413,Bat!$A$4:$BD$2323,F$1,FALSE),VLOOKUP($A413,Pit!$A$4:$AZ$2261,F$2,FALSE))</f>
        <v>Juan Campos</v>
      </c>
      <c r="G413" s="16">
        <f>IF($C413="B",VLOOKUP($A413,Bat!$A$4:$BD$2323,G$1,FALSE),VLOOKUP($A413,Pit!$A$4:$AZ$2261,G$2,FALSE))</f>
        <v>21</v>
      </c>
      <c r="H413" s="16" t="str">
        <f>IF($C413="B",VLOOKUP($A413,Bat!$A$4:$BD$2323,H$1,FALSE),VLOOKUP($A413,Pit!$A$4:$AZ$2261,H$2,FALSE))</f>
        <v>L</v>
      </c>
      <c r="I413" s="16" t="str">
        <f>IF($C413="B",VLOOKUP($A413,Bat!$A$4:$BD$2323,I$1,FALSE),VLOOKUP($A413,Pit!$A$4:$AZ$2261,I$2,FALSE))</f>
        <v>L</v>
      </c>
      <c r="J413" s="16" t="str">
        <f>IF($C413="B",VLOOKUP($A413,Bat!$A$4:$BD$2323,J$1,FALSE),VLOOKUP($A413,Pit!$A$4:$AZ$2261,J$2,FALSE))</f>
        <v>Normal</v>
      </c>
      <c r="K413" s="17" t="str">
        <f>IF($C413="B",VLOOKUP($A413,Bat!$A$4:$BD$2323,K$1,FALSE),VLOOKUP($A413,Pit!$A$4:$AZ$2261,K$2,FALSE))</f>
        <v>High</v>
      </c>
      <c r="L413" s="16">
        <f>IF($C413="B",VLOOKUP($A413,Bat!$A$4:$BD$2323,L$1,FALSE),VLOOKUP($A413,Pit!$A$4:$AZ$2261,L$2,FALSE))</f>
        <v>7</v>
      </c>
      <c r="M413" s="16">
        <f>IF($C413="B",VLOOKUP($A413,Bat!$A$4:$BD$2323,M$1,FALSE),VLOOKUP($A413,Pit!$A$4:$AZ$2261,M$2,FALSE))</f>
        <v>3</v>
      </c>
      <c r="N413" s="16">
        <f>IF($C413="B",VLOOKUP($A413,Bat!$A$4:$BD$2323,N$1,FALSE),VLOOKUP($A413,Pit!$A$4:$AZ$2261,N$2,FALSE))</f>
        <v>3</v>
      </c>
      <c r="O413" s="16" t="str">
        <f>IF($C413="B",VLOOKUP($A413,Bat!$A$4:$BD$2323,O$1,FALSE),VLOOKUP($A413,Pit!$A$4:$AZ$2261,O$2,FALSE))</f>
        <v>94-96 Mph</v>
      </c>
      <c r="P413" s="17">
        <f>IF($C413="B",VLOOKUP($A413,Bat!$A$4:$BD$2323,P$1,FALSE),VLOOKUP($A413,Pit!$A$4:$AZ$2261,P$2,FALSE))</f>
        <v>2</v>
      </c>
      <c r="Q413" s="18">
        <f>IF($C413="B",VLOOKUP($A413,Bat!$A$4:$BD$2323,Q$1,FALSE),VLOOKUP($A413,Pit!$A$4:$AZ$2261,Q$2,FALSE))</f>
        <v>30.334432748974006</v>
      </c>
      <c r="R413" s="19">
        <f>IF($C413="B",VLOOKUP($A413,Bat!$A$4:$BD$2323,R$1,FALSE),VLOOKUP($A413,Pit!$A$4:$AZ$2261,R$2,FALSE))</f>
        <v>-0.28474337601244559</v>
      </c>
      <c r="S413" s="20" t="str">
        <f>IF($C413="B",VLOOKUP($A413,Bat!$A$4:$BD$2323,S$1,FALSE),VLOOKUP($A413,Pit!$A$4:$AZ$2261,S$2,FALSE))</f>
        <v>Slot</v>
      </c>
      <c r="T413" s="17" t="str">
        <f>IF(S413="Slot","",VLOOKUP(IF($C413="B",VLOOKUP($A413,Bat!$A$4:$AT$2323,T$1,FALSE),VLOOKUP($A413,Pit!$A$4:$BD$2261,T$2,FALSE)),COND!$A$34:$B$40,2,FALSE))</f>
        <v/>
      </c>
      <c r="U413" s="21">
        <f>IF($C413="B",VLOOKUP($A413,Bat!$A$4:$AR$1287,44,FALSE),VLOOKUP($A413,Pit!$A$4:$BB$1239,54,FALSE))</f>
        <v>0</v>
      </c>
      <c r="W413" s="21">
        <f t="shared" si="26"/>
        <v>0</v>
      </c>
      <c r="X413" s="22" t="e">
        <f t="shared" si="27"/>
        <v>#N/A</v>
      </c>
      <c r="Y413" s="16" t="str">
        <f>IF(ISERROR(VLOOKUP($E413&amp;$F413,Results!$A$2:$G$413,Y$1,FALSE)),"",VLOOKUP($E413&amp;$F413,Results!$A$2:$G$413,Y$1,FALSE))</f>
        <v/>
      </c>
      <c r="Z413" s="16" t="str">
        <f>IF(ISERROR(VLOOKUP($E413&amp;$F413,Results!$A$2:$G$413,Z$1,FALSE)),"",VLOOKUP($E413&amp;$F413,Results!$A$2:$G$413,Z$1,FALSE))</f>
        <v/>
      </c>
      <c r="AA413" s="16" t="str">
        <f>IF(ISERROR(VLOOKUP($E413&amp;$F413,Results!$A$2:$G$413,AA$1,FALSE)),"",VLOOKUP($E413&amp;$F413,Results!$A$2:$G$413,AA$1,FALSE))</f>
        <v/>
      </c>
      <c r="AB413" s="16" t="str">
        <f>IF(ISERROR(VLOOKUP($E413&amp;$F413,Results!$A$2:$G$413,AB$1,FALSE)),"",VLOOKUP($E413&amp;$F413,Results!$A$2:$G$413,AB$1,FALSE))</f>
        <v/>
      </c>
      <c r="AC413" s="16"/>
      <c r="AD413" s="20" t="str">
        <f>IF(ISERROR(VLOOKUP($AB413&amp;"-"&amp;$F413,Bonuses!$B$1:$G$1000,4,FALSE)),"",INT(VLOOKUP($AB413&amp;"-"&amp;$F413,Bonuses!$B$1:$G$1000,4,FALSE)))</f>
        <v/>
      </c>
      <c r="AE413" s="16" t="str">
        <f>IF(ISERROR(VLOOKUP($AB413&amp;"-"&amp;$F413,Bonuses!$B$1:$G$1000,5,FALSE)),"",IF(VLOOKUP($AB413&amp;"-"&amp;$F413,Bonuses!$B$1:$G$1000,5,FALSE)="","",VLOOKUP($AB413&amp;"-"&amp;$F413,Bonuses!$B$1:$G$1000,6,FALSE)&amp;" yrs, "&amp;VLOOKUP($AB413&amp;"-"&amp;$F413,Bonuses!$B$1:$G$1000,5,FALSE)))</f>
        <v/>
      </c>
    </row>
    <row r="414" spans="1:31" s="21" customFormat="1">
      <c r="A414" s="21" t="s">
        <v>729</v>
      </c>
      <c r="B414" s="21">
        <f t="shared" si="24"/>
        <v>1</v>
      </c>
      <c r="C414" s="21" t="str">
        <f t="shared" si="25"/>
        <v>P</v>
      </c>
      <c r="D414" s="17">
        <f>IF($C414="B",VLOOKUP($A414,Bat!$A$4:$BD$2323,D$1,FALSE),VLOOKUP($A414,Pit!$A$4:$AZ$2261,D$2,FALSE))</f>
        <v>13909</v>
      </c>
      <c r="E414" s="16" t="str">
        <f>IF($C414="B",VLOOKUP($A414,Bat!$A$4:$BD$2323,E$1,FALSE),VLOOKUP($A414,Pit!$A$4:$AZ$2261,E$2,FALSE))</f>
        <v>MR</v>
      </c>
      <c r="F414" s="16" t="str">
        <f>IF($C414="B",VLOOKUP($A414,Bat!$A$4:$BD$2323,F$1,FALSE),VLOOKUP($A414,Pit!$A$4:$AZ$2261,F$2,FALSE))</f>
        <v>Eric Yates</v>
      </c>
      <c r="G414" s="16">
        <f>IF($C414="B",VLOOKUP($A414,Bat!$A$4:$BD$2323,G$1,FALSE),VLOOKUP($A414,Pit!$A$4:$AZ$2261,G$2,FALSE))</f>
        <v>21</v>
      </c>
      <c r="H414" s="16" t="str">
        <f>IF($C414="B",VLOOKUP($A414,Bat!$A$4:$BD$2323,H$1,FALSE),VLOOKUP($A414,Pit!$A$4:$AZ$2261,H$2,FALSE))</f>
        <v>R</v>
      </c>
      <c r="I414" s="16" t="str">
        <f>IF($C414="B",VLOOKUP($A414,Bat!$A$4:$BD$2323,I$1,FALSE),VLOOKUP($A414,Pit!$A$4:$AZ$2261,I$2,FALSE))</f>
        <v>R</v>
      </c>
      <c r="J414" s="16" t="str">
        <f>IF($C414="B",VLOOKUP($A414,Bat!$A$4:$BD$2323,J$1,FALSE),VLOOKUP($A414,Pit!$A$4:$AZ$2261,J$2,FALSE))</f>
        <v>High</v>
      </c>
      <c r="K414" s="17" t="str">
        <f>IF($C414="B",VLOOKUP($A414,Bat!$A$4:$BD$2323,K$1,FALSE),VLOOKUP($A414,Pit!$A$4:$AZ$2261,K$2,FALSE))</f>
        <v>Very Low</v>
      </c>
      <c r="L414" s="16">
        <f>IF($C414="B",VLOOKUP($A414,Bat!$A$4:$BD$2323,L$1,FALSE),VLOOKUP($A414,Pit!$A$4:$AZ$2261,L$2,FALSE))</f>
        <v>4</v>
      </c>
      <c r="M414" s="16">
        <f>IF($C414="B",VLOOKUP($A414,Bat!$A$4:$BD$2323,M$1,FALSE),VLOOKUP($A414,Pit!$A$4:$AZ$2261,M$2,FALSE))</f>
        <v>4</v>
      </c>
      <c r="N414" s="16">
        <f>IF($C414="B",VLOOKUP($A414,Bat!$A$4:$BD$2323,N$1,FALSE),VLOOKUP($A414,Pit!$A$4:$AZ$2261,N$2,FALSE))</f>
        <v>5</v>
      </c>
      <c r="O414" s="16" t="str">
        <f>IF($C414="B",VLOOKUP($A414,Bat!$A$4:$BD$2323,O$1,FALSE),VLOOKUP($A414,Pit!$A$4:$AZ$2261,O$2,FALSE))</f>
        <v>91-93 Mph</v>
      </c>
      <c r="P414" s="17">
        <f>IF($C414="B",VLOOKUP($A414,Bat!$A$4:$BD$2323,P$1,FALSE),VLOOKUP($A414,Pit!$A$4:$AZ$2261,P$2,FALSE))</f>
        <v>6</v>
      </c>
      <c r="Q414" s="18">
        <f>IF($C414="B",VLOOKUP($A414,Bat!$A$4:$BD$2323,Q$1,FALSE),VLOOKUP($A414,Pit!$A$4:$AZ$2261,Q$2,FALSE))</f>
        <v>28.692592109096555</v>
      </c>
      <c r="R414" s="19">
        <f>IF($C414="B",VLOOKUP($A414,Bat!$A$4:$BD$2323,R$1,FALSE),VLOOKUP($A414,Pit!$A$4:$AZ$2261,R$2,FALSE))</f>
        <v>-0.41508342425680789</v>
      </c>
      <c r="S414" s="20" t="str">
        <f>IF($C414="B",VLOOKUP($A414,Bat!$A$4:$BD$2323,S$1,FALSE),VLOOKUP($A414,Pit!$A$4:$AZ$2261,S$2,FALSE))</f>
        <v>Slot</v>
      </c>
      <c r="T414" s="17" t="str">
        <f>IF(S414="Slot","",VLOOKUP(IF($C414="B",VLOOKUP($A414,Bat!$A$4:$AT$2323,T$1,FALSE),VLOOKUP($A414,Pit!$A$4:$BD$2261,T$2,FALSE)),COND!$A$34:$B$40,2,FALSE))</f>
        <v/>
      </c>
      <c r="U414" s="21">
        <f>IF($C414="B",VLOOKUP($A414,Bat!$A$4:$AR$1287,44,FALSE),VLOOKUP($A414,Pit!$A$4:$BB$1239,54,FALSE))</f>
        <v>0</v>
      </c>
      <c r="W414" s="21">
        <f t="shared" si="26"/>
        <v>0</v>
      </c>
      <c r="X414" s="22" t="e">
        <f t="shared" si="27"/>
        <v>#N/A</v>
      </c>
      <c r="Y414" s="16" t="str">
        <f>IF(ISERROR(VLOOKUP($E414&amp;$F414,Results!$A$2:$G$413,Y$1,FALSE)),"",VLOOKUP($E414&amp;$F414,Results!$A$2:$G$413,Y$1,FALSE))</f>
        <v/>
      </c>
      <c r="Z414" s="16" t="str">
        <f>IF(ISERROR(VLOOKUP($E414&amp;$F414,Results!$A$2:$G$413,Z$1,FALSE)),"",VLOOKUP($E414&amp;$F414,Results!$A$2:$G$413,Z$1,FALSE))</f>
        <v/>
      </c>
      <c r="AA414" s="16" t="str">
        <f>IF(ISERROR(VLOOKUP($E414&amp;$F414,Results!$A$2:$G$413,AA$1,FALSE)),"",VLOOKUP($E414&amp;$F414,Results!$A$2:$G$413,AA$1,FALSE))</f>
        <v/>
      </c>
      <c r="AB414" s="16" t="str">
        <f>IF(ISERROR(VLOOKUP($E414&amp;$F414,Results!$A$2:$G$413,AB$1,FALSE)),"",VLOOKUP($E414&amp;$F414,Results!$A$2:$G$413,AB$1,FALSE))</f>
        <v/>
      </c>
      <c r="AC414" s="16"/>
      <c r="AD414" s="20" t="str">
        <f>IF(ISERROR(VLOOKUP($AB414&amp;"-"&amp;$F414,Bonuses!$B$1:$G$1000,4,FALSE)),"",INT(VLOOKUP($AB414&amp;"-"&amp;$F414,Bonuses!$B$1:$G$1000,4,FALSE)))</f>
        <v/>
      </c>
      <c r="AE414" s="16" t="str">
        <f>IF(ISERROR(VLOOKUP($AB414&amp;"-"&amp;$F414,Bonuses!$B$1:$G$1000,5,FALSE)),"",IF(VLOOKUP($AB414&amp;"-"&amp;$F414,Bonuses!$B$1:$G$1000,5,FALSE)="","",VLOOKUP($AB414&amp;"-"&amp;$F414,Bonuses!$B$1:$G$1000,6,FALSE)&amp;" yrs, "&amp;VLOOKUP($AB414&amp;"-"&amp;$F414,Bonuses!$B$1:$G$1000,5,FALSE)))</f>
        <v/>
      </c>
    </row>
    <row r="415" spans="1:31" s="21" customFormat="1">
      <c r="A415" s="21" t="s">
        <v>585</v>
      </c>
      <c r="B415" s="21">
        <f t="shared" si="24"/>
        <v>1</v>
      </c>
      <c r="C415" s="21" t="str">
        <f t="shared" si="25"/>
        <v>P</v>
      </c>
      <c r="D415" s="17">
        <f>IF($C415="B",VLOOKUP($A415,Bat!$A$4:$BD$2323,D$1,FALSE),VLOOKUP($A415,Pit!$A$4:$AZ$2261,D$2,FALSE))</f>
        <v>13852</v>
      </c>
      <c r="E415" s="16" t="str">
        <f>IF($C415="B",VLOOKUP($A415,Bat!$A$4:$BD$2323,E$1,FALSE),VLOOKUP($A415,Pit!$A$4:$AZ$2261,E$2,FALSE))</f>
        <v>MR</v>
      </c>
      <c r="F415" s="16" t="str">
        <f>IF($C415="B",VLOOKUP($A415,Bat!$A$4:$BD$2323,F$1,FALSE),VLOOKUP($A415,Pit!$A$4:$AZ$2261,F$2,FALSE))</f>
        <v>António Ramos</v>
      </c>
      <c r="G415" s="16">
        <f>IF($C415="B",VLOOKUP($A415,Bat!$A$4:$BD$2323,G$1,FALSE),VLOOKUP($A415,Pit!$A$4:$AZ$2261,G$2,FALSE))</f>
        <v>18</v>
      </c>
      <c r="H415" s="16" t="str">
        <f>IF($C415="B",VLOOKUP($A415,Bat!$A$4:$BD$2323,H$1,FALSE),VLOOKUP($A415,Pit!$A$4:$AZ$2261,H$2,FALSE))</f>
        <v>R</v>
      </c>
      <c r="I415" s="16" t="str">
        <f>IF($C415="B",VLOOKUP($A415,Bat!$A$4:$BD$2323,I$1,FALSE),VLOOKUP($A415,Pit!$A$4:$AZ$2261,I$2,FALSE))</f>
        <v>R</v>
      </c>
      <c r="J415" s="16" t="str">
        <f>IF($C415="B",VLOOKUP($A415,Bat!$A$4:$BD$2323,J$1,FALSE),VLOOKUP($A415,Pit!$A$4:$AZ$2261,J$2,FALSE))</f>
        <v>High</v>
      </c>
      <c r="K415" s="17" t="str">
        <f>IF($C415="B",VLOOKUP($A415,Bat!$A$4:$BD$2323,K$1,FALSE),VLOOKUP($A415,Pit!$A$4:$AZ$2261,K$2,FALSE))</f>
        <v>Normal</v>
      </c>
      <c r="L415" s="16">
        <f>IF($C415="B",VLOOKUP($A415,Bat!$A$4:$BD$2323,L$1,FALSE),VLOOKUP($A415,Pit!$A$4:$AZ$2261,L$2,FALSE))</f>
        <v>4</v>
      </c>
      <c r="M415" s="16">
        <f>IF($C415="B",VLOOKUP($A415,Bat!$A$4:$BD$2323,M$1,FALSE),VLOOKUP($A415,Pit!$A$4:$AZ$2261,M$2,FALSE))</f>
        <v>4</v>
      </c>
      <c r="N415" s="16">
        <f>IF($C415="B",VLOOKUP($A415,Bat!$A$4:$BD$2323,N$1,FALSE),VLOOKUP($A415,Pit!$A$4:$AZ$2261,N$2,FALSE))</f>
        <v>5</v>
      </c>
      <c r="O415" s="16" t="str">
        <f>IF($C415="B",VLOOKUP($A415,Bat!$A$4:$BD$2323,O$1,FALSE),VLOOKUP($A415,Pit!$A$4:$AZ$2261,O$2,FALSE))</f>
        <v>84-86 Mph</v>
      </c>
      <c r="P415" s="17">
        <f>IF($C415="B",VLOOKUP($A415,Bat!$A$4:$BD$2323,P$1,FALSE),VLOOKUP($A415,Pit!$A$4:$AZ$2261,P$2,FALSE))</f>
        <v>4</v>
      </c>
      <c r="Q415" s="18">
        <f>IF($C415="B",VLOOKUP($A415,Bat!$A$4:$BD$2323,Q$1,FALSE),VLOOKUP($A415,Pit!$A$4:$AZ$2261,Q$2,FALSE))</f>
        <v>30.142213368968818</v>
      </c>
      <c r="R415" s="19">
        <f>IF($C415="B",VLOOKUP($A415,Bat!$A$4:$BD$2323,R$1,FALSE),VLOOKUP($A415,Pit!$A$4:$AZ$2261,R$2,FALSE))</f>
        <v>-0.30000300758378229</v>
      </c>
      <c r="S415" s="20" t="str">
        <f>IF($C415="B",VLOOKUP($A415,Bat!$A$4:$BD$2323,S$1,FALSE),VLOOKUP($A415,Pit!$A$4:$AZ$2261,S$2,FALSE))</f>
        <v>Slot</v>
      </c>
      <c r="T415" s="17" t="str">
        <f>IF(S415="Slot","",VLOOKUP(IF($C415="B",VLOOKUP($A415,Bat!$A$4:$AT$2323,T$1,FALSE),VLOOKUP($A415,Pit!$A$4:$BD$2261,T$2,FALSE)),COND!$A$34:$B$40,2,FALSE))</f>
        <v/>
      </c>
      <c r="U415" s="21">
        <f>IF($C415="B",VLOOKUP($A415,Bat!$A$4:$AR$1287,44,FALSE),VLOOKUP($A415,Pit!$A$4:$BB$1239,54,FALSE))</f>
        <v>0</v>
      </c>
      <c r="W415" s="21">
        <f t="shared" si="26"/>
        <v>0</v>
      </c>
      <c r="X415" s="22" t="e">
        <f t="shared" si="27"/>
        <v>#N/A</v>
      </c>
      <c r="Y415" s="16" t="str">
        <f>IF(ISERROR(VLOOKUP($E415&amp;$F415,Results!$A$2:$G$413,Y$1,FALSE)),"",VLOOKUP($E415&amp;$F415,Results!$A$2:$G$413,Y$1,FALSE))</f>
        <v/>
      </c>
      <c r="Z415" s="16" t="str">
        <f>IF(ISERROR(VLOOKUP($E415&amp;$F415,Results!$A$2:$G$413,Z$1,FALSE)),"",VLOOKUP($E415&amp;$F415,Results!$A$2:$G$413,Z$1,FALSE))</f>
        <v/>
      </c>
      <c r="AA415" s="16" t="str">
        <f>IF(ISERROR(VLOOKUP($E415&amp;$F415,Results!$A$2:$G$413,AA$1,FALSE)),"",VLOOKUP($E415&amp;$F415,Results!$A$2:$G$413,AA$1,FALSE))</f>
        <v/>
      </c>
      <c r="AB415" s="16" t="str">
        <f>IF(ISERROR(VLOOKUP($E415&amp;$F415,Results!$A$2:$G$413,AB$1,FALSE)),"",VLOOKUP($E415&amp;$F415,Results!$A$2:$G$413,AB$1,FALSE))</f>
        <v/>
      </c>
      <c r="AC415" s="16"/>
      <c r="AD415" s="20" t="str">
        <f>IF(ISERROR(VLOOKUP($AB415&amp;"-"&amp;$F415,Bonuses!$B$1:$G$1000,4,FALSE)),"",INT(VLOOKUP($AB415&amp;"-"&amp;$F415,Bonuses!$B$1:$G$1000,4,FALSE)))</f>
        <v/>
      </c>
      <c r="AE415" s="16" t="str">
        <f>IF(ISERROR(VLOOKUP($AB415&amp;"-"&amp;$F415,Bonuses!$B$1:$G$1000,5,FALSE)),"",IF(VLOOKUP($AB415&amp;"-"&amp;$F415,Bonuses!$B$1:$G$1000,5,FALSE)="","",VLOOKUP($AB415&amp;"-"&amp;$F415,Bonuses!$B$1:$G$1000,6,FALSE)&amp;" yrs, "&amp;VLOOKUP($AB415&amp;"-"&amp;$F415,Bonuses!$B$1:$G$1000,5,FALSE)))</f>
        <v/>
      </c>
    </row>
    <row r="416" spans="1:31" s="21" customFormat="1">
      <c r="A416" s="21" t="s">
        <v>82</v>
      </c>
      <c r="B416" s="21">
        <f t="shared" si="24"/>
        <v>1</v>
      </c>
      <c r="C416" s="21" t="str">
        <f t="shared" si="25"/>
        <v>P</v>
      </c>
      <c r="D416" s="17">
        <f>IF($C416="B",VLOOKUP($A416,Bat!$A$4:$BD$2323,D$1,FALSE),VLOOKUP($A416,Pit!$A$4:$AZ$2261,D$2,FALSE))</f>
        <v>7617</v>
      </c>
      <c r="E416" s="16" t="str">
        <f>IF($C416="B",VLOOKUP($A416,Bat!$A$4:$BD$2323,E$1,FALSE),VLOOKUP($A416,Pit!$A$4:$AZ$2261,E$2,FALSE))</f>
        <v>MR</v>
      </c>
      <c r="F416" s="16" t="str">
        <f>IF($C416="B",VLOOKUP($A416,Bat!$A$4:$BD$2323,F$1,FALSE),VLOOKUP($A416,Pit!$A$4:$AZ$2261,F$2,FALSE))</f>
        <v>Carlos Castro</v>
      </c>
      <c r="G416" s="16">
        <f>IF($C416="B",VLOOKUP($A416,Bat!$A$4:$BD$2323,G$1,FALSE),VLOOKUP($A416,Pit!$A$4:$AZ$2261,G$2,FALSE))</f>
        <v>21</v>
      </c>
      <c r="H416" s="16" t="str">
        <f>IF($C416="B",VLOOKUP($A416,Bat!$A$4:$BD$2323,H$1,FALSE),VLOOKUP($A416,Pit!$A$4:$AZ$2261,H$2,FALSE))</f>
        <v>R</v>
      </c>
      <c r="I416" s="16" t="str">
        <f>IF($C416="B",VLOOKUP($A416,Bat!$A$4:$BD$2323,I$1,FALSE),VLOOKUP($A416,Pit!$A$4:$AZ$2261,I$2,FALSE))</f>
        <v>R</v>
      </c>
      <c r="J416" s="16" t="str">
        <f>IF($C416="B",VLOOKUP($A416,Bat!$A$4:$BD$2323,J$1,FALSE),VLOOKUP($A416,Pit!$A$4:$AZ$2261,J$2,FALSE))</f>
        <v>Very Low</v>
      </c>
      <c r="K416" s="17" t="str">
        <f>IF($C416="B",VLOOKUP($A416,Bat!$A$4:$BD$2323,K$1,FALSE),VLOOKUP($A416,Pit!$A$4:$AZ$2261,K$2,FALSE))</f>
        <v>Normal</v>
      </c>
      <c r="L416" s="16">
        <f>IF($C416="B",VLOOKUP($A416,Bat!$A$4:$BD$2323,L$1,FALSE),VLOOKUP($A416,Pit!$A$4:$AZ$2261,L$2,FALSE))</f>
        <v>4</v>
      </c>
      <c r="M416" s="16">
        <f>IF($C416="B",VLOOKUP($A416,Bat!$A$4:$BD$2323,M$1,FALSE),VLOOKUP($A416,Pit!$A$4:$AZ$2261,M$2,FALSE))</f>
        <v>4</v>
      </c>
      <c r="N416" s="16">
        <f>IF($C416="B",VLOOKUP($A416,Bat!$A$4:$BD$2323,N$1,FALSE),VLOOKUP($A416,Pit!$A$4:$AZ$2261,N$2,FALSE))</f>
        <v>5</v>
      </c>
      <c r="O416" s="16" t="str">
        <f>IF($C416="B",VLOOKUP($A416,Bat!$A$4:$BD$2323,O$1,FALSE),VLOOKUP($A416,Pit!$A$4:$AZ$2261,O$2,FALSE))</f>
        <v>91-93 Mph</v>
      </c>
      <c r="P416" s="17">
        <f>IF($C416="B",VLOOKUP($A416,Bat!$A$4:$BD$2323,P$1,FALSE),VLOOKUP($A416,Pit!$A$4:$AZ$2261,P$2,FALSE))</f>
        <v>6</v>
      </c>
      <c r="Q416" s="18">
        <f>IF($C416="B",VLOOKUP($A416,Bat!$A$4:$BD$2323,Q$1,FALSE),VLOOKUP($A416,Pit!$A$4:$AZ$2261,Q$2,FALSE))</f>
        <v>27.942592109096555</v>
      </c>
      <c r="R416" s="19">
        <f>IF($C416="B",VLOOKUP($A416,Bat!$A$4:$BD$2323,R$1,FALSE),VLOOKUP($A416,Pit!$A$4:$AZ$2261,R$2,FALSE))</f>
        <v>-0.47462332953687714</v>
      </c>
      <c r="S416" s="20" t="str">
        <f>IF($C416="B",VLOOKUP($A416,Bat!$A$4:$BD$2323,S$1,FALSE),VLOOKUP($A416,Pit!$A$4:$AZ$2261,S$2,FALSE))</f>
        <v>Slot</v>
      </c>
      <c r="T416" s="17" t="str">
        <f>IF(S416="Slot","",VLOOKUP(IF($C416="B",VLOOKUP($A416,Bat!$A$4:$AT$2323,T$1,FALSE),VLOOKUP($A416,Pit!$A$4:$BD$2261,T$2,FALSE)),COND!$A$34:$B$40,2,FALSE))</f>
        <v/>
      </c>
      <c r="U416" s="21">
        <f>IF($C416="B",VLOOKUP($A416,Bat!$A$4:$AR$1287,44,FALSE),VLOOKUP($A416,Pit!$A$4:$BB$1239,54,FALSE))</f>
        <v>0</v>
      </c>
      <c r="W416" s="21">
        <f t="shared" si="26"/>
        <v>0</v>
      </c>
      <c r="X416" s="22" t="e">
        <f t="shared" si="27"/>
        <v>#N/A</v>
      </c>
      <c r="Y416" s="16" t="str">
        <f>IF(ISERROR(VLOOKUP($E416&amp;$F416,Results!$A$2:$G$413,Y$1,FALSE)),"",VLOOKUP($E416&amp;$F416,Results!$A$2:$G$413,Y$1,FALSE))</f>
        <v/>
      </c>
      <c r="Z416" s="16" t="str">
        <f>IF(ISERROR(VLOOKUP($E416&amp;$F416,Results!$A$2:$G$413,Z$1,FALSE)),"",VLOOKUP($E416&amp;$F416,Results!$A$2:$G$413,Z$1,FALSE))</f>
        <v/>
      </c>
      <c r="AA416" s="16" t="str">
        <f>IF(ISERROR(VLOOKUP($E416&amp;$F416,Results!$A$2:$G$413,AA$1,FALSE)),"",VLOOKUP($E416&amp;$F416,Results!$A$2:$G$413,AA$1,FALSE))</f>
        <v/>
      </c>
      <c r="AB416" s="16" t="str">
        <f>IF(ISERROR(VLOOKUP($E416&amp;$F416,Results!$A$2:$G$413,AB$1,FALSE)),"",VLOOKUP($E416&amp;$F416,Results!$A$2:$G$413,AB$1,FALSE))</f>
        <v/>
      </c>
      <c r="AC416" s="16"/>
      <c r="AD416" s="20" t="str">
        <f>IF(ISERROR(VLOOKUP($AB416&amp;"-"&amp;$F416,Bonuses!$B$1:$G$1000,4,FALSE)),"",INT(VLOOKUP($AB416&amp;"-"&amp;$F416,Bonuses!$B$1:$G$1000,4,FALSE)))</f>
        <v/>
      </c>
      <c r="AE416" s="16" t="str">
        <f>IF(ISERROR(VLOOKUP($AB416&amp;"-"&amp;$F416,Bonuses!$B$1:$G$1000,5,FALSE)),"",IF(VLOOKUP($AB416&amp;"-"&amp;$F416,Bonuses!$B$1:$G$1000,5,FALSE)="","",VLOOKUP($AB416&amp;"-"&amp;$F416,Bonuses!$B$1:$G$1000,6,FALSE)&amp;" yrs, "&amp;VLOOKUP($AB416&amp;"-"&amp;$F416,Bonuses!$B$1:$G$1000,5,FALSE)))</f>
        <v/>
      </c>
    </row>
    <row r="417" spans="1:31" s="21" customFormat="1">
      <c r="A417" s="21" t="s">
        <v>572</v>
      </c>
      <c r="B417" s="21">
        <f t="shared" si="24"/>
        <v>1</v>
      </c>
      <c r="C417" s="21" t="str">
        <f t="shared" si="25"/>
        <v>P</v>
      </c>
      <c r="D417" s="17">
        <f>IF($C417="B",VLOOKUP($A417,Bat!$A$4:$BD$2323,D$1,FALSE),VLOOKUP($A417,Pit!$A$4:$AZ$2261,D$2,FALSE))</f>
        <v>2105</v>
      </c>
      <c r="E417" s="16" t="str">
        <f>IF($C417="B",VLOOKUP($A417,Bat!$A$4:$BD$2323,E$1,FALSE),VLOOKUP($A417,Pit!$A$4:$AZ$2261,E$2,FALSE))</f>
        <v>MR</v>
      </c>
      <c r="F417" s="16" t="str">
        <f>IF($C417="B",VLOOKUP($A417,Bat!$A$4:$BD$2323,F$1,FALSE),VLOOKUP($A417,Pit!$A$4:$AZ$2261,F$2,FALSE))</f>
        <v>Ramiro González</v>
      </c>
      <c r="G417" s="16">
        <f>IF($C417="B",VLOOKUP($A417,Bat!$A$4:$BD$2323,G$1,FALSE),VLOOKUP($A417,Pit!$A$4:$AZ$2261,G$2,FALSE))</f>
        <v>21</v>
      </c>
      <c r="H417" s="16" t="str">
        <f>IF($C417="B",VLOOKUP($A417,Bat!$A$4:$BD$2323,H$1,FALSE),VLOOKUP($A417,Pit!$A$4:$AZ$2261,H$2,FALSE))</f>
        <v>R</v>
      </c>
      <c r="I417" s="16" t="str">
        <f>IF($C417="B",VLOOKUP($A417,Bat!$A$4:$BD$2323,I$1,FALSE),VLOOKUP($A417,Pit!$A$4:$AZ$2261,I$2,FALSE))</f>
        <v>R</v>
      </c>
      <c r="J417" s="16" t="str">
        <f>IF($C417="B",VLOOKUP($A417,Bat!$A$4:$BD$2323,J$1,FALSE),VLOOKUP($A417,Pit!$A$4:$AZ$2261,J$2,FALSE))</f>
        <v>Low</v>
      </c>
      <c r="K417" s="17" t="str">
        <f>IF($C417="B",VLOOKUP($A417,Bat!$A$4:$BD$2323,K$1,FALSE),VLOOKUP($A417,Pit!$A$4:$AZ$2261,K$2,FALSE))</f>
        <v>Very High</v>
      </c>
      <c r="L417" s="16">
        <f>IF($C417="B",VLOOKUP($A417,Bat!$A$4:$BD$2323,L$1,FALSE),VLOOKUP($A417,Pit!$A$4:$AZ$2261,L$2,FALSE))</f>
        <v>4</v>
      </c>
      <c r="M417" s="16">
        <f>IF($C417="B",VLOOKUP($A417,Bat!$A$4:$BD$2323,M$1,FALSE),VLOOKUP($A417,Pit!$A$4:$AZ$2261,M$2,FALSE))</f>
        <v>4</v>
      </c>
      <c r="N417" s="16">
        <f>IF($C417="B",VLOOKUP($A417,Bat!$A$4:$BD$2323,N$1,FALSE),VLOOKUP($A417,Pit!$A$4:$AZ$2261,N$2,FALSE))</f>
        <v>5</v>
      </c>
      <c r="O417" s="16" t="str">
        <f>IF($C417="B",VLOOKUP($A417,Bat!$A$4:$BD$2323,O$1,FALSE),VLOOKUP($A417,Pit!$A$4:$AZ$2261,O$2,FALSE))</f>
        <v>91-93 Mph</v>
      </c>
      <c r="P417" s="17">
        <f>IF($C417="B",VLOOKUP($A417,Bat!$A$4:$BD$2323,P$1,FALSE),VLOOKUP($A417,Pit!$A$4:$AZ$2261,P$2,FALSE))</f>
        <v>4</v>
      </c>
      <c r="Q417" s="18">
        <f>IF($C417="B",VLOOKUP($A417,Bat!$A$4:$BD$2323,Q$1,FALSE),VLOOKUP($A417,Pit!$A$4:$AZ$2261,Q$2,FALSE))</f>
        <v>29.269705131940235</v>
      </c>
      <c r="R417" s="19">
        <f>IF($C417="B",VLOOKUP($A417,Bat!$A$4:$BD$2323,R$1,FALSE),VLOOKUP($A417,Pit!$A$4:$AZ$2261,R$2,FALSE))</f>
        <v>-0.36926841796879839</v>
      </c>
      <c r="S417" s="20" t="str">
        <f>IF($C417="B",VLOOKUP($A417,Bat!$A$4:$BD$2323,S$1,FALSE),VLOOKUP($A417,Pit!$A$4:$AZ$2261,S$2,FALSE))</f>
        <v>Slot</v>
      </c>
      <c r="T417" s="17" t="str">
        <f>IF(S417="Slot","",VLOOKUP(IF($C417="B",VLOOKUP($A417,Bat!$A$4:$AT$2323,T$1,FALSE),VLOOKUP($A417,Pit!$A$4:$BD$2261,T$2,FALSE)),COND!$A$34:$B$40,2,FALSE))</f>
        <v/>
      </c>
      <c r="U417" s="21">
        <f>IF($C417="B",VLOOKUP($A417,Bat!$A$4:$AR$1287,44,FALSE),VLOOKUP($A417,Pit!$A$4:$BB$1239,54,FALSE))</f>
        <v>0</v>
      </c>
      <c r="W417" s="21">
        <f t="shared" si="26"/>
        <v>0</v>
      </c>
      <c r="X417" s="22" t="e">
        <f t="shared" si="27"/>
        <v>#N/A</v>
      </c>
      <c r="Y417" s="16" t="str">
        <f>IF(ISERROR(VLOOKUP($E417&amp;$F417,Results!$A$2:$G$413,Y$1,FALSE)),"",VLOOKUP($E417&amp;$F417,Results!$A$2:$G$413,Y$1,FALSE))</f>
        <v/>
      </c>
      <c r="Z417" s="16" t="str">
        <f>IF(ISERROR(VLOOKUP($E417&amp;$F417,Results!$A$2:$G$413,Z$1,FALSE)),"",VLOOKUP($E417&amp;$F417,Results!$A$2:$G$413,Z$1,FALSE))</f>
        <v/>
      </c>
      <c r="AA417" s="16" t="str">
        <f>IF(ISERROR(VLOOKUP($E417&amp;$F417,Results!$A$2:$G$413,AA$1,FALSE)),"",VLOOKUP($E417&amp;$F417,Results!$A$2:$G$413,AA$1,FALSE))</f>
        <v/>
      </c>
      <c r="AB417" s="16" t="str">
        <f>IF(ISERROR(VLOOKUP($E417&amp;$F417,Results!$A$2:$G$413,AB$1,FALSE)),"",VLOOKUP($E417&amp;$F417,Results!$A$2:$G$413,AB$1,FALSE))</f>
        <v/>
      </c>
      <c r="AC417" s="16"/>
      <c r="AD417" s="20" t="str">
        <f>IF(ISERROR(VLOOKUP($AB417&amp;"-"&amp;$F417,Bonuses!$B$1:$G$1000,4,FALSE)),"",INT(VLOOKUP($AB417&amp;"-"&amp;$F417,Bonuses!$B$1:$G$1000,4,FALSE)))</f>
        <v/>
      </c>
      <c r="AE417" s="16" t="str">
        <f>IF(ISERROR(VLOOKUP($AB417&amp;"-"&amp;$F417,Bonuses!$B$1:$G$1000,5,FALSE)),"",IF(VLOOKUP($AB417&amp;"-"&amp;$F417,Bonuses!$B$1:$G$1000,5,FALSE)="","",VLOOKUP($AB417&amp;"-"&amp;$F417,Bonuses!$B$1:$G$1000,6,FALSE)&amp;" yrs, "&amp;VLOOKUP($AB417&amp;"-"&amp;$F417,Bonuses!$B$1:$G$1000,5,FALSE)))</f>
        <v/>
      </c>
    </row>
    <row r="418" spans="1:31" s="21" customFormat="1">
      <c r="A418" s="21" t="s">
        <v>728</v>
      </c>
      <c r="B418" s="21">
        <f t="shared" si="24"/>
        <v>1</v>
      </c>
      <c r="C418" s="21" t="str">
        <f t="shared" si="25"/>
        <v>P</v>
      </c>
      <c r="D418" s="17">
        <f>IF($C418="B",VLOOKUP($A418,Bat!$A$4:$BD$2323,D$1,FALSE),VLOOKUP($A418,Pit!$A$4:$AZ$2261,D$2,FALSE))</f>
        <v>4137</v>
      </c>
      <c r="E418" s="16" t="str">
        <f>IF($C418="B",VLOOKUP($A418,Bat!$A$4:$BD$2323,E$1,FALSE),VLOOKUP($A418,Pit!$A$4:$AZ$2261,E$2,FALSE))</f>
        <v>SP</v>
      </c>
      <c r="F418" s="16" t="str">
        <f>IF($C418="B",VLOOKUP($A418,Bat!$A$4:$BD$2323,F$1,FALSE),VLOOKUP($A418,Pit!$A$4:$AZ$2261,F$2,FALSE))</f>
        <v>Brent Jones</v>
      </c>
      <c r="G418" s="16">
        <f>IF($C418="B",VLOOKUP($A418,Bat!$A$4:$BD$2323,G$1,FALSE),VLOOKUP($A418,Pit!$A$4:$AZ$2261,G$2,FALSE))</f>
        <v>21</v>
      </c>
      <c r="H418" s="16" t="str">
        <f>IF($C418="B",VLOOKUP($A418,Bat!$A$4:$BD$2323,H$1,FALSE),VLOOKUP($A418,Pit!$A$4:$AZ$2261,H$2,FALSE))</f>
        <v>R</v>
      </c>
      <c r="I418" s="16" t="str">
        <f>IF($C418="B",VLOOKUP($A418,Bat!$A$4:$BD$2323,I$1,FALSE),VLOOKUP($A418,Pit!$A$4:$AZ$2261,I$2,FALSE))</f>
        <v>R</v>
      </c>
      <c r="J418" s="16" t="str">
        <f>IF($C418="B",VLOOKUP($A418,Bat!$A$4:$BD$2323,J$1,FALSE),VLOOKUP($A418,Pit!$A$4:$AZ$2261,J$2,FALSE))</f>
        <v>Very Low</v>
      </c>
      <c r="K418" s="17" t="str">
        <f>IF($C418="B",VLOOKUP($A418,Bat!$A$4:$BD$2323,K$1,FALSE),VLOOKUP($A418,Pit!$A$4:$AZ$2261,K$2,FALSE))</f>
        <v>Very High</v>
      </c>
      <c r="L418" s="16">
        <f>IF($C418="B",VLOOKUP($A418,Bat!$A$4:$BD$2323,L$1,FALSE),VLOOKUP($A418,Pit!$A$4:$AZ$2261,L$2,FALSE))</f>
        <v>4</v>
      </c>
      <c r="M418" s="16">
        <f>IF($C418="B",VLOOKUP($A418,Bat!$A$4:$BD$2323,M$1,FALSE),VLOOKUP($A418,Pit!$A$4:$AZ$2261,M$2,FALSE))</f>
        <v>4</v>
      </c>
      <c r="N418" s="16">
        <f>IF($C418="B",VLOOKUP($A418,Bat!$A$4:$BD$2323,N$1,FALSE),VLOOKUP($A418,Pit!$A$4:$AZ$2261,N$2,FALSE))</f>
        <v>5</v>
      </c>
      <c r="O418" s="16" t="str">
        <f>IF($C418="B",VLOOKUP($A418,Bat!$A$4:$BD$2323,O$1,FALSE),VLOOKUP($A418,Pit!$A$4:$AZ$2261,O$2,FALSE))</f>
        <v>94-96 Mph</v>
      </c>
      <c r="P418" s="17">
        <f>IF($C418="B",VLOOKUP($A418,Bat!$A$4:$BD$2323,P$1,FALSE),VLOOKUP($A418,Pit!$A$4:$AZ$2261,P$2,FALSE))</f>
        <v>4</v>
      </c>
      <c r="Q418" s="18">
        <f>IF($C418="B",VLOOKUP($A418,Bat!$A$4:$BD$2323,Q$1,FALSE),VLOOKUP($A418,Pit!$A$4:$AZ$2261,Q$2,FALSE))</f>
        <v>28.173219124790577</v>
      </c>
      <c r="R418" s="19">
        <f>IF($C418="B",VLOOKUP($A418,Bat!$A$4:$BD$2323,R$1,FALSE),VLOOKUP($A418,Pit!$A$4:$AZ$2261,R$2,FALSE))</f>
        <v>-0.45631464864428095</v>
      </c>
      <c r="S418" s="20" t="str">
        <f>IF($C418="B",VLOOKUP($A418,Bat!$A$4:$BD$2323,S$1,FALSE),VLOOKUP($A418,Pit!$A$4:$AZ$2261,S$2,FALSE))</f>
        <v>Slot</v>
      </c>
      <c r="T418" s="17" t="str">
        <f>IF(S418="Slot","",VLOOKUP(IF($C418="B",VLOOKUP($A418,Bat!$A$4:$AT$2323,T$1,FALSE),VLOOKUP($A418,Pit!$A$4:$BD$2261,T$2,FALSE)),COND!$A$34:$B$40,2,FALSE))</f>
        <v/>
      </c>
      <c r="U418" s="21">
        <f>IF($C418="B",VLOOKUP($A418,Bat!$A$4:$AR$1287,44,FALSE),VLOOKUP($A418,Pit!$A$4:$BB$1239,54,FALSE))</f>
        <v>0</v>
      </c>
      <c r="W418" s="21">
        <f t="shared" si="26"/>
        <v>0</v>
      </c>
      <c r="X418" s="22" t="e">
        <f t="shared" si="27"/>
        <v>#N/A</v>
      </c>
      <c r="Y418" s="16" t="str">
        <f>IF(ISERROR(VLOOKUP($E418&amp;$F418,Results!$A$2:$G$413,Y$1,FALSE)),"",VLOOKUP($E418&amp;$F418,Results!$A$2:$G$413,Y$1,FALSE))</f>
        <v/>
      </c>
      <c r="Z418" s="16" t="str">
        <f>IF(ISERROR(VLOOKUP($E418&amp;$F418,Results!$A$2:$G$413,Z$1,FALSE)),"",VLOOKUP($E418&amp;$F418,Results!$A$2:$G$413,Z$1,FALSE))</f>
        <v/>
      </c>
      <c r="AA418" s="16" t="str">
        <f>IF(ISERROR(VLOOKUP($E418&amp;$F418,Results!$A$2:$G$413,AA$1,FALSE)),"",VLOOKUP($E418&amp;$F418,Results!$A$2:$G$413,AA$1,FALSE))</f>
        <v/>
      </c>
      <c r="AB418" s="16" t="str">
        <f>IF(ISERROR(VLOOKUP($E418&amp;$F418,Results!$A$2:$G$413,AB$1,FALSE)),"",VLOOKUP($E418&amp;$F418,Results!$A$2:$G$413,AB$1,FALSE))</f>
        <v/>
      </c>
      <c r="AC418" s="16"/>
      <c r="AD418" s="20" t="str">
        <f>IF(ISERROR(VLOOKUP($AB418&amp;"-"&amp;$F418,Bonuses!$B$1:$G$1000,4,FALSE)),"",INT(VLOOKUP($AB418&amp;"-"&amp;$F418,Bonuses!$B$1:$G$1000,4,FALSE)))</f>
        <v/>
      </c>
      <c r="AE418" s="16" t="str">
        <f>IF(ISERROR(VLOOKUP($AB418&amp;"-"&amp;$F418,Bonuses!$B$1:$G$1000,5,FALSE)),"",IF(VLOOKUP($AB418&amp;"-"&amp;$F418,Bonuses!$B$1:$G$1000,5,FALSE)="","",VLOOKUP($AB418&amp;"-"&amp;$F418,Bonuses!$B$1:$G$1000,6,FALSE)&amp;" yrs, "&amp;VLOOKUP($AB418&amp;"-"&amp;$F418,Bonuses!$B$1:$G$1000,5,FALSE)))</f>
        <v/>
      </c>
    </row>
    <row r="419" spans="1:31" s="21" customFormat="1">
      <c r="A419" s="21" t="s">
        <v>725</v>
      </c>
      <c r="B419" s="21">
        <f t="shared" si="24"/>
        <v>1</v>
      </c>
      <c r="C419" s="21" t="str">
        <f t="shared" si="25"/>
        <v>P</v>
      </c>
      <c r="D419" s="17">
        <f>IF($C419="B",VLOOKUP($A419,Bat!$A$4:$BD$2323,D$1,FALSE),VLOOKUP($A419,Pit!$A$4:$AZ$2261,D$2,FALSE))</f>
        <v>2573</v>
      </c>
      <c r="E419" s="16" t="str">
        <f>IF($C419="B",VLOOKUP($A419,Bat!$A$4:$BD$2323,E$1,FALSE),VLOOKUP($A419,Pit!$A$4:$AZ$2261,E$2,FALSE))</f>
        <v>SP</v>
      </c>
      <c r="F419" s="16" t="str">
        <f>IF($C419="B",VLOOKUP($A419,Bat!$A$4:$BD$2323,F$1,FALSE),VLOOKUP($A419,Pit!$A$4:$AZ$2261,F$2,FALSE))</f>
        <v>Bob Bennett</v>
      </c>
      <c r="G419" s="16">
        <f>IF($C419="B",VLOOKUP($A419,Bat!$A$4:$BD$2323,G$1,FALSE),VLOOKUP($A419,Pit!$A$4:$AZ$2261,G$2,FALSE))</f>
        <v>21</v>
      </c>
      <c r="H419" s="16" t="str">
        <f>IF($C419="B",VLOOKUP($A419,Bat!$A$4:$BD$2323,H$1,FALSE),VLOOKUP($A419,Pit!$A$4:$AZ$2261,H$2,FALSE))</f>
        <v>R</v>
      </c>
      <c r="I419" s="16" t="str">
        <f>IF($C419="B",VLOOKUP($A419,Bat!$A$4:$BD$2323,I$1,FALSE),VLOOKUP($A419,Pit!$A$4:$AZ$2261,I$2,FALSE))</f>
        <v>R</v>
      </c>
      <c r="J419" s="16" t="str">
        <f>IF($C419="B",VLOOKUP($A419,Bat!$A$4:$BD$2323,J$1,FALSE),VLOOKUP($A419,Pit!$A$4:$AZ$2261,J$2,FALSE))</f>
        <v>Normal</v>
      </c>
      <c r="K419" s="17" t="str">
        <f>IF($C419="B",VLOOKUP($A419,Bat!$A$4:$BD$2323,K$1,FALSE),VLOOKUP($A419,Pit!$A$4:$AZ$2261,K$2,FALSE))</f>
        <v>Very High</v>
      </c>
      <c r="L419" s="16">
        <f>IF($C419="B",VLOOKUP($A419,Bat!$A$4:$BD$2323,L$1,FALSE),VLOOKUP($A419,Pit!$A$4:$AZ$2261,L$2,FALSE))</f>
        <v>4</v>
      </c>
      <c r="M419" s="16">
        <f>IF($C419="B",VLOOKUP($A419,Bat!$A$4:$BD$2323,M$1,FALSE),VLOOKUP($A419,Pit!$A$4:$AZ$2261,M$2,FALSE))</f>
        <v>5</v>
      </c>
      <c r="N419" s="16">
        <f>IF($C419="B",VLOOKUP($A419,Bat!$A$4:$BD$2323,N$1,FALSE),VLOOKUP($A419,Pit!$A$4:$AZ$2261,N$2,FALSE))</f>
        <v>4</v>
      </c>
      <c r="O419" s="16" t="str">
        <f>IF($C419="B",VLOOKUP($A419,Bat!$A$4:$BD$2323,O$1,FALSE),VLOOKUP($A419,Pit!$A$4:$AZ$2261,O$2,FALSE))</f>
        <v>91-93 Mph</v>
      </c>
      <c r="P419" s="17">
        <f>IF($C419="B",VLOOKUP($A419,Bat!$A$4:$BD$2323,P$1,FALSE),VLOOKUP($A419,Pit!$A$4:$AZ$2261,P$2,FALSE))</f>
        <v>3</v>
      </c>
      <c r="Q419" s="18">
        <f>IF($C419="B",VLOOKUP($A419,Bat!$A$4:$BD$2323,Q$1,FALSE),VLOOKUP($A419,Pit!$A$4:$AZ$2261,Q$2,FALSE))</f>
        <v>29.603957663548158</v>
      </c>
      <c r="R419" s="19">
        <f>IF($C419="B",VLOOKUP($A419,Bat!$A$4:$BD$2323,R$1,FALSE),VLOOKUP($A419,Pit!$A$4:$AZ$2261,R$2,FALSE))</f>
        <v>-0.34273326587338621</v>
      </c>
      <c r="S419" s="20" t="str">
        <f>IF($C419="B",VLOOKUP($A419,Bat!$A$4:$BD$2323,S$1,FALSE),VLOOKUP($A419,Pit!$A$4:$AZ$2261,S$2,FALSE))</f>
        <v>Slot</v>
      </c>
      <c r="T419" s="17" t="str">
        <f>IF(S419="Slot","",VLOOKUP(IF($C419="B",VLOOKUP($A419,Bat!$A$4:$AT$2323,T$1,FALSE),VLOOKUP($A419,Pit!$A$4:$BD$2261,T$2,FALSE)),COND!$A$34:$B$40,2,FALSE))</f>
        <v/>
      </c>
      <c r="U419" s="21">
        <f>IF($C419="B",VLOOKUP($A419,Bat!$A$4:$AR$1287,44,FALSE),VLOOKUP($A419,Pit!$A$4:$BB$1239,54,FALSE))</f>
        <v>0</v>
      </c>
      <c r="W419" s="21">
        <f t="shared" si="26"/>
        <v>0</v>
      </c>
      <c r="X419" s="22" t="e">
        <f t="shared" si="27"/>
        <v>#N/A</v>
      </c>
      <c r="Y419" s="16" t="str">
        <f>IF(ISERROR(VLOOKUP($E419&amp;$F419,Results!$A$2:$G$413,Y$1,FALSE)),"",VLOOKUP($E419&amp;$F419,Results!$A$2:$G$413,Y$1,FALSE))</f>
        <v/>
      </c>
      <c r="Z419" s="16" t="str">
        <f>IF(ISERROR(VLOOKUP($E419&amp;$F419,Results!$A$2:$G$413,Z$1,FALSE)),"",VLOOKUP($E419&amp;$F419,Results!$A$2:$G$413,Z$1,FALSE))</f>
        <v/>
      </c>
      <c r="AA419" s="16" t="str">
        <f>IF(ISERROR(VLOOKUP($E419&amp;$F419,Results!$A$2:$G$413,AA$1,FALSE)),"",VLOOKUP($E419&amp;$F419,Results!$A$2:$G$413,AA$1,FALSE))</f>
        <v/>
      </c>
      <c r="AB419" s="16" t="str">
        <f>IF(ISERROR(VLOOKUP($E419&amp;$F419,Results!$A$2:$G$413,AB$1,FALSE)),"",VLOOKUP($E419&amp;$F419,Results!$A$2:$G$413,AB$1,FALSE))</f>
        <v/>
      </c>
      <c r="AC419" s="16"/>
      <c r="AD419" s="20" t="str">
        <f>IF(ISERROR(VLOOKUP($AB419&amp;"-"&amp;$F419,Bonuses!$B$1:$G$1000,4,FALSE)),"",INT(VLOOKUP($AB419&amp;"-"&amp;$F419,Bonuses!$B$1:$G$1000,4,FALSE)))</f>
        <v/>
      </c>
      <c r="AE419" s="16" t="str">
        <f>IF(ISERROR(VLOOKUP($AB419&amp;"-"&amp;$F419,Bonuses!$B$1:$G$1000,5,FALSE)),"",IF(VLOOKUP($AB419&amp;"-"&amp;$F419,Bonuses!$B$1:$G$1000,5,FALSE)="","",VLOOKUP($AB419&amp;"-"&amp;$F419,Bonuses!$B$1:$G$1000,6,FALSE)&amp;" yrs, "&amp;VLOOKUP($AB419&amp;"-"&amp;$F419,Bonuses!$B$1:$G$1000,5,FALSE)))</f>
        <v/>
      </c>
    </row>
    <row r="420" spans="1:31" s="21" customFormat="1">
      <c r="A420" s="21" t="s">
        <v>581</v>
      </c>
      <c r="B420" s="21">
        <f t="shared" si="24"/>
        <v>1</v>
      </c>
      <c r="C420" s="21" t="str">
        <f t="shared" si="25"/>
        <v>P</v>
      </c>
      <c r="D420" s="17">
        <f>IF($C420="B",VLOOKUP($A420,Bat!$A$4:$BD$2323,D$1,FALSE),VLOOKUP($A420,Pit!$A$4:$AZ$2261,D$2,FALSE))</f>
        <v>9240</v>
      </c>
      <c r="E420" s="16" t="str">
        <f>IF($C420="B",VLOOKUP($A420,Bat!$A$4:$BD$2323,E$1,FALSE),VLOOKUP($A420,Pit!$A$4:$AZ$2261,E$2,FALSE))</f>
        <v>MR</v>
      </c>
      <c r="F420" s="16" t="str">
        <f>IF($C420="B",VLOOKUP($A420,Bat!$A$4:$BD$2323,F$1,FALSE),VLOOKUP($A420,Pit!$A$4:$AZ$2261,F$2,FALSE))</f>
        <v>Ed Randolph</v>
      </c>
      <c r="G420" s="16">
        <f>IF($C420="B",VLOOKUP($A420,Bat!$A$4:$BD$2323,G$1,FALSE),VLOOKUP($A420,Pit!$A$4:$AZ$2261,G$2,FALSE))</f>
        <v>21</v>
      </c>
      <c r="H420" s="16" t="str">
        <f>IF($C420="B",VLOOKUP($A420,Bat!$A$4:$BD$2323,H$1,FALSE),VLOOKUP($A420,Pit!$A$4:$AZ$2261,H$2,FALSE))</f>
        <v>L</v>
      </c>
      <c r="I420" s="16" t="str">
        <f>IF($C420="B",VLOOKUP($A420,Bat!$A$4:$BD$2323,I$1,FALSE),VLOOKUP($A420,Pit!$A$4:$AZ$2261,I$2,FALSE))</f>
        <v>L</v>
      </c>
      <c r="J420" s="16" t="str">
        <f>IF($C420="B",VLOOKUP($A420,Bat!$A$4:$BD$2323,J$1,FALSE),VLOOKUP($A420,Pit!$A$4:$AZ$2261,J$2,FALSE))</f>
        <v>Normal</v>
      </c>
      <c r="K420" s="17" t="str">
        <f>IF($C420="B",VLOOKUP($A420,Bat!$A$4:$BD$2323,K$1,FALSE),VLOOKUP($A420,Pit!$A$4:$AZ$2261,K$2,FALSE))</f>
        <v>Very High</v>
      </c>
      <c r="L420" s="16">
        <f>IF($C420="B",VLOOKUP($A420,Bat!$A$4:$BD$2323,L$1,FALSE),VLOOKUP($A420,Pit!$A$4:$AZ$2261,L$2,FALSE))</f>
        <v>4</v>
      </c>
      <c r="M420" s="16">
        <f>IF($C420="B",VLOOKUP($A420,Bat!$A$4:$BD$2323,M$1,FALSE),VLOOKUP($A420,Pit!$A$4:$AZ$2261,M$2,FALSE))</f>
        <v>4</v>
      </c>
      <c r="N420" s="16">
        <f>IF($C420="B",VLOOKUP($A420,Bat!$A$4:$BD$2323,N$1,FALSE),VLOOKUP($A420,Pit!$A$4:$AZ$2261,N$2,FALSE))</f>
        <v>5</v>
      </c>
      <c r="O420" s="16" t="str">
        <f>IF($C420="B",VLOOKUP($A420,Bat!$A$4:$BD$2323,O$1,FALSE),VLOOKUP($A420,Pit!$A$4:$AZ$2261,O$2,FALSE))</f>
        <v>92-94 Mph</v>
      </c>
      <c r="P420" s="17">
        <f>IF($C420="B",VLOOKUP($A420,Bat!$A$4:$BD$2323,P$1,FALSE),VLOOKUP($A420,Pit!$A$4:$AZ$2261,P$2,FALSE))</f>
        <v>1</v>
      </c>
      <c r="Q420" s="18">
        <f>IF($C420="B",VLOOKUP($A420,Bat!$A$4:$BD$2323,Q$1,FALSE),VLOOKUP($A420,Pit!$A$4:$AZ$2261,Q$2,FALSE))</f>
        <v>29.544705131940233</v>
      </c>
      <c r="R420" s="19">
        <f>IF($C420="B",VLOOKUP($A420,Bat!$A$4:$BD$2323,R$1,FALSE),VLOOKUP($A420,Pit!$A$4:$AZ$2261,R$2,FALSE))</f>
        <v>-0.34743711936610644</v>
      </c>
      <c r="S420" s="20" t="str">
        <f>IF($C420="B",VLOOKUP($A420,Bat!$A$4:$BD$2323,S$1,FALSE),VLOOKUP($A420,Pit!$A$4:$AZ$2261,S$2,FALSE))</f>
        <v>Slot</v>
      </c>
      <c r="T420" s="17" t="str">
        <f>IF(S420="Slot","",VLOOKUP(IF($C420="B",VLOOKUP($A420,Bat!$A$4:$AT$2323,T$1,FALSE),VLOOKUP($A420,Pit!$A$4:$BD$2261,T$2,FALSE)),COND!$A$34:$B$40,2,FALSE))</f>
        <v/>
      </c>
      <c r="U420" s="21">
        <f>IF($C420="B",VLOOKUP($A420,Bat!$A$4:$AR$1287,44,FALSE),VLOOKUP($A420,Pit!$A$4:$BB$1239,54,FALSE))</f>
        <v>0</v>
      </c>
      <c r="W420" s="21">
        <f t="shared" si="26"/>
        <v>0</v>
      </c>
      <c r="X420" s="22" t="e">
        <f t="shared" si="27"/>
        <v>#N/A</v>
      </c>
      <c r="Y420" s="16" t="str">
        <f>IF(ISERROR(VLOOKUP($E420&amp;$F420,Results!$A$2:$G$413,Y$1,FALSE)),"",VLOOKUP($E420&amp;$F420,Results!$A$2:$G$413,Y$1,FALSE))</f>
        <v/>
      </c>
      <c r="Z420" s="16" t="str">
        <f>IF(ISERROR(VLOOKUP($E420&amp;$F420,Results!$A$2:$G$413,Z$1,FALSE)),"",VLOOKUP($E420&amp;$F420,Results!$A$2:$G$413,Z$1,FALSE))</f>
        <v/>
      </c>
      <c r="AA420" s="16" t="str">
        <f>IF(ISERROR(VLOOKUP($E420&amp;$F420,Results!$A$2:$G$413,AA$1,FALSE)),"",VLOOKUP($E420&amp;$F420,Results!$A$2:$G$413,AA$1,FALSE))</f>
        <v/>
      </c>
      <c r="AB420" s="16" t="str">
        <f>IF(ISERROR(VLOOKUP($E420&amp;$F420,Results!$A$2:$G$413,AB$1,FALSE)),"",VLOOKUP($E420&amp;$F420,Results!$A$2:$G$413,AB$1,FALSE))</f>
        <v/>
      </c>
      <c r="AC420" s="16"/>
      <c r="AD420" s="20" t="str">
        <f>IF(ISERROR(VLOOKUP($AB420&amp;"-"&amp;$F420,Bonuses!$B$1:$G$1000,4,FALSE)),"",INT(VLOOKUP($AB420&amp;"-"&amp;$F420,Bonuses!$B$1:$G$1000,4,FALSE)))</f>
        <v/>
      </c>
      <c r="AE420" s="16" t="str">
        <f>IF(ISERROR(VLOOKUP($AB420&amp;"-"&amp;$F420,Bonuses!$B$1:$G$1000,5,FALSE)),"",IF(VLOOKUP($AB420&amp;"-"&amp;$F420,Bonuses!$B$1:$G$1000,5,FALSE)="","",VLOOKUP($AB420&amp;"-"&amp;$F420,Bonuses!$B$1:$G$1000,6,FALSE)&amp;" yrs, "&amp;VLOOKUP($AB420&amp;"-"&amp;$F420,Bonuses!$B$1:$G$1000,5,FALSE)))</f>
        <v/>
      </c>
    </row>
    <row r="421" spans="1:31" s="21" customFormat="1">
      <c r="A421" s="21" t="s">
        <v>92</v>
      </c>
      <c r="B421" s="21">
        <f t="shared" si="24"/>
        <v>1</v>
      </c>
      <c r="C421" s="21" t="str">
        <f t="shared" si="25"/>
        <v>P</v>
      </c>
      <c r="D421" s="17">
        <f>IF($C421="B",VLOOKUP($A421,Bat!$A$4:$BD$2323,D$1,FALSE),VLOOKUP($A421,Pit!$A$4:$AZ$2261,D$2,FALSE))</f>
        <v>2289</v>
      </c>
      <c r="E421" s="16" t="str">
        <f>IF($C421="B",VLOOKUP($A421,Bat!$A$4:$BD$2323,E$1,FALSE),VLOOKUP($A421,Pit!$A$4:$AZ$2261,E$2,FALSE))</f>
        <v>MR</v>
      </c>
      <c r="F421" s="16" t="str">
        <f>IF($C421="B",VLOOKUP($A421,Bat!$A$4:$BD$2323,F$1,FALSE),VLOOKUP($A421,Pit!$A$4:$AZ$2261,F$2,FALSE))</f>
        <v>Greg Hathaway</v>
      </c>
      <c r="G421" s="16">
        <f>IF($C421="B",VLOOKUP($A421,Bat!$A$4:$BD$2323,G$1,FALSE),VLOOKUP($A421,Pit!$A$4:$AZ$2261,G$2,FALSE))</f>
        <v>21</v>
      </c>
      <c r="H421" s="16" t="str">
        <f>IF($C421="B",VLOOKUP($A421,Bat!$A$4:$BD$2323,H$1,FALSE),VLOOKUP($A421,Pit!$A$4:$AZ$2261,H$2,FALSE))</f>
        <v>R</v>
      </c>
      <c r="I421" s="16" t="str">
        <f>IF($C421="B",VLOOKUP($A421,Bat!$A$4:$BD$2323,I$1,FALSE),VLOOKUP($A421,Pit!$A$4:$AZ$2261,I$2,FALSE))</f>
        <v>R</v>
      </c>
      <c r="J421" s="16" t="str">
        <f>IF($C421="B",VLOOKUP($A421,Bat!$A$4:$BD$2323,J$1,FALSE),VLOOKUP($A421,Pit!$A$4:$AZ$2261,J$2,FALSE))</f>
        <v>High</v>
      </c>
      <c r="K421" s="17" t="str">
        <f>IF($C421="B",VLOOKUP($A421,Bat!$A$4:$BD$2323,K$1,FALSE),VLOOKUP($A421,Pit!$A$4:$AZ$2261,K$2,FALSE))</f>
        <v>Normal</v>
      </c>
      <c r="L421" s="16">
        <f>IF($C421="B",VLOOKUP($A421,Bat!$A$4:$BD$2323,L$1,FALSE),VLOOKUP($A421,Pit!$A$4:$AZ$2261,L$2,FALSE))</f>
        <v>5</v>
      </c>
      <c r="M421" s="16">
        <f>IF($C421="B",VLOOKUP($A421,Bat!$A$4:$BD$2323,M$1,FALSE),VLOOKUP($A421,Pit!$A$4:$AZ$2261,M$2,FALSE))</f>
        <v>4</v>
      </c>
      <c r="N421" s="16">
        <f>IF($C421="B",VLOOKUP($A421,Bat!$A$4:$BD$2323,N$1,FALSE),VLOOKUP($A421,Pit!$A$4:$AZ$2261,N$2,FALSE))</f>
        <v>4</v>
      </c>
      <c r="O421" s="16" t="str">
        <f>IF($C421="B",VLOOKUP($A421,Bat!$A$4:$BD$2323,O$1,FALSE),VLOOKUP($A421,Pit!$A$4:$AZ$2261,O$2,FALSE))</f>
        <v>90-92 Mph</v>
      </c>
      <c r="P421" s="17">
        <f>IF($C421="B",VLOOKUP($A421,Bat!$A$4:$BD$2323,P$1,FALSE),VLOOKUP($A421,Pit!$A$4:$AZ$2261,P$2,FALSE))</f>
        <v>4</v>
      </c>
      <c r="Q421" s="18">
        <f>IF($C421="B",VLOOKUP($A421,Bat!$A$4:$BD$2323,Q$1,FALSE),VLOOKUP($A421,Pit!$A$4:$AZ$2261,Q$2,FALSE))</f>
        <v>28.933499542586432</v>
      </c>
      <c r="R421" s="19">
        <f>IF($C421="B",VLOOKUP($A421,Bat!$A$4:$BD$2323,R$1,FALSE),VLOOKUP($A421,Pit!$A$4:$AZ$2261,R$2,FALSE))</f>
        <v>-0.39595861656180542</v>
      </c>
      <c r="S421" s="20" t="str">
        <f>IF($C421="B",VLOOKUP($A421,Bat!$A$4:$BD$2323,S$1,FALSE),VLOOKUP($A421,Pit!$A$4:$AZ$2261,S$2,FALSE))</f>
        <v>Slot</v>
      </c>
      <c r="T421" s="17" t="str">
        <f>IF(S421="Slot","",VLOOKUP(IF($C421="B",VLOOKUP($A421,Bat!$A$4:$AT$2323,T$1,FALSE),VLOOKUP($A421,Pit!$A$4:$BD$2261,T$2,FALSE)),COND!$A$34:$B$40,2,FALSE))</f>
        <v/>
      </c>
      <c r="U421" s="21">
        <f>IF($C421="B",VLOOKUP($A421,Bat!$A$4:$AR$1287,44,FALSE),VLOOKUP($A421,Pit!$A$4:$BB$1239,54,FALSE))</f>
        <v>0</v>
      </c>
      <c r="W421" s="21">
        <f t="shared" si="26"/>
        <v>0</v>
      </c>
      <c r="X421" s="22" t="e">
        <f t="shared" si="27"/>
        <v>#N/A</v>
      </c>
      <c r="Y421" s="16" t="str">
        <f>IF(ISERROR(VLOOKUP($E421&amp;$F421,Results!$A$2:$G$413,Y$1,FALSE)),"",VLOOKUP($E421&amp;$F421,Results!$A$2:$G$413,Y$1,FALSE))</f>
        <v/>
      </c>
      <c r="Z421" s="16" t="str">
        <f>IF(ISERROR(VLOOKUP($E421&amp;$F421,Results!$A$2:$G$413,Z$1,FALSE)),"",VLOOKUP($E421&amp;$F421,Results!$A$2:$G$413,Z$1,FALSE))</f>
        <v/>
      </c>
      <c r="AA421" s="16" t="str">
        <f>IF(ISERROR(VLOOKUP($E421&amp;$F421,Results!$A$2:$G$413,AA$1,FALSE)),"",VLOOKUP($E421&amp;$F421,Results!$A$2:$G$413,AA$1,FALSE))</f>
        <v/>
      </c>
      <c r="AB421" s="16" t="str">
        <f>IF(ISERROR(VLOOKUP($E421&amp;$F421,Results!$A$2:$G$413,AB$1,FALSE)),"",VLOOKUP($E421&amp;$F421,Results!$A$2:$G$413,AB$1,FALSE))</f>
        <v/>
      </c>
      <c r="AC421" s="16"/>
      <c r="AD421" s="20" t="str">
        <f>IF(ISERROR(VLOOKUP($AB421&amp;"-"&amp;$F421,Bonuses!$B$1:$G$1000,4,FALSE)),"",INT(VLOOKUP($AB421&amp;"-"&amp;$F421,Bonuses!$B$1:$G$1000,4,FALSE)))</f>
        <v/>
      </c>
      <c r="AE421" s="16" t="str">
        <f>IF(ISERROR(VLOOKUP($AB421&amp;"-"&amp;$F421,Bonuses!$B$1:$G$1000,5,FALSE)),"",IF(VLOOKUP($AB421&amp;"-"&amp;$F421,Bonuses!$B$1:$G$1000,5,FALSE)="","",VLOOKUP($AB421&amp;"-"&amp;$F421,Bonuses!$B$1:$G$1000,6,FALSE)&amp;" yrs, "&amp;VLOOKUP($AB421&amp;"-"&amp;$F421,Bonuses!$B$1:$G$1000,5,FALSE)))</f>
        <v/>
      </c>
    </row>
    <row r="422" spans="1:31" s="21" customFormat="1">
      <c r="A422" s="21" t="s">
        <v>271</v>
      </c>
      <c r="B422" s="21">
        <f t="shared" si="24"/>
        <v>1</v>
      </c>
      <c r="C422" s="21" t="str">
        <f t="shared" si="25"/>
        <v>P</v>
      </c>
      <c r="D422" s="17">
        <f>IF($C422="B",VLOOKUP($A422,Bat!$A$4:$BD$2323,D$1,FALSE),VLOOKUP($A422,Pit!$A$4:$AZ$2261,D$2,FALSE))</f>
        <v>13836</v>
      </c>
      <c r="E422" s="16" t="str">
        <f>IF($C422="B",VLOOKUP($A422,Bat!$A$4:$BD$2323,E$1,FALSE),VLOOKUP($A422,Pit!$A$4:$AZ$2261,E$2,FALSE))</f>
        <v>MR</v>
      </c>
      <c r="F422" s="16" t="str">
        <f>IF($C422="B",VLOOKUP($A422,Bat!$A$4:$BD$2323,F$1,FALSE),VLOOKUP($A422,Pit!$A$4:$AZ$2261,F$2,FALSE))</f>
        <v>Roy Robinson</v>
      </c>
      <c r="G422" s="16">
        <f>IF($C422="B",VLOOKUP($A422,Bat!$A$4:$BD$2323,G$1,FALSE),VLOOKUP($A422,Pit!$A$4:$AZ$2261,G$2,FALSE))</f>
        <v>18</v>
      </c>
      <c r="H422" s="16" t="str">
        <f>IF($C422="B",VLOOKUP($A422,Bat!$A$4:$BD$2323,H$1,FALSE),VLOOKUP($A422,Pit!$A$4:$AZ$2261,H$2,FALSE))</f>
        <v>L</v>
      </c>
      <c r="I422" s="16" t="str">
        <f>IF($C422="B",VLOOKUP($A422,Bat!$A$4:$BD$2323,I$1,FALSE),VLOOKUP($A422,Pit!$A$4:$AZ$2261,I$2,FALSE))</f>
        <v>L</v>
      </c>
      <c r="J422" s="16" t="str">
        <f>IF($C422="B",VLOOKUP($A422,Bat!$A$4:$BD$2323,J$1,FALSE),VLOOKUP($A422,Pit!$A$4:$AZ$2261,J$2,FALSE))</f>
        <v>High</v>
      </c>
      <c r="K422" s="17" t="str">
        <f>IF($C422="B",VLOOKUP($A422,Bat!$A$4:$BD$2323,K$1,FALSE),VLOOKUP($A422,Pit!$A$4:$AZ$2261,K$2,FALSE))</f>
        <v>High</v>
      </c>
      <c r="L422" s="16">
        <f>IF($C422="B",VLOOKUP($A422,Bat!$A$4:$BD$2323,L$1,FALSE),VLOOKUP($A422,Pit!$A$4:$AZ$2261,L$2,FALSE))</f>
        <v>4</v>
      </c>
      <c r="M422" s="16">
        <f>IF($C422="B",VLOOKUP($A422,Bat!$A$4:$BD$2323,M$1,FALSE),VLOOKUP($A422,Pit!$A$4:$AZ$2261,M$2,FALSE))</f>
        <v>3</v>
      </c>
      <c r="N422" s="16">
        <f>IF($C422="B",VLOOKUP($A422,Bat!$A$4:$BD$2323,N$1,FALSE),VLOOKUP($A422,Pit!$A$4:$AZ$2261,N$2,FALSE))</f>
        <v>5</v>
      </c>
      <c r="O422" s="16" t="str">
        <f>IF($C422="B",VLOOKUP($A422,Bat!$A$4:$BD$2323,O$1,FALSE),VLOOKUP($A422,Pit!$A$4:$AZ$2261,O$2,FALSE))</f>
        <v>89-90 Mph</v>
      </c>
      <c r="P422" s="17">
        <f>IF($C422="B",VLOOKUP($A422,Bat!$A$4:$BD$2323,P$1,FALSE),VLOOKUP($A422,Pit!$A$4:$AZ$2261,P$2,FALSE))</f>
        <v>8</v>
      </c>
      <c r="Q422" s="18">
        <f>IF($C422="B",VLOOKUP($A422,Bat!$A$4:$BD$2323,Q$1,FALSE),VLOOKUP($A422,Pit!$A$4:$AZ$2261,Q$2,FALSE))</f>
        <v>29.380356036253104</v>
      </c>
      <c r="R422" s="19">
        <f>IF($C422="B",VLOOKUP($A422,Bat!$A$4:$BD$2323,R$1,FALSE),VLOOKUP($A422,Pit!$A$4:$AZ$2261,R$2,FALSE))</f>
        <v>-0.36048422548620868</v>
      </c>
      <c r="S422" s="20">
        <f>IF($C422="B",VLOOKUP($A422,Bat!$A$4:$BD$2323,S$1,FALSE),VLOOKUP($A422,Pit!$A$4:$AZ$2261,S$2,FALSE))</f>
        <v>1900000</v>
      </c>
      <c r="T422" s="17" t="str">
        <f>IF(S422="Slot","",VLOOKUP(IF($C422="B",VLOOKUP($A422,Bat!$A$4:$AT$2323,T$1,FALSE),VLOOKUP($A422,Pit!$A$4:$BD$2261,T$2,FALSE)),COND!$A$34:$B$40,2,FALSE))</f>
        <v>EH</v>
      </c>
      <c r="U422" s="21">
        <f>IF($C422="B",VLOOKUP($A422,Bat!$A$4:$AR$1287,44,FALSE),VLOOKUP($A422,Pit!$A$4:$BB$1239,54,FALSE))</f>
        <v>0</v>
      </c>
      <c r="W422" s="21">
        <f t="shared" si="26"/>
        <v>0</v>
      </c>
      <c r="X422" s="22" t="e">
        <f t="shared" si="27"/>
        <v>#N/A</v>
      </c>
      <c r="Y422" s="16" t="str">
        <f>IF(ISERROR(VLOOKUP($E422&amp;$F422,Results!$A$2:$G$413,Y$1,FALSE)),"",VLOOKUP($E422&amp;$F422,Results!$A$2:$G$413,Y$1,FALSE))</f>
        <v/>
      </c>
      <c r="Z422" s="16" t="str">
        <f>IF(ISERROR(VLOOKUP($E422&amp;$F422,Results!$A$2:$G$413,Z$1,FALSE)),"",VLOOKUP($E422&amp;$F422,Results!$A$2:$G$413,Z$1,FALSE))</f>
        <v/>
      </c>
      <c r="AA422" s="16" t="str">
        <f>IF(ISERROR(VLOOKUP($E422&amp;$F422,Results!$A$2:$G$413,AA$1,FALSE)),"",VLOOKUP($E422&amp;$F422,Results!$A$2:$G$413,AA$1,FALSE))</f>
        <v/>
      </c>
      <c r="AB422" s="16" t="str">
        <f>IF(ISERROR(VLOOKUP($E422&amp;$F422,Results!$A$2:$G$413,AB$1,FALSE)),"",VLOOKUP($E422&amp;$F422,Results!$A$2:$G$413,AB$1,FALSE))</f>
        <v/>
      </c>
      <c r="AC422" s="16"/>
      <c r="AD422" s="20" t="str">
        <f>IF(ISERROR(VLOOKUP($AB422&amp;"-"&amp;$F422,Bonuses!$B$1:$G$1000,4,FALSE)),"",INT(VLOOKUP($AB422&amp;"-"&amp;$F422,Bonuses!$B$1:$G$1000,4,FALSE)))</f>
        <v/>
      </c>
      <c r="AE422" s="16" t="str">
        <f>IF(ISERROR(VLOOKUP($AB422&amp;"-"&amp;$F422,Bonuses!$B$1:$G$1000,5,FALSE)),"",IF(VLOOKUP($AB422&amp;"-"&amp;$F422,Bonuses!$B$1:$G$1000,5,FALSE)="","",VLOOKUP($AB422&amp;"-"&amp;$F422,Bonuses!$B$1:$G$1000,6,FALSE)&amp;" yrs, "&amp;VLOOKUP($AB422&amp;"-"&amp;$F422,Bonuses!$B$1:$G$1000,5,FALSE)))</f>
        <v/>
      </c>
    </row>
    <row r="423" spans="1:31" s="21" customFormat="1">
      <c r="A423" s="21" t="s">
        <v>268</v>
      </c>
      <c r="B423" s="21">
        <f t="shared" si="24"/>
        <v>1</v>
      </c>
      <c r="C423" s="21" t="str">
        <f t="shared" si="25"/>
        <v>P</v>
      </c>
      <c r="D423" s="17" t="e">
        <f>IF($C423="B",VLOOKUP($A423,Bat!$A$4:$BD$2323,D$1,FALSE),VLOOKUP($A423,Pit!$A$4:$AZ$2261,D$2,FALSE))</f>
        <v>#N/A</v>
      </c>
      <c r="E423" s="16" t="e">
        <f>IF($C423="B",VLOOKUP($A423,Bat!$A$4:$BD$2323,E$1,FALSE),VLOOKUP($A423,Pit!$A$4:$AZ$2261,E$2,FALSE))</f>
        <v>#N/A</v>
      </c>
      <c r="F423" s="16" t="e">
        <f>IF($C423="B",VLOOKUP($A423,Bat!$A$4:$BD$2323,F$1,FALSE),VLOOKUP($A423,Pit!$A$4:$AZ$2261,F$2,FALSE))</f>
        <v>#N/A</v>
      </c>
      <c r="G423" s="16" t="e">
        <f>IF($C423="B",VLOOKUP($A423,Bat!$A$4:$BD$2323,G$1,FALSE),VLOOKUP($A423,Pit!$A$4:$AZ$2261,G$2,FALSE))</f>
        <v>#N/A</v>
      </c>
      <c r="H423" s="16" t="e">
        <f>IF($C423="B",VLOOKUP($A423,Bat!$A$4:$BD$2323,H$1,FALSE),VLOOKUP($A423,Pit!$A$4:$AZ$2261,H$2,FALSE))</f>
        <v>#N/A</v>
      </c>
      <c r="I423" s="16" t="e">
        <f>IF($C423="B",VLOOKUP($A423,Bat!$A$4:$BD$2323,I$1,FALSE),VLOOKUP($A423,Pit!$A$4:$AZ$2261,I$2,FALSE))</f>
        <v>#N/A</v>
      </c>
      <c r="J423" s="16" t="e">
        <f>IF($C423="B",VLOOKUP($A423,Bat!$A$4:$BD$2323,J$1,FALSE),VLOOKUP($A423,Pit!$A$4:$AZ$2261,J$2,FALSE))</f>
        <v>#N/A</v>
      </c>
      <c r="K423" s="17" t="e">
        <f>IF($C423="B",VLOOKUP($A423,Bat!$A$4:$BD$2323,K$1,FALSE),VLOOKUP($A423,Pit!$A$4:$AZ$2261,K$2,FALSE))</f>
        <v>#N/A</v>
      </c>
      <c r="L423" s="16" t="e">
        <f>IF($C423="B",VLOOKUP($A423,Bat!$A$4:$BD$2323,L$1,FALSE),VLOOKUP($A423,Pit!$A$4:$AZ$2261,L$2,FALSE))</f>
        <v>#N/A</v>
      </c>
      <c r="M423" s="16" t="e">
        <f>IF($C423="B",VLOOKUP($A423,Bat!$A$4:$BD$2323,M$1,FALSE),VLOOKUP($A423,Pit!$A$4:$AZ$2261,M$2,FALSE))</f>
        <v>#N/A</v>
      </c>
      <c r="N423" s="16" t="e">
        <f>IF($C423="B",VLOOKUP($A423,Bat!$A$4:$BD$2323,N$1,FALSE),VLOOKUP($A423,Pit!$A$4:$AZ$2261,N$2,FALSE))</f>
        <v>#N/A</v>
      </c>
      <c r="O423" s="16" t="e">
        <f>IF($C423="B",VLOOKUP($A423,Bat!$A$4:$BD$2323,O$1,FALSE),VLOOKUP($A423,Pit!$A$4:$AZ$2261,O$2,FALSE))</f>
        <v>#N/A</v>
      </c>
      <c r="P423" s="17" t="e">
        <f>IF($C423="B",VLOOKUP($A423,Bat!$A$4:$BD$2323,P$1,FALSE),VLOOKUP($A423,Pit!$A$4:$AZ$2261,P$2,FALSE))</f>
        <v>#N/A</v>
      </c>
      <c r="Q423" s="18" t="e">
        <f>IF($C423="B",VLOOKUP($A423,Bat!$A$4:$BD$2323,Q$1,FALSE),VLOOKUP($A423,Pit!$A$4:$AZ$2261,Q$2,FALSE))</f>
        <v>#N/A</v>
      </c>
      <c r="R423" s="19" t="e">
        <f>IF($C423="B",VLOOKUP($A423,Bat!$A$4:$BD$2323,R$1,FALSE),VLOOKUP($A423,Pit!$A$4:$AZ$2261,R$2,FALSE))</f>
        <v>#N/A</v>
      </c>
      <c r="S423" s="20" t="e">
        <f>IF($C423="B",VLOOKUP($A423,Bat!$A$4:$BD$2323,S$1,FALSE),VLOOKUP($A423,Pit!$A$4:$AZ$2261,S$2,FALSE))</f>
        <v>#N/A</v>
      </c>
      <c r="T423" s="17" t="e">
        <f>IF(S423="Slot","",VLOOKUP(IF($C423="B",VLOOKUP($A423,Bat!$A$4:$AT$2323,T$1,FALSE),VLOOKUP($A423,Pit!$A$4:$BD$2261,T$2,FALSE)),COND!$A$34:$B$40,2,FALSE))</f>
        <v>#N/A</v>
      </c>
      <c r="U423" s="21" t="e">
        <f>IF($C423="B",VLOOKUP($A423,Bat!$A$4:$AR$1287,44,FALSE),VLOOKUP($A423,Pit!$A$4:$BB$1239,54,FALSE))</f>
        <v>#N/A</v>
      </c>
      <c r="W423" s="21" t="e">
        <f t="shared" si="26"/>
        <v>#N/A</v>
      </c>
      <c r="X423" s="22" t="e">
        <f t="shared" si="27"/>
        <v>#N/A</v>
      </c>
      <c r="Y423" s="16" t="str">
        <f>IF(ISERROR(VLOOKUP($E423&amp;$F423,Results!$A$2:$G$413,Y$1,FALSE)),"",VLOOKUP($E423&amp;$F423,Results!$A$2:$G$413,Y$1,FALSE))</f>
        <v/>
      </c>
      <c r="Z423" s="16" t="str">
        <f>IF(ISERROR(VLOOKUP($E423&amp;$F423,Results!$A$2:$G$413,Z$1,FALSE)),"",VLOOKUP($E423&amp;$F423,Results!$A$2:$G$413,Z$1,FALSE))</f>
        <v/>
      </c>
      <c r="AA423" s="16" t="str">
        <f>IF(ISERROR(VLOOKUP($E423&amp;$F423,Results!$A$2:$G$413,AA$1,FALSE)),"",VLOOKUP($E423&amp;$F423,Results!$A$2:$G$413,AA$1,FALSE))</f>
        <v/>
      </c>
      <c r="AB423" s="16" t="str">
        <f>IF(ISERROR(VLOOKUP($E423&amp;$F423,Results!$A$2:$G$413,AB$1,FALSE)),"",VLOOKUP($E423&amp;$F423,Results!$A$2:$G$413,AB$1,FALSE))</f>
        <v/>
      </c>
      <c r="AC423" s="16"/>
      <c r="AD423" s="20" t="str">
        <f>IF(ISERROR(VLOOKUP($AB423&amp;"-"&amp;$F423,Bonuses!$B$1:$G$1000,4,FALSE)),"",INT(VLOOKUP($AB423&amp;"-"&amp;$F423,Bonuses!$B$1:$G$1000,4,FALSE)))</f>
        <v/>
      </c>
      <c r="AE423" s="16" t="str">
        <f>IF(ISERROR(VLOOKUP($AB423&amp;"-"&amp;$F423,Bonuses!$B$1:$G$1000,5,FALSE)),"",IF(VLOOKUP($AB423&amp;"-"&amp;$F423,Bonuses!$B$1:$G$1000,5,FALSE)="","",VLOOKUP($AB423&amp;"-"&amp;$F423,Bonuses!$B$1:$G$1000,6,FALSE)&amp;" yrs, "&amp;VLOOKUP($AB423&amp;"-"&amp;$F423,Bonuses!$B$1:$G$1000,5,FALSE)))</f>
        <v/>
      </c>
    </row>
    <row r="424" spans="1:31" s="21" customFormat="1">
      <c r="A424" s="21" t="s">
        <v>599</v>
      </c>
      <c r="B424" s="21">
        <f t="shared" si="24"/>
        <v>1</v>
      </c>
      <c r="C424" s="21" t="str">
        <f t="shared" si="25"/>
        <v>P</v>
      </c>
      <c r="D424" s="17">
        <f>IF($C424="B",VLOOKUP($A424,Bat!$A$4:$BD$2323,D$1,FALSE),VLOOKUP($A424,Pit!$A$4:$AZ$2261,D$2,FALSE))</f>
        <v>13849</v>
      </c>
      <c r="E424" s="16" t="str">
        <f>IF($C424="B",VLOOKUP($A424,Bat!$A$4:$BD$2323,E$1,FALSE),VLOOKUP($A424,Pit!$A$4:$AZ$2261,E$2,FALSE))</f>
        <v>MR</v>
      </c>
      <c r="F424" s="16" t="str">
        <f>IF($C424="B",VLOOKUP($A424,Bat!$A$4:$BD$2323,F$1,FALSE),VLOOKUP($A424,Pit!$A$4:$AZ$2261,F$2,FALSE))</f>
        <v>Eric Christopher</v>
      </c>
      <c r="G424" s="16">
        <f>IF($C424="B",VLOOKUP($A424,Bat!$A$4:$BD$2323,G$1,FALSE),VLOOKUP($A424,Pit!$A$4:$AZ$2261,G$2,FALSE))</f>
        <v>18</v>
      </c>
      <c r="H424" s="16" t="str">
        <f>IF($C424="B",VLOOKUP($A424,Bat!$A$4:$BD$2323,H$1,FALSE),VLOOKUP($A424,Pit!$A$4:$AZ$2261,H$2,FALSE))</f>
        <v>R</v>
      </c>
      <c r="I424" s="16" t="str">
        <f>IF($C424="B",VLOOKUP($A424,Bat!$A$4:$BD$2323,I$1,FALSE),VLOOKUP($A424,Pit!$A$4:$AZ$2261,I$2,FALSE))</f>
        <v>R</v>
      </c>
      <c r="J424" s="16" t="str">
        <f>IF($C424="B",VLOOKUP($A424,Bat!$A$4:$BD$2323,J$1,FALSE),VLOOKUP($A424,Pit!$A$4:$AZ$2261,J$2,FALSE))</f>
        <v>Normal</v>
      </c>
      <c r="K424" s="17" t="str">
        <f>IF($C424="B",VLOOKUP($A424,Bat!$A$4:$BD$2323,K$1,FALSE),VLOOKUP($A424,Pit!$A$4:$AZ$2261,K$2,FALSE))</f>
        <v>Low</v>
      </c>
      <c r="L424" s="16">
        <f>IF($C424="B",VLOOKUP($A424,Bat!$A$4:$BD$2323,L$1,FALSE),VLOOKUP($A424,Pit!$A$4:$AZ$2261,L$2,FALSE))</f>
        <v>5</v>
      </c>
      <c r="M424" s="16">
        <f>IF($C424="B",VLOOKUP($A424,Bat!$A$4:$BD$2323,M$1,FALSE),VLOOKUP($A424,Pit!$A$4:$AZ$2261,M$2,FALSE))</f>
        <v>4</v>
      </c>
      <c r="N424" s="16">
        <f>IF($C424="B",VLOOKUP($A424,Bat!$A$4:$BD$2323,N$1,FALSE),VLOOKUP($A424,Pit!$A$4:$AZ$2261,N$2,FALSE))</f>
        <v>4</v>
      </c>
      <c r="O424" s="16" t="str">
        <f>IF($C424="B",VLOOKUP($A424,Bat!$A$4:$BD$2323,O$1,FALSE),VLOOKUP($A424,Pit!$A$4:$AZ$2261,O$2,FALSE))</f>
        <v>83-85 Mph</v>
      </c>
      <c r="P424" s="17">
        <f>IF($C424="B",VLOOKUP($A424,Bat!$A$4:$BD$2323,P$1,FALSE),VLOOKUP($A424,Pit!$A$4:$AZ$2261,P$2,FALSE))</f>
        <v>3</v>
      </c>
      <c r="Q424" s="18">
        <f>IF($C424="B",VLOOKUP($A424,Bat!$A$4:$BD$2323,Q$1,FALSE),VLOOKUP($A424,Pit!$A$4:$AZ$2261,Q$2,FALSE))</f>
        <v>27.827753338550401</v>
      </c>
      <c r="R424" s="19">
        <f>IF($C424="B",VLOOKUP($A424,Bat!$A$4:$BD$2323,R$1,FALSE),VLOOKUP($A424,Pit!$A$4:$AZ$2261,R$2,FALSE))</f>
        <v>-0.48373998223127396</v>
      </c>
      <c r="S424" s="20" t="str">
        <f>IF($C424="B",VLOOKUP($A424,Bat!$A$4:$BD$2323,S$1,FALSE),VLOOKUP($A424,Pit!$A$4:$AZ$2261,S$2,FALSE))</f>
        <v>Slot</v>
      </c>
      <c r="T424" s="17" t="str">
        <f>IF(S424="Slot","",VLOOKUP(IF($C424="B",VLOOKUP($A424,Bat!$A$4:$AT$2323,T$1,FALSE),VLOOKUP($A424,Pit!$A$4:$BD$2261,T$2,FALSE)),COND!$A$34:$B$40,2,FALSE))</f>
        <v/>
      </c>
      <c r="U424" s="21">
        <f>IF($C424="B",VLOOKUP($A424,Bat!$A$4:$AR$1287,44,FALSE),VLOOKUP($A424,Pit!$A$4:$BB$1239,54,FALSE))</f>
        <v>0</v>
      </c>
      <c r="W424" s="21">
        <f t="shared" si="26"/>
        <v>0</v>
      </c>
      <c r="X424" s="22" t="e">
        <f t="shared" si="27"/>
        <v>#N/A</v>
      </c>
      <c r="Y424" s="16" t="str">
        <f>IF(ISERROR(VLOOKUP($E424&amp;$F424,Results!$A$2:$G$413,Y$1,FALSE)),"",VLOOKUP($E424&amp;$F424,Results!$A$2:$G$413,Y$1,FALSE))</f>
        <v/>
      </c>
      <c r="Z424" s="16" t="str">
        <f>IF(ISERROR(VLOOKUP($E424&amp;$F424,Results!$A$2:$G$413,Z$1,FALSE)),"",VLOOKUP($E424&amp;$F424,Results!$A$2:$G$413,Z$1,FALSE))</f>
        <v/>
      </c>
      <c r="AA424" s="16" t="str">
        <f>IF(ISERROR(VLOOKUP($E424&amp;$F424,Results!$A$2:$G$413,AA$1,FALSE)),"",VLOOKUP($E424&amp;$F424,Results!$A$2:$G$413,AA$1,FALSE))</f>
        <v/>
      </c>
      <c r="AB424" s="16" t="str">
        <f>IF(ISERROR(VLOOKUP($E424&amp;$F424,Results!$A$2:$G$413,AB$1,FALSE)),"",VLOOKUP($E424&amp;$F424,Results!$A$2:$G$413,AB$1,FALSE))</f>
        <v/>
      </c>
      <c r="AC424" s="16"/>
      <c r="AD424" s="20" t="str">
        <f>IF(ISERROR(VLOOKUP($AB424&amp;"-"&amp;$F424,Bonuses!$B$1:$G$1000,4,FALSE)),"",INT(VLOOKUP($AB424&amp;"-"&amp;$F424,Bonuses!$B$1:$G$1000,4,FALSE)))</f>
        <v/>
      </c>
      <c r="AE424" s="16" t="str">
        <f>IF(ISERROR(VLOOKUP($AB424&amp;"-"&amp;$F424,Bonuses!$B$1:$G$1000,5,FALSE)),"",IF(VLOOKUP($AB424&amp;"-"&amp;$F424,Bonuses!$B$1:$G$1000,5,FALSE)="","",VLOOKUP($AB424&amp;"-"&amp;$F424,Bonuses!$B$1:$G$1000,6,FALSE)&amp;" yrs, "&amp;VLOOKUP($AB424&amp;"-"&amp;$F424,Bonuses!$B$1:$G$1000,5,FALSE)))</f>
        <v/>
      </c>
    </row>
    <row r="425" spans="1:31" s="21" customFormat="1">
      <c r="A425" s="21" t="s">
        <v>724</v>
      </c>
      <c r="B425" s="21">
        <f t="shared" si="24"/>
        <v>1</v>
      </c>
      <c r="C425" s="21" t="str">
        <f t="shared" si="25"/>
        <v>P</v>
      </c>
      <c r="D425" s="17">
        <f>IF($C425="B",VLOOKUP($A425,Bat!$A$4:$BD$2323,D$1,FALSE),VLOOKUP($A425,Pit!$A$4:$AZ$2261,D$2,FALSE))</f>
        <v>13756</v>
      </c>
      <c r="E425" s="16" t="str">
        <f>IF($C425="B",VLOOKUP($A425,Bat!$A$4:$BD$2323,E$1,FALSE),VLOOKUP($A425,Pit!$A$4:$AZ$2261,E$2,FALSE))</f>
        <v>SP</v>
      </c>
      <c r="F425" s="16" t="str">
        <f>IF($C425="B",VLOOKUP($A425,Bat!$A$4:$BD$2323,F$1,FALSE),VLOOKUP($A425,Pit!$A$4:$AZ$2261,F$2,FALSE))</f>
        <v>Pedro López</v>
      </c>
      <c r="G425" s="16">
        <f>IF($C425="B",VLOOKUP($A425,Bat!$A$4:$BD$2323,G$1,FALSE),VLOOKUP($A425,Pit!$A$4:$AZ$2261,G$2,FALSE))</f>
        <v>18</v>
      </c>
      <c r="H425" s="16" t="str">
        <f>IF($C425="B",VLOOKUP($A425,Bat!$A$4:$BD$2323,H$1,FALSE),VLOOKUP($A425,Pit!$A$4:$AZ$2261,H$2,FALSE))</f>
        <v>R</v>
      </c>
      <c r="I425" s="16" t="str">
        <f>IF($C425="B",VLOOKUP($A425,Bat!$A$4:$BD$2323,I$1,FALSE),VLOOKUP($A425,Pit!$A$4:$AZ$2261,I$2,FALSE))</f>
        <v>L</v>
      </c>
      <c r="J425" s="16" t="str">
        <f>IF($C425="B",VLOOKUP($A425,Bat!$A$4:$BD$2323,J$1,FALSE),VLOOKUP($A425,Pit!$A$4:$AZ$2261,J$2,FALSE))</f>
        <v>High</v>
      </c>
      <c r="K425" s="17" t="str">
        <f>IF($C425="B",VLOOKUP($A425,Bat!$A$4:$BD$2323,K$1,FALSE),VLOOKUP($A425,Pit!$A$4:$AZ$2261,K$2,FALSE))</f>
        <v>Normal</v>
      </c>
      <c r="L425" s="16">
        <f>IF($C425="B",VLOOKUP($A425,Bat!$A$4:$BD$2323,L$1,FALSE),VLOOKUP($A425,Pit!$A$4:$AZ$2261,L$2,FALSE))</f>
        <v>4</v>
      </c>
      <c r="M425" s="16">
        <f>IF($C425="B",VLOOKUP($A425,Bat!$A$4:$BD$2323,M$1,FALSE),VLOOKUP($A425,Pit!$A$4:$AZ$2261,M$2,FALSE))</f>
        <v>4</v>
      </c>
      <c r="N425" s="16">
        <f>IF($C425="B",VLOOKUP($A425,Bat!$A$4:$BD$2323,N$1,FALSE),VLOOKUP($A425,Pit!$A$4:$AZ$2261,N$2,FALSE))</f>
        <v>4</v>
      </c>
      <c r="O425" s="16" t="str">
        <f>IF($C425="B",VLOOKUP($A425,Bat!$A$4:$BD$2323,O$1,FALSE),VLOOKUP($A425,Pit!$A$4:$AZ$2261,O$2,FALSE))</f>
        <v>83-85 Mph</v>
      </c>
      <c r="P425" s="17">
        <f>IF($C425="B",VLOOKUP($A425,Bat!$A$4:$BD$2323,P$1,FALSE),VLOOKUP($A425,Pit!$A$4:$AZ$2261,P$2,FALSE))</f>
        <v>7</v>
      </c>
      <c r="Q425" s="18">
        <f>IF($C425="B",VLOOKUP($A425,Bat!$A$4:$BD$2323,Q$1,FALSE),VLOOKUP($A425,Pit!$A$4:$AZ$2261,Q$2,FALSE))</f>
        <v>28.388409971528908</v>
      </c>
      <c r="R425" s="19">
        <f>IF($C425="B",VLOOKUP($A425,Bat!$A$4:$BD$2323,R$1,FALSE),VLOOKUP($A425,Pit!$A$4:$AZ$2261,R$2,FALSE))</f>
        <v>-0.43923139180169685</v>
      </c>
      <c r="S425" s="20" t="str">
        <f>IF($C425="B",VLOOKUP($A425,Bat!$A$4:$BD$2323,S$1,FALSE),VLOOKUP($A425,Pit!$A$4:$AZ$2261,S$2,FALSE))</f>
        <v>Slot</v>
      </c>
      <c r="T425" s="17" t="str">
        <f>IF(S425="Slot","",VLOOKUP(IF($C425="B",VLOOKUP($A425,Bat!$A$4:$AT$2323,T$1,FALSE),VLOOKUP($A425,Pit!$A$4:$BD$2261,T$2,FALSE)),COND!$A$34:$B$40,2,FALSE))</f>
        <v/>
      </c>
      <c r="U425" s="21">
        <f>IF($C425="B",VLOOKUP($A425,Bat!$A$4:$AR$1287,44,FALSE),VLOOKUP($A425,Pit!$A$4:$BB$1239,54,FALSE))</f>
        <v>0</v>
      </c>
      <c r="W425" s="21">
        <f t="shared" si="26"/>
        <v>0</v>
      </c>
      <c r="X425" s="22" t="e">
        <f t="shared" si="27"/>
        <v>#N/A</v>
      </c>
      <c r="Y425" s="16" t="str">
        <f>IF(ISERROR(VLOOKUP($E425&amp;$F425,Results!$A$2:$G$413,Y$1,FALSE)),"",VLOOKUP($E425&amp;$F425,Results!$A$2:$G$413,Y$1,FALSE))</f>
        <v/>
      </c>
      <c r="Z425" s="16" t="str">
        <f>IF(ISERROR(VLOOKUP($E425&amp;$F425,Results!$A$2:$G$413,Z$1,FALSE)),"",VLOOKUP($E425&amp;$F425,Results!$A$2:$G$413,Z$1,FALSE))</f>
        <v/>
      </c>
      <c r="AA425" s="16" t="str">
        <f>IF(ISERROR(VLOOKUP($E425&amp;$F425,Results!$A$2:$G$413,AA$1,FALSE)),"",VLOOKUP($E425&amp;$F425,Results!$A$2:$G$413,AA$1,FALSE))</f>
        <v/>
      </c>
      <c r="AB425" s="16" t="str">
        <f>IF(ISERROR(VLOOKUP($E425&amp;$F425,Results!$A$2:$G$413,AB$1,FALSE)),"",VLOOKUP($E425&amp;$F425,Results!$A$2:$G$413,AB$1,FALSE))</f>
        <v/>
      </c>
      <c r="AC425" s="16"/>
      <c r="AD425" s="20" t="str">
        <f>IF(ISERROR(VLOOKUP($AB425&amp;"-"&amp;$F425,Bonuses!$B$1:$G$1000,4,FALSE)),"",INT(VLOOKUP($AB425&amp;"-"&amp;$F425,Bonuses!$B$1:$G$1000,4,FALSE)))</f>
        <v/>
      </c>
      <c r="AE425" s="16" t="str">
        <f>IF(ISERROR(VLOOKUP($AB425&amp;"-"&amp;$F425,Bonuses!$B$1:$G$1000,5,FALSE)),"",IF(VLOOKUP($AB425&amp;"-"&amp;$F425,Bonuses!$B$1:$G$1000,5,FALSE)="","",VLOOKUP($AB425&amp;"-"&amp;$F425,Bonuses!$B$1:$G$1000,6,FALSE)&amp;" yrs, "&amp;VLOOKUP($AB425&amp;"-"&amp;$F425,Bonuses!$B$1:$G$1000,5,FALSE)))</f>
        <v/>
      </c>
    </row>
    <row r="426" spans="1:31" s="21" customFormat="1">
      <c r="A426" s="21" t="s">
        <v>616</v>
      </c>
      <c r="B426" s="21">
        <f t="shared" si="24"/>
        <v>1</v>
      </c>
      <c r="C426" s="21" t="str">
        <f t="shared" si="25"/>
        <v>P</v>
      </c>
      <c r="D426" s="17">
        <f>IF($C426="B",VLOOKUP($A426,Bat!$A$4:$BD$2323,D$1,FALSE),VLOOKUP($A426,Pit!$A$4:$AZ$2261,D$2,FALSE))</f>
        <v>13812</v>
      </c>
      <c r="E426" s="16" t="str">
        <f>IF($C426="B",VLOOKUP($A426,Bat!$A$4:$BD$2323,E$1,FALSE),VLOOKUP($A426,Pit!$A$4:$AZ$2261,E$2,FALSE))</f>
        <v>MR</v>
      </c>
      <c r="F426" s="16" t="str">
        <f>IF($C426="B",VLOOKUP($A426,Bat!$A$4:$BD$2323,F$1,FALSE),VLOOKUP($A426,Pit!$A$4:$AZ$2261,F$2,FALSE))</f>
        <v>Wilbert Taylor</v>
      </c>
      <c r="G426" s="16">
        <f>IF($C426="B",VLOOKUP($A426,Bat!$A$4:$BD$2323,G$1,FALSE),VLOOKUP($A426,Pit!$A$4:$AZ$2261,G$2,FALSE))</f>
        <v>18</v>
      </c>
      <c r="H426" s="16" t="str">
        <f>IF($C426="B",VLOOKUP($A426,Bat!$A$4:$BD$2323,H$1,FALSE),VLOOKUP($A426,Pit!$A$4:$AZ$2261,H$2,FALSE))</f>
        <v>R</v>
      </c>
      <c r="I426" s="16" t="str">
        <f>IF($C426="B",VLOOKUP($A426,Bat!$A$4:$BD$2323,I$1,FALSE),VLOOKUP($A426,Pit!$A$4:$AZ$2261,I$2,FALSE))</f>
        <v>R</v>
      </c>
      <c r="J426" s="16" t="str">
        <f>IF($C426="B",VLOOKUP($A426,Bat!$A$4:$BD$2323,J$1,FALSE),VLOOKUP($A426,Pit!$A$4:$AZ$2261,J$2,FALSE))</f>
        <v>Very Low</v>
      </c>
      <c r="K426" s="17" t="str">
        <f>IF($C426="B",VLOOKUP($A426,Bat!$A$4:$BD$2323,K$1,FALSE),VLOOKUP($A426,Pit!$A$4:$AZ$2261,K$2,FALSE))</f>
        <v>Very High</v>
      </c>
      <c r="L426" s="16">
        <f>IF($C426="B",VLOOKUP($A426,Bat!$A$4:$BD$2323,L$1,FALSE),VLOOKUP($A426,Pit!$A$4:$AZ$2261,L$2,FALSE))</f>
        <v>4</v>
      </c>
      <c r="M426" s="16">
        <f>IF($C426="B",VLOOKUP($A426,Bat!$A$4:$BD$2323,M$1,FALSE),VLOOKUP($A426,Pit!$A$4:$AZ$2261,M$2,FALSE))</f>
        <v>4</v>
      </c>
      <c r="N426" s="16">
        <f>IF($C426="B",VLOOKUP($A426,Bat!$A$4:$BD$2323,N$1,FALSE),VLOOKUP($A426,Pit!$A$4:$AZ$2261,N$2,FALSE))</f>
        <v>5</v>
      </c>
      <c r="O426" s="16" t="str">
        <f>IF($C426="B",VLOOKUP($A426,Bat!$A$4:$BD$2323,O$1,FALSE),VLOOKUP($A426,Pit!$A$4:$AZ$2261,O$2,FALSE))</f>
        <v>84-86 Mph</v>
      </c>
      <c r="P426" s="17">
        <f>IF($C426="B",VLOOKUP($A426,Bat!$A$4:$BD$2323,P$1,FALSE),VLOOKUP($A426,Pit!$A$4:$AZ$2261,P$2,FALSE))</f>
        <v>2</v>
      </c>
      <c r="Q426" s="18">
        <f>IF($C426="B",VLOOKUP($A426,Bat!$A$4:$BD$2323,Q$1,FALSE),VLOOKUP($A426,Pit!$A$4:$AZ$2261,Q$2,FALSE))</f>
        <v>26.587213368968822</v>
      </c>
      <c r="R426" s="19">
        <f>IF($C426="B",VLOOKUP($A426,Bat!$A$4:$BD$2323,R$1,FALSE),VLOOKUP($A426,Pit!$A$4:$AZ$2261,R$2,FALSE))</f>
        <v>-0.58222215861131033</v>
      </c>
      <c r="S426" s="20" t="str">
        <f>IF($C426="B",VLOOKUP($A426,Bat!$A$4:$BD$2323,S$1,FALSE),VLOOKUP($A426,Pit!$A$4:$AZ$2261,S$2,FALSE))</f>
        <v>Slot</v>
      </c>
      <c r="T426" s="17" t="str">
        <f>IF(S426="Slot","",VLOOKUP(IF($C426="B",VLOOKUP($A426,Bat!$A$4:$AT$2323,T$1,FALSE),VLOOKUP($A426,Pit!$A$4:$BD$2261,T$2,FALSE)),COND!$A$34:$B$40,2,FALSE))</f>
        <v/>
      </c>
      <c r="U426" s="21">
        <f>IF($C426="B",VLOOKUP($A426,Bat!$A$4:$AR$1287,44,FALSE),VLOOKUP($A426,Pit!$A$4:$BB$1239,54,FALSE))</f>
        <v>0</v>
      </c>
      <c r="W426" s="21">
        <f t="shared" si="26"/>
        <v>0</v>
      </c>
      <c r="X426" s="22" t="e">
        <f t="shared" si="27"/>
        <v>#N/A</v>
      </c>
      <c r="Y426" s="16" t="str">
        <f>IF(ISERROR(VLOOKUP($E426&amp;$F426,Results!$A$2:$G$413,Y$1,FALSE)),"",VLOOKUP($E426&amp;$F426,Results!$A$2:$G$413,Y$1,FALSE))</f>
        <v/>
      </c>
      <c r="Z426" s="16" t="str">
        <f>IF(ISERROR(VLOOKUP($E426&amp;$F426,Results!$A$2:$G$413,Z$1,FALSE)),"",VLOOKUP($E426&amp;$F426,Results!$A$2:$G$413,Z$1,FALSE))</f>
        <v/>
      </c>
      <c r="AA426" s="16" t="str">
        <f>IF(ISERROR(VLOOKUP($E426&amp;$F426,Results!$A$2:$G$413,AA$1,FALSE)),"",VLOOKUP($E426&amp;$F426,Results!$A$2:$G$413,AA$1,FALSE))</f>
        <v/>
      </c>
      <c r="AB426" s="16" t="str">
        <f>IF(ISERROR(VLOOKUP($E426&amp;$F426,Results!$A$2:$G$413,AB$1,FALSE)),"",VLOOKUP($E426&amp;$F426,Results!$A$2:$G$413,AB$1,FALSE))</f>
        <v/>
      </c>
      <c r="AC426" s="16"/>
      <c r="AD426" s="20" t="str">
        <f>IF(ISERROR(VLOOKUP($AB426&amp;"-"&amp;$F426,Bonuses!$B$1:$G$1000,4,FALSE)),"",INT(VLOOKUP($AB426&amp;"-"&amp;$F426,Bonuses!$B$1:$G$1000,4,FALSE)))</f>
        <v/>
      </c>
      <c r="AE426" s="16" t="str">
        <f>IF(ISERROR(VLOOKUP($AB426&amp;"-"&amp;$F426,Bonuses!$B$1:$G$1000,5,FALSE)),"",IF(VLOOKUP($AB426&amp;"-"&amp;$F426,Bonuses!$B$1:$G$1000,5,FALSE)="","",VLOOKUP($AB426&amp;"-"&amp;$F426,Bonuses!$B$1:$G$1000,6,FALSE)&amp;" yrs, "&amp;VLOOKUP($AB426&amp;"-"&amp;$F426,Bonuses!$B$1:$G$1000,5,FALSE)))</f>
        <v/>
      </c>
    </row>
    <row r="427" spans="1:31" s="21" customFormat="1">
      <c r="A427" s="21" t="s">
        <v>83</v>
      </c>
      <c r="B427" s="21">
        <f t="shared" si="24"/>
        <v>1</v>
      </c>
      <c r="C427" s="21" t="str">
        <f t="shared" si="25"/>
        <v>P</v>
      </c>
      <c r="D427" s="17">
        <f>IF($C427="B",VLOOKUP($A427,Bat!$A$4:$BD$2323,D$1,FALSE),VLOOKUP($A427,Pit!$A$4:$AZ$2261,D$2,FALSE))</f>
        <v>1671</v>
      </c>
      <c r="E427" s="16" t="str">
        <f>IF($C427="B",VLOOKUP($A427,Bat!$A$4:$BD$2323,E$1,FALSE),VLOOKUP($A427,Pit!$A$4:$AZ$2261,E$2,FALSE))</f>
        <v>MR</v>
      </c>
      <c r="F427" s="16" t="str">
        <f>IF($C427="B",VLOOKUP($A427,Bat!$A$4:$BD$2323,F$1,FALSE),VLOOKUP($A427,Pit!$A$4:$AZ$2261,F$2,FALSE))</f>
        <v>David Eaton</v>
      </c>
      <c r="G427" s="16">
        <f>IF($C427="B",VLOOKUP($A427,Bat!$A$4:$BD$2323,G$1,FALSE),VLOOKUP($A427,Pit!$A$4:$AZ$2261,G$2,FALSE))</f>
        <v>18</v>
      </c>
      <c r="H427" s="16" t="str">
        <f>IF($C427="B",VLOOKUP($A427,Bat!$A$4:$BD$2323,H$1,FALSE),VLOOKUP($A427,Pit!$A$4:$AZ$2261,H$2,FALSE))</f>
        <v>R</v>
      </c>
      <c r="I427" s="16" t="str">
        <f>IF($C427="B",VLOOKUP($A427,Bat!$A$4:$BD$2323,I$1,FALSE),VLOOKUP($A427,Pit!$A$4:$AZ$2261,I$2,FALSE))</f>
        <v>R</v>
      </c>
      <c r="J427" s="16" t="str">
        <f>IF($C427="B",VLOOKUP($A427,Bat!$A$4:$BD$2323,J$1,FALSE),VLOOKUP($A427,Pit!$A$4:$AZ$2261,J$2,FALSE))</f>
        <v>Very Low</v>
      </c>
      <c r="K427" s="17" t="str">
        <f>IF($C427="B",VLOOKUP($A427,Bat!$A$4:$BD$2323,K$1,FALSE),VLOOKUP($A427,Pit!$A$4:$AZ$2261,K$2,FALSE))</f>
        <v>Very High</v>
      </c>
      <c r="L427" s="16">
        <f>IF($C427="B",VLOOKUP($A427,Bat!$A$4:$BD$2323,L$1,FALSE),VLOOKUP($A427,Pit!$A$4:$AZ$2261,L$2,FALSE))</f>
        <v>4</v>
      </c>
      <c r="M427" s="16">
        <f>IF($C427="B",VLOOKUP($A427,Bat!$A$4:$BD$2323,M$1,FALSE),VLOOKUP($A427,Pit!$A$4:$AZ$2261,M$2,FALSE))</f>
        <v>5</v>
      </c>
      <c r="N427" s="16">
        <f>IF($C427="B",VLOOKUP($A427,Bat!$A$4:$BD$2323,N$1,FALSE),VLOOKUP($A427,Pit!$A$4:$AZ$2261,N$2,FALSE))</f>
        <v>4</v>
      </c>
      <c r="O427" s="16" t="str">
        <f>IF($C427="B",VLOOKUP($A427,Bat!$A$4:$BD$2323,O$1,FALSE),VLOOKUP($A427,Pit!$A$4:$AZ$2261,O$2,FALSE))</f>
        <v>91-93 Mph</v>
      </c>
      <c r="P427" s="17">
        <f>IF($C427="B",VLOOKUP($A427,Bat!$A$4:$BD$2323,P$1,FALSE),VLOOKUP($A427,Pit!$A$4:$AZ$2261,P$2,FALSE))</f>
        <v>3</v>
      </c>
      <c r="Q427" s="18">
        <f>IF($C427="B",VLOOKUP($A427,Bat!$A$4:$BD$2323,Q$1,FALSE),VLOOKUP($A427,Pit!$A$4:$AZ$2261,Q$2,FALSE))</f>
        <v>26.520784729876169</v>
      </c>
      <c r="R427" s="19">
        <f>IF($C427="B",VLOOKUP($A427,Bat!$A$4:$BD$2323,R$1,FALSE),VLOOKUP($A427,Pit!$A$4:$AZ$2261,R$2,FALSE))</f>
        <v>-0.58749569845059091</v>
      </c>
      <c r="S427" s="20" t="str">
        <f>IF($C427="B",VLOOKUP($A427,Bat!$A$4:$BD$2323,S$1,FALSE),VLOOKUP($A427,Pit!$A$4:$AZ$2261,S$2,FALSE))</f>
        <v>Slot</v>
      </c>
      <c r="T427" s="17" t="str">
        <f>IF(S427="Slot","",VLOOKUP(IF($C427="B",VLOOKUP($A427,Bat!$A$4:$AT$2323,T$1,FALSE),VLOOKUP($A427,Pit!$A$4:$BD$2261,T$2,FALSE)),COND!$A$34:$B$40,2,FALSE))</f>
        <v/>
      </c>
      <c r="U427" s="21">
        <f>IF($C427="B",VLOOKUP($A427,Bat!$A$4:$AR$1287,44,FALSE),VLOOKUP($A427,Pit!$A$4:$BB$1239,54,FALSE))</f>
        <v>0</v>
      </c>
      <c r="W427" s="21">
        <f t="shared" si="26"/>
        <v>0</v>
      </c>
      <c r="X427" s="22" t="e">
        <f t="shared" si="27"/>
        <v>#N/A</v>
      </c>
      <c r="Y427" s="16" t="str">
        <f>IF(ISERROR(VLOOKUP($E427&amp;$F427,Results!$A$2:$G$413,Y$1,FALSE)),"",VLOOKUP($E427&amp;$F427,Results!$A$2:$G$413,Y$1,FALSE))</f>
        <v/>
      </c>
      <c r="Z427" s="16" t="str">
        <f>IF(ISERROR(VLOOKUP($E427&amp;$F427,Results!$A$2:$G$413,Z$1,FALSE)),"",VLOOKUP($E427&amp;$F427,Results!$A$2:$G$413,Z$1,FALSE))</f>
        <v/>
      </c>
      <c r="AA427" s="16" t="str">
        <f>IF(ISERROR(VLOOKUP($E427&amp;$F427,Results!$A$2:$G$413,AA$1,FALSE)),"",VLOOKUP($E427&amp;$F427,Results!$A$2:$G$413,AA$1,FALSE))</f>
        <v/>
      </c>
      <c r="AB427" s="16" t="str">
        <f>IF(ISERROR(VLOOKUP($E427&amp;$F427,Results!$A$2:$G$413,AB$1,FALSE)),"",VLOOKUP($E427&amp;$F427,Results!$A$2:$G$413,AB$1,FALSE))</f>
        <v/>
      </c>
      <c r="AC427" s="16"/>
      <c r="AD427" s="20" t="str">
        <f>IF(ISERROR(VLOOKUP($AB427&amp;"-"&amp;$F427,Bonuses!$B$1:$G$1000,4,FALSE)),"",INT(VLOOKUP($AB427&amp;"-"&amp;$F427,Bonuses!$B$1:$G$1000,4,FALSE)))</f>
        <v/>
      </c>
      <c r="AE427" s="16" t="str">
        <f>IF(ISERROR(VLOOKUP($AB427&amp;"-"&amp;$F427,Bonuses!$B$1:$G$1000,5,FALSE)),"",IF(VLOOKUP($AB427&amp;"-"&amp;$F427,Bonuses!$B$1:$G$1000,5,FALSE)="","",VLOOKUP($AB427&amp;"-"&amp;$F427,Bonuses!$B$1:$G$1000,6,FALSE)&amp;" yrs, "&amp;VLOOKUP($AB427&amp;"-"&amp;$F427,Bonuses!$B$1:$G$1000,5,FALSE)))</f>
        <v/>
      </c>
    </row>
    <row r="428" spans="1:31" s="21" customFormat="1">
      <c r="A428" s="21" t="s">
        <v>568</v>
      </c>
      <c r="B428" s="21">
        <f t="shared" si="24"/>
        <v>1</v>
      </c>
      <c r="C428" s="21" t="str">
        <f t="shared" si="25"/>
        <v>P</v>
      </c>
      <c r="D428" s="17">
        <f>IF($C428="B",VLOOKUP($A428,Bat!$A$4:$BD$2323,D$1,FALSE),VLOOKUP($A428,Pit!$A$4:$AZ$2261,D$2,FALSE))</f>
        <v>13748</v>
      </c>
      <c r="E428" s="16" t="str">
        <f>IF($C428="B",VLOOKUP($A428,Bat!$A$4:$BD$2323,E$1,FALSE),VLOOKUP($A428,Pit!$A$4:$AZ$2261,E$2,FALSE))</f>
        <v>MR</v>
      </c>
      <c r="F428" s="16" t="str">
        <f>IF($C428="B",VLOOKUP($A428,Bat!$A$4:$BD$2323,F$1,FALSE),VLOOKUP($A428,Pit!$A$4:$AZ$2261,F$2,FALSE))</f>
        <v>Sixto Canó</v>
      </c>
      <c r="G428" s="16">
        <f>IF($C428="B",VLOOKUP($A428,Bat!$A$4:$BD$2323,G$1,FALSE),VLOOKUP($A428,Pit!$A$4:$AZ$2261,G$2,FALSE))</f>
        <v>18</v>
      </c>
      <c r="H428" s="16" t="str">
        <f>IF($C428="B",VLOOKUP($A428,Bat!$A$4:$BD$2323,H$1,FALSE),VLOOKUP($A428,Pit!$A$4:$AZ$2261,H$2,FALSE))</f>
        <v>L</v>
      </c>
      <c r="I428" s="16" t="str">
        <f>IF($C428="B",VLOOKUP($A428,Bat!$A$4:$BD$2323,I$1,FALSE),VLOOKUP($A428,Pit!$A$4:$AZ$2261,I$2,FALSE))</f>
        <v>L</v>
      </c>
      <c r="J428" s="16" t="str">
        <f>IF($C428="B",VLOOKUP($A428,Bat!$A$4:$BD$2323,J$1,FALSE),VLOOKUP($A428,Pit!$A$4:$AZ$2261,J$2,FALSE))</f>
        <v>High</v>
      </c>
      <c r="K428" s="17" t="str">
        <f>IF($C428="B",VLOOKUP($A428,Bat!$A$4:$BD$2323,K$1,FALSE),VLOOKUP($A428,Pit!$A$4:$AZ$2261,K$2,FALSE))</f>
        <v>Normal</v>
      </c>
      <c r="L428" s="16">
        <f>IF($C428="B",VLOOKUP($A428,Bat!$A$4:$BD$2323,L$1,FALSE),VLOOKUP($A428,Pit!$A$4:$AZ$2261,L$2,FALSE))</f>
        <v>4</v>
      </c>
      <c r="M428" s="16">
        <f>IF($C428="B",VLOOKUP($A428,Bat!$A$4:$BD$2323,M$1,FALSE),VLOOKUP($A428,Pit!$A$4:$AZ$2261,M$2,FALSE))</f>
        <v>3</v>
      </c>
      <c r="N428" s="16">
        <f>IF($C428="B",VLOOKUP($A428,Bat!$A$4:$BD$2323,N$1,FALSE),VLOOKUP($A428,Pit!$A$4:$AZ$2261,N$2,FALSE))</f>
        <v>5</v>
      </c>
      <c r="O428" s="16" t="str">
        <f>IF($C428="B",VLOOKUP($A428,Bat!$A$4:$BD$2323,O$1,FALSE),VLOOKUP($A428,Pit!$A$4:$AZ$2261,O$2,FALSE))</f>
        <v>84-86 Mph</v>
      </c>
      <c r="P428" s="17">
        <f>IF($C428="B",VLOOKUP($A428,Bat!$A$4:$BD$2323,P$1,FALSE),VLOOKUP($A428,Pit!$A$4:$AZ$2261,P$2,FALSE))</f>
        <v>9</v>
      </c>
      <c r="Q428" s="18">
        <f>IF($C428="B",VLOOKUP($A428,Bat!$A$4:$BD$2323,Q$1,FALSE),VLOOKUP($A428,Pit!$A$4:$AZ$2261,Q$2,FALSE))</f>
        <v>28.107275994216138</v>
      </c>
      <c r="R428" s="19">
        <f>IF($C428="B",VLOOKUP($A428,Bat!$A$4:$BD$2323,R$1,FALSE),VLOOKUP($A428,Pit!$A$4:$AZ$2261,R$2,FALSE))</f>
        <v>-0.46154964564197876</v>
      </c>
      <c r="S428" s="20" t="str">
        <f>IF($C428="B",VLOOKUP($A428,Bat!$A$4:$BD$2323,S$1,FALSE),VLOOKUP($A428,Pit!$A$4:$AZ$2261,S$2,FALSE))</f>
        <v>Slot</v>
      </c>
      <c r="T428" s="17" t="str">
        <f>IF(S428="Slot","",VLOOKUP(IF($C428="B",VLOOKUP($A428,Bat!$A$4:$AT$2323,T$1,FALSE),VLOOKUP($A428,Pit!$A$4:$BD$2261,T$2,FALSE)),COND!$A$34:$B$40,2,FALSE))</f>
        <v/>
      </c>
      <c r="U428" s="21">
        <f>IF($C428="B",VLOOKUP($A428,Bat!$A$4:$AR$1287,44,FALSE),VLOOKUP($A428,Pit!$A$4:$BB$1239,54,FALSE))</f>
        <v>0</v>
      </c>
      <c r="W428" s="21">
        <f t="shared" si="26"/>
        <v>0</v>
      </c>
      <c r="X428" s="22" t="e">
        <f t="shared" si="27"/>
        <v>#N/A</v>
      </c>
      <c r="Y428" s="16" t="str">
        <f>IF(ISERROR(VLOOKUP($E428&amp;$F428,Results!$A$2:$G$413,Y$1,FALSE)),"",VLOOKUP($E428&amp;$F428,Results!$A$2:$G$413,Y$1,FALSE))</f>
        <v/>
      </c>
      <c r="Z428" s="16" t="str">
        <f>IF(ISERROR(VLOOKUP($E428&amp;$F428,Results!$A$2:$G$413,Z$1,FALSE)),"",VLOOKUP($E428&amp;$F428,Results!$A$2:$G$413,Z$1,FALSE))</f>
        <v/>
      </c>
      <c r="AA428" s="16" t="str">
        <f>IF(ISERROR(VLOOKUP($E428&amp;$F428,Results!$A$2:$G$413,AA$1,FALSE)),"",VLOOKUP($E428&amp;$F428,Results!$A$2:$G$413,AA$1,FALSE))</f>
        <v/>
      </c>
      <c r="AB428" s="16" t="str">
        <f>IF(ISERROR(VLOOKUP($E428&amp;$F428,Results!$A$2:$G$413,AB$1,FALSE)),"",VLOOKUP($E428&amp;$F428,Results!$A$2:$G$413,AB$1,FALSE))</f>
        <v/>
      </c>
      <c r="AC428" s="16"/>
      <c r="AD428" s="20" t="str">
        <f>IF(ISERROR(VLOOKUP($AB428&amp;"-"&amp;$F428,Bonuses!$B$1:$G$1000,4,FALSE)),"",INT(VLOOKUP($AB428&amp;"-"&amp;$F428,Bonuses!$B$1:$G$1000,4,FALSE)))</f>
        <v/>
      </c>
      <c r="AE428" s="16" t="str">
        <f>IF(ISERROR(VLOOKUP($AB428&amp;"-"&amp;$F428,Bonuses!$B$1:$G$1000,5,FALSE)),"",IF(VLOOKUP($AB428&amp;"-"&amp;$F428,Bonuses!$B$1:$G$1000,5,FALSE)="","",VLOOKUP($AB428&amp;"-"&amp;$F428,Bonuses!$B$1:$G$1000,6,FALSE)&amp;" yrs, "&amp;VLOOKUP($AB428&amp;"-"&amp;$F428,Bonuses!$B$1:$G$1000,5,FALSE)))</f>
        <v/>
      </c>
    </row>
    <row r="429" spans="1:31" s="21" customFormat="1">
      <c r="A429" s="21" t="s">
        <v>609</v>
      </c>
      <c r="B429" s="21">
        <f t="shared" si="24"/>
        <v>1</v>
      </c>
      <c r="C429" s="21" t="str">
        <f t="shared" si="25"/>
        <v>P</v>
      </c>
      <c r="D429" s="17">
        <f>IF($C429="B",VLOOKUP($A429,Bat!$A$4:$BD$2323,D$1,FALSE),VLOOKUP($A429,Pit!$A$4:$AZ$2261,D$2,FALSE))</f>
        <v>1548</v>
      </c>
      <c r="E429" s="16" t="str">
        <f>IF($C429="B",VLOOKUP($A429,Bat!$A$4:$BD$2323,E$1,FALSE),VLOOKUP($A429,Pit!$A$4:$AZ$2261,E$2,FALSE))</f>
        <v>MR</v>
      </c>
      <c r="F429" s="16" t="str">
        <f>IF($C429="B",VLOOKUP($A429,Bat!$A$4:$BD$2323,F$1,FALSE),VLOOKUP($A429,Pit!$A$4:$AZ$2261,F$2,FALSE))</f>
        <v>Frank Baker</v>
      </c>
      <c r="G429" s="16">
        <f>IF($C429="B",VLOOKUP($A429,Bat!$A$4:$BD$2323,G$1,FALSE),VLOOKUP($A429,Pit!$A$4:$AZ$2261,G$2,FALSE))</f>
        <v>18</v>
      </c>
      <c r="H429" s="16" t="str">
        <f>IF($C429="B",VLOOKUP($A429,Bat!$A$4:$BD$2323,H$1,FALSE),VLOOKUP($A429,Pit!$A$4:$AZ$2261,H$2,FALSE))</f>
        <v>R</v>
      </c>
      <c r="I429" s="16" t="str">
        <f>IF($C429="B",VLOOKUP($A429,Bat!$A$4:$BD$2323,I$1,FALSE),VLOOKUP($A429,Pit!$A$4:$AZ$2261,I$2,FALSE))</f>
        <v>R</v>
      </c>
      <c r="J429" s="16" t="str">
        <f>IF($C429="B",VLOOKUP($A429,Bat!$A$4:$BD$2323,J$1,FALSE),VLOOKUP($A429,Pit!$A$4:$AZ$2261,J$2,FALSE))</f>
        <v>Very Low</v>
      </c>
      <c r="K429" s="17" t="str">
        <f>IF($C429="B",VLOOKUP($A429,Bat!$A$4:$BD$2323,K$1,FALSE),VLOOKUP($A429,Pit!$A$4:$AZ$2261,K$2,FALSE))</f>
        <v>Normal</v>
      </c>
      <c r="L429" s="16">
        <f>IF($C429="B",VLOOKUP($A429,Bat!$A$4:$BD$2323,L$1,FALSE),VLOOKUP($A429,Pit!$A$4:$AZ$2261,L$2,FALSE))</f>
        <v>5</v>
      </c>
      <c r="M429" s="16">
        <f>IF($C429="B",VLOOKUP($A429,Bat!$A$4:$BD$2323,M$1,FALSE),VLOOKUP($A429,Pit!$A$4:$AZ$2261,M$2,FALSE))</f>
        <v>3</v>
      </c>
      <c r="N429" s="16">
        <f>IF($C429="B",VLOOKUP($A429,Bat!$A$4:$BD$2323,N$1,FALSE),VLOOKUP($A429,Pit!$A$4:$AZ$2261,N$2,FALSE))</f>
        <v>5</v>
      </c>
      <c r="O429" s="16" t="str">
        <f>IF($C429="B",VLOOKUP($A429,Bat!$A$4:$BD$2323,O$1,FALSE),VLOOKUP($A429,Pit!$A$4:$AZ$2261,O$2,FALSE))</f>
        <v>85-87 Mph</v>
      </c>
      <c r="P429" s="17">
        <f>IF($C429="B",VLOOKUP($A429,Bat!$A$4:$BD$2323,P$1,FALSE),VLOOKUP($A429,Pit!$A$4:$AZ$2261,P$2,FALSE))</f>
        <v>3</v>
      </c>
      <c r="Q429" s="18">
        <f>IF($C429="B",VLOOKUP($A429,Bat!$A$4:$BD$2323,Q$1,FALSE),VLOOKUP($A429,Pit!$A$4:$AZ$2261,Q$2,FALSE))</f>
        <v>25.971370446035102</v>
      </c>
      <c r="R429" s="19">
        <f>IF($C429="B",VLOOKUP($A429,Bat!$A$4:$BD$2323,R$1,FALSE),VLOOKUP($A429,Pit!$A$4:$AZ$2261,R$2,FALSE))</f>
        <v>-0.63111179767647652</v>
      </c>
      <c r="S429" s="20" t="str">
        <f>IF($C429="B",VLOOKUP($A429,Bat!$A$4:$BD$2323,S$1,FALSE),VLOOKUP($A429,Pit!$A$4:$AZ$2261,S$2,FALSE))</f>
        <v>Slot</v>
      </c>
      <c r="T429" s="17" t="str">
        <f>IF(S429="Slot","",VLOOKUP(IF($C429="B",VLOOKUP($A429,Bat!$A$4:$AT$2323,T$1,FALSE),VLOOKUP($A429,Pit!$A$4:$BD$2261,T$2,FALSE)),COND!$A$34:$B$40,2,FALSE))</f>
        <v/>
      </c>
      <c r="U429" s="21">
        <f>IF($C429="B",VLOOKUP($A429,Bat!$A$4:$AR$1287,44,FALSE),VLOOKUP($A429,Pit!$A$4:$BB$1239,54,FALSE))</f>
        <v>0</v>
      </c>
      <c r="W429" s="21">
        <f t="shared" si="26"/>
        <v>0</v>
      </c>
      <c r="X429" s="22" t="e">
        <f t="shared" si="27"/>
        <v>#N/A</v>
      </c>
      <c r="Y429" s="16" t="str">
        <f>IF(ISERROR(VLOOKUP($E429&amp;$F429,Results!$A$2:$G$413,Y$1,FALSE)),"",VLOOKUP($E429&amp;$F429,Results!$A$2:$G$413,Y$1,FALSE))</f>
        <v/>
      </c>
      <c r="Z429" s="16" t="str">
        <f>IF(ISERROR(VLOOKUP($E429&amp;$F429,Results!$A$2:$G$413,Z$1,FALSE)),"",VLOOKUP($E429&amp;$F429,Results!$A$2:$G$413,Z$1,FALSE))</f>
        <v/>
      </c>
      <c r="AA429" s="16" t="str">
        <f>IF(ISERROR(VLOOKUP($E429&amp;$F429,Results!$A$2:$G$413,AA$1,FALSE)),"",VLOOKUP($E429&amp;$F429,Results!$A$2:$G$413,AA$1,FALSE))</f>
        <v/>
      </c>
      <c r="AB429" s="16" t="str">
        <f>IF(ISERROR(VLOOKUP($E429&amp;$F429,Results!$A$2:$G$413,AB$1,FALSE)),"",VLOOKUP($E429&amp;$F429,Results!$A$2:$G$413,AB$1,FALSE))</f>
        <v/>
      </c>
      <c r="AC429" s="16"/>
      <c r="AD429" s="20" t="str">
        <f>IF(ISERROR(VLOOKUP($AB429&amp;"-"&amp;$F429,Bonuses!$B$1:$G$1000,4,FALSE)),"",INT(VLOOKUP($AB429&amp;"-"&amp;$F429,Bonuses!$B$1:$G$1000,4,FALSE)))</f>
        <v/>
      </c>
      <c r="AE429" s="16" t="str">
        <f>IF(ISERROR(VLOOKUP($AB429&amp;"-"&amp;$F429,Bonuses!$B$1:$G$1000,5,FALSE)),"",IF(VLOOKUP($AB429&amp;"-"&amp;$F429,Bonuses!$B$1:$G$1000,5,FALSE)="","",VLOOKUP($AB429&amp;"-"&amp;$F429,Bonuses!$B$1:$G$1000,6,FALSE)&amp;" yrs, "&amp;VLOOKUP($AB429&amp;"-"&amp;$F429,Bonuses!$B$1:$G$1000,5,FALSE)))</f>
        <v/>
      </c>
    </row>
    <row r="430" spans="1:31" s="21" customFormat="1">
      <c r="A430" s="21" t="s">
        <v>577</v>
      </c>
      <c r="B430" s="21">
        <f t="shared" si="24"/>
        <v>1</v>
      </c>
      <c r="C430" s="21" t="str">
        <f t="shared" si="25"/>
        <v>P</v>
      </c>
      <c r="D430" s="17">
        <f>IF($C430="B",VLOOKUP($A430,Bat!$A$4:$BD$2323,D$1,FALSE),VLOOKUP($A430,Pit!$A$4:$AZ$2261,D$2,FALSE))</f>
        <v>13844</v>
      </c>
      <c r="E430" s="16" t="str">
        <f>IF($C430="B",VLOOKUP($A430,Bat!$A$4:$BD$2323,E$1,FALSE),VLOOKUP($A430,Pit!$A$4:$AZ$2261,E$2,FALSE))</f>
        <v>SP</v>
      </c>
      <c r="F430" s="16" t="str">
        <f>IF($C430="B",VLOOKUP($A430,Bat!$A$4:$BD$2323,F$1,FALSE),VLOOKUP($A430,Pit!$A$4:$AZ$2261,F$2,FALSE))</f>
        <v>Jason Thomas</v>
      </c>
      <c r="G430" s="16">
        <f>IF($C430="B",VLOOKUP($A430,Bat!$A$4:$BD$2323,G$1,FALSE),VLOOKUP($A430,Pit!$A$4:$AZ$2261,G$2,FALSE))</f>
        <v>18</v>
      </c>
      <c r="H430" s="16" t="str">
        <f>IF($C430="B",VLOOKUP($A430,Bat!$A$4:$BD$2323,H$1,FALSE),VLOOKUP($A430,Pit!$A$4:$AZ$2261,H$2,FALSE))</f>
        <v>R</v>
      </c>
      <c r="I430" s="16" t="str">
        <f>IF($C430="B",VLOOKUP($A430,Bat!$A$4:$BD$2323,I$1,FALSE),VLOOKUP($A430,Pit!$A$4:$AZ$2261,I$2,FALSE))</f>
        <v>R</v>
      </c>
      <c r="J430" s="16" t="str">
        <f>IF($C430="B",VLOOKUP($A430,Bat!$A$4:$BD$2323,J$1,FALSE),VLOOKUP($A430,Pit!$A$4:$AZ$2261,J$2,FALSE))</f>
        <v>Very Low</v>
      </c>
      <c r="K430" s="17" t="str">
        <f>IF($C430="B",VLOOKUP($A430,Bat!$A$4:$BD$2323,K$1,FALSE),VLOOKUP($A430,Pit!$A$4:$AZ$2261,K$2,FALSE))</f>
        <v>Very Low</v>
      </c>
      <c r="L430" s="16">
        <f>IF($C430="B",VLOOKUP($A430,Bat!$A$4:$BD$2323,L$1,FALSE),VLOOKUP($A430,Pit!$A$4:$AZ$2261,L$2,FALSE))</f>
        <v>5</v>
      </c>
      <c r="M430" s="16">
        <f>IF($C430="B",VLOOKUP($A430,Bat!$A$4:$BD$2323,M$1,FALSE),VLOOKUP($A430,Pit!$A$4:$AZ$2261,M$2,FALSE))</f>
        <v>4</v>
      </c>
      <c r="N430" s="16">
        <f>IF($C430="B",VLOOKUP($A430,Bat!$A$4:$BD$2323,N$1,FALSE),VLOOKUP($A430,Pit!$A$4:$AZ$2261,N$2,FALSE))</f>
        <v>4</v>
      </c>
      <c r="O430" s="16" t="str">
        <f>IF($C430="B",VLOOKUP($A430,Bat!$A$4:$BD$2323,O$1,FALSE),VLOOKUP($A430,Pit!$A$4:$AZ$2261,O$2,FALSE))</f>
        <v>91-93 Mph</v>
      </c>
      <c r="P430" s="17">
        <f>IF($C430="B",VLOOKUP($A430,Bat!$A$4:$BD$2323,P$1,FALSE),VLOOKUP($A430,Pit!$A$4:$AZ$2261,P$2,FALSE))</f>
        <v>7</v>
      </c>
      <c r="Q430" s="18">
        <f>IF($C430="B",VLOOKUP($A430,Bat!$A$4:$BD$2323,Q$1,FALSE),VLOOKUP($A430,Pit!$A$4:$AZ$2261,Q$2,FALSE))</f>
        <v>24.46155361233965</v>
      </c>
      <c r="R430" s="19">
        <f>IF($C430="B",VLOOKUP($A430,Bat!$A$4:$BD$2323,R$1,FALSE),VLOOKUP($A430,Pit!$A$4:$AZ$2261,R$2,FALSE))</f>
        <v>-0.75097093270111837</v>
      </c>
      <c r="S430" s="20" t="str">
        <f>IF($C430="B",VLOOKUP($A430,Bat!$A$4:$BD$2323,S$1,FALSE),VLOOKUP($A430,Pit!$A$4:$AZ$2261,S$2,FALSE))</f>
        <v>Slot</v>
      </c>
      <c r="T430" s="17" t="str">
        <f>IF(S430="Slot","",VLOOKUP(IF($C430="B",VLOOKUP($A430,Bat!$A$4:$AT$2323,T$1,FALSE),VLOOKUP($A430,Pit!$A$4:$BD$2261,T$2,FALSE)),COND!$A$34:$B$40,2,FALSE))</f>
        <v/>
      </c>
      <c r="U430" s="21">
        <f>IF($C430="B",VLOOKUP($A430,Bat!$A$4:$AR$1287,44,FALSE),VLOOKUP($A430,Pit!$A$4:$BB$1239,54,FALSE))</f>
        <v>0</v>
      </c>
      <c r="W430" s="21">
        <f t="shared" si="26"/>
        <v>0</v>
      </c>
      <c r="X430" s="22" t="e">
        <f t="shared" si="27"/>
        <v>#N/A</v>
      </c>
      <c r="Y430" s="16" t="str">
        <f>IF(ISERROR(VLOOKUP($E430&amp;$F430,Results!$A$2:$G$413,Y$1,FALSE)),"",VLOOKUP($E430&amp;$F430,Results!$A$2:$G$413,Y$1,FALSE))</f>
        <v/>
      </c>
      <c r="Z430" s="16" t="str">
        <f>IF(ISERROR(VLOOKUP($E430&amp;$F430,Results!$A$2:$G$413,Z$1,FALSE)),"",VLOOKUP($E430&amp;$F430,Results!$A$2:$G$413,Z$1,FALSE))</f>
        <v/>
      </c>
      <c r="AA430" s="16" t="str">
        <f>IF(ISERROR(VLOOKUP($E430&amp;$F430,Results!$A$2:$G$413,AA$1,FALSE)),"",VLOOKUP($E430&amp;$F430,Results!$A$2:$G$413,AA$1,FALSE))</f>
        <v/>
      </c>
      <c r="AB430" s="16" t="str">
        <f>IF(ISERROR(VLOOKUP($E430&amp;$F430,Results!$A$2:$G$413,AB$1,FALSE)),"",VLOOKUP($E430&amp;$F430,Results!$A$2:$G$413,AB$1,FALSE))</f>
        <v/>
      </c>
      <c r="AC430" s="16"/>
      <c r="AD430" s="20" t="str">
        <f>IF(ISERROR(VLOOKUP($AB430&amp;"-"&amp;$F430,Bonuses!$B$1:$G$1000,4,FALSE)),"",INT(VLOOKUP($AB430&amp;"-"&amp;$F430,Bonuses!$B$1:$G$1000,4,FALSE)))</f>
        <v/>
      </c>
      <c r="AE430" s="16" t="str">
        <f>IF(ISERROR(VLOOKUP($AB430&amp;"-"&amp;$F430,Bonuses!$B$1:$G$1000,5,FALSE)),"",IF(VLOOKUP($AB430&amp;"-"&amp;$F430,Bonuses!$B$1:$G$1000,5,FALSE)="","",VLOOKUP($AB430&amp;"-"&amp;$F430,Bonuses!$B$1:$G$1000,6,FALSE)&amp;" yrs, "&amp;VLOOKUP($AB430&amp;"-"&amp;$F430,Bonuses!$B$1:$G$1000,5,FALSE)))</f>
        <v/>
      </c>
    </row>
    <row r="431" spans="1:31" s="21" customFormat="1">
      <c r="A431" s="21" t="s">
        <v>701</v>
      </c>
      <c r="B431" s="21">
        <f t="shared" si="24"/>
        <v>1</v>
      </c>
      <c r="C431" s="21" t="str">
        <f t="shared" si="25"/>
        <v>P</v>
      </c>
      <c r="D431" s="17" t="e">
        <f>IF($C431="B",VLOOKUP($A431,Bat!$A$4:$BD$2323,D$1,FALSE),VLOOKUP($A431,Pit!$A$4:$AZ$2261,D$2,FALSE))</f>
        <v>#N/A</v>
      </c>
      <c r="E431" s="16" t="e">
        <f>IF($C431="B",VLOOKUP($A431,Bat!$A$4:$BD$2323,E$1,FALSE),VLOOKUP($A431,Pit!$A$4:$AZ$2261,E$2,FALSE))</f>
        <v>#N/A</v>
      </c>
      <c r="F431" s="16" t="e">
        <f>IF($C431="B",VLOOKUP($A431,Bat!$A$4:$BD$2323,F$1,FALSE),VLOOKUP($A431,Pit!$A$4:$AZ$2261,F$2,FALSE))</f>
        <v>#N/A</v>
      </c>
      <c r="G431" s="16" t="e">
        <f>IF($C431="B",VLOOKUP($A431,Bat!$A$4:$BD$2323,G$1,FALSE),VLOOKUP($A431,Pit!$A$4:$AZ$2261,G$2,FALSE))</f>
        <v>#N/A</v>
      </c>
      <c r="H431" s="16" t="e">
        <f>IF($C431="B",VLOOKUP($A431,Bat!$A$4:$BD$2323,H$1,FALSE),VLOOKUP($A431,Pit!$A$4:$AZ$2261,H$2,FALSE))</f>
        <v>#N/A</v>
      </c>
      <c r="I431" s="16" t="e">
        <f>IF($C431="B",VLOOKUP($A431,Bat!$A$4:$BD$2323,I$1,FALSE),VLOOKUP($A431,Pit!$A$4:$AZ$2261,I$2,FALSE))</f>
        <v>#N/A</v>
      </c>
      <c r="J431" s="16" t="e">
        <f>IF($C431="B",VLOOKUP($A431,Bat!$A$4:$BD$2323,J$1,FALSE),VLOOKUP($A431,Pit!$A$4:$AZ$2261,J$2,FALSE))</f>
        <v>#N/A</v>
      </c>
      <c r="K431" s="17" t="e">
        <f>IF($C431="B",VLOOKUP($A431,Bat!$A$4:$BD$2323,K$1,FALSE),VLOOKUP($A431,Pit!$A$4:$AZ$2261,K$2,FALSE))</f>
        <v>#N/A</v>
      </c>
      <c r="L431" s="16" t="e">
        <f>IF($C431="B",VLOOKUP($A431,Bat!$A$4:$BD$2323,L$1,FALSE),VLOOKUP($A431,Pit!$A$4:$AZ$2261,L$2,FALSE))</f>
        <v>#N/A</v>
      </c>
      <c r="M431" s="16" t="e">
        <f>IF($C431="B",VLOOKUP($A431,Bat!$A$4:$BD$2323,M$1,FALSE),VLOOKUP($A431,Pit!$A$4:$AZ$2261,M$2,FALSE))</f>
        <v>#N/A</v>
      </c>
      <c r="N431" s="16" t="e">
        <f>IF($C431="B",VLOOKUP($A431,Bat!$A$4:$BD$2323,N$1,FALSE),VLOOKUP($A431,Pit!$A$4:$AZ$2261,N$2,FALSE))</f>
        <v>#N/A</v>
      </c>
      <c r="O431" s="16" t="e">
        <f>IF($C431="B",VLOOKUP($A431,Bat!$A$4:$BD$2323,O$1,FALSE),VLOOKUP($A431,Pit!$A$4:$AZ$2261,O$2,FALSE))</f>
        <v>#N/A</v>
      </c>
      <c r="P431" s="17" t="e">
        <f>IF($C431="B",VLOOKUP($A431,Bat!$A$4:$BD$2323,P$1,FALSE),VLOOKUP($A431,Pit!$A$4:$AZ$2261,P$2,FALSE))</f>
        <v>#N/A</v>
      </c>
      <c r="Q431" s="18" t="e">
        <f>IF($C431="B",VLOOKUP($A431,Bat!$A$4:$BD$2323,Q$1,FALSE),VLOOKUP($A431,Pit!$A$4:$AZ$2261,Q$2,FALSE))</f>
        <v>#N/A</v>
      </c>
      <c r="R431" s="19" t="e">
        <f>IF($C431="B",VLOOKUP($A431,Bat!$A$4:$BD$2323,R$1,FALSE),VLOOKUP($A431,Pit!$A$4:$AZ$2261,R$2,FALSE))</f>
        <v>#N/A</v>
      </c>
      <c r="S431" s="20" t="e">
        <f>IF($C431="B",VLOOKUP($A431,Bat!$A$4:$BD$2323,S$1,FALSE),VLOOKUP($A431,Pit!$A$4:$AZ$2261,S$2,FALSE))</f>
        <v>#N/A</v>
      </c>
      <c r="T431" s="17" t="e">
        <f>IF(S431="Slot","",VLOOKUP(IF($C431="B",VLOOKUP($A431,Bat!$A$4:$AT$2323,T$1,FALSE),VLOOKUP($A431,Pit!$A$4:$BD$2261,T$2,FALSE)),COND!$A$34:$B$40,2,FALSE))</f>
        <v>#N/A</v>
      </c>
      <c r="U431" s="21" t="e">
        <f>IF($C431="B",VLOOKUP($A431,Bat!$A$4:$AR$1287,44,FALSE),VLOOKUP($A431,Pit!$A$4:$BB$1239,54,FALSE))</f>
        <v>#N/A</v>
      </c>
      <c r="W431" s="21" t="e">
        <f t="shared" si="26"/>
        <v>#N/A</v>
      </c>
      <c r="X431" s="22" t="e">
        <f t="shared" si="27"/>
        <v>#N/A</v>
      </c>
      <c r="Y431" s="16" t="str">
        <f>IF(ISERROR(VLOOKUP($E431&amp;$F431,Results!$A$2:$G$413,Y$1,FALSE)),"",VLOOKUP($E431&amp;$F431,Results!$A$2:$G$413,Y$1,FALSE))</f>
        <v/>
      </c>
      <c r="Z431" s="16" t="str">
        <f>IF(ISERROR(VLOOKUP($E431&amp;$F431,Results!$A$2:$G$413,Z$1,FALSE)),"",VLOOKUP($E431&amp;$F431,Results!$A$2:$G$413,Z$1,FALSE))</f>
        <v/>
      </c>
      <c r="AA431" s="16" t="str">
        <f>IF(ISERROR(VLOOKUP($E431&amp;$F431,Results!$A$2:$G$413,AA$1,FALSE)),"",VLOOKUP($E431&amp;$F431,Results!$A$2:$G$413,AA$1,FALSE))</f>
        <v/>
      </c>
      <c r="AB431" s="16" t="str">
        <f>IF(ISERROR(VLOOKUP($E431&amp;$F431,Results!$A$2:$G$413,AB$1,FALSE)),"",VLOOKUP($E431&amp;$F431,Results!$A$2:$G$413,AB$1,FALSE))</f>
        <v/>
      </c>
      <c r="AC431" s="16"/>
      <c r="AD431" s="20" t="str">
        <f>IF(ISERROR(VLOOKUP($AB431&amp;"-"&amp;$F431,Bonuses!$B$1:$G$1000,4,FALSE)),"",INT(VLOOKUP($AB431&amp;"-"&amp;$F431,Bonuses!$B$1:$G$1000,4,FALSE)))</f>
        <v/>
      </c>
      <c r="AE431" s="16" t="str">
        <f>IF(ISERROR(VLOOKUP($AB431&amp;"-"&amp;$F431,Bonuses!$B$1:$G$1000,5,FALSE)),"",IF(VLOOKUP($AB431&amp;"-"&amp;$F431,Bonuses!$B$1:$G$1000,5,FALSE)="","",VLOOKUP($AB431&amp;"-"&amp;$F431,Bonuses!$B$1:$G$1000,6,FALSE)&amp;" yrs, "&amp;VLOOKUP($AB431&amp;"-"&amp;$F431,Bonuses!$B$1:$G$1000,5,FALSE)))</f>
        <v/>
      </c>
    </row>
    <row r="432" spans="1:31" s="21" customFormat="1">
      <c r="A432" s="21" t="s">
        <v>687</v>
      </c>
      <c r="B432" s="21">
        <f t="shared" si="24"/>
        <v>1</v>
      </c>
      <c r="C432" s="21" t="str">
        <f t="shared" si="25"/>
        <v>P</v>
      </c>
      <c r="D432" s="17">
        <f>IF($C432="B",VLOOKUP($A432,Bat!$A$4:$BD$2323,D$1,FALSE),VLOOKUP($A432,Pit!$A$4:$AZ$2261,D$2,FALSE))</f>
        <v>13907</v>
      </c>
      <c r="E432" s="16" t="str">
        <f>IF($C432="B",VLOOKUP($A432,Bat!$A$4:$BD$2323,E$1,FALSE),VLOOKUP($A432,Pit!$A$4:$AZ$2261,E$2,FALSE))</f>
        <v>MR</v>
      </c>
      <c r="F432" s="16" t="str">
        <f>IF($C432="B",VLOOKUP($A432,Bat!$A$4:$BD$2323,F$1,FALSE),VLOOKUP($A432,Pit!$A$4:$AZ$2261,F$2,FALSE))</f>
        <v>George Berry</v>
      </c>
      <c r="G432" s="16">
        <f>IF($C432="B",VLOOKUP($A432,Bat!$A$4:$BD$2323,G$1,FALSE),VLOOKUP($A432,Pit!$A$4:$AZ$2261,G$2,FALSE))</f>
        <v>21</v>
      </c>
      <c r="H432" s="16" t="str">
        <f>IF($C432="B",VLOOKUP($A432,Bat!$A$4:$BD$2323,H$1,FALSE),VLOOKUP($A432,Pit!$A$4:$AZ$2261,H$2,FALSE))</f>
        <v>L</v>
      </c>
      <c r="I432" s="16" t="str">
        <f>IF($C432="B",VLOOKUP($A432,Bat!$A$4:$BD$2323,I$1,FALSE),VLOOKUP($A432,Pit!$A$4:$AZ$2261,I$2,FALSE))</f>
        <v>L</v>
      </c>
      <c r="J432" s="16" t="str">
        <f>IF($C432="B",VLOOKUP($A432,Bat!$A$4:$BD$2323,J$1,FALSE),VLOOKUP($A432,Pit!$A$4:$AZ$2261,J$2,FALSE))</f>
        <v>Normal</v>
      </c>
      <c r="K432" s="17" t="str">
        <f>IF($C432="B",VLOOKUP($A432,Bat!$A$4:$BD$2323,K$1,FALSE),VLOOKUP($A432,Pit!$A$4:$AZ$2261,K$2,FALSE))</f>
        <v>Very High</v>
      </c>
      <c r="L432" s="16">
        <f>IF($C432="B",VLOOKUP($A432,Bat!$A$4:$BD$2323,L$1,FALSE),VLOOKUP($A432,Pit!$A$4:$AZ$2261,L$2,FALSE))</f>
        <v>4</v>
      </c>
      <c r="M432" s="16">
        <f>IF($C432="B",VLOOKUP($A432,Bat!$A$4:$BD$2323,M$1,FALSE),VLOOKUP($A432,Pit!$A$4:$AZ$2261,M$2,FALSE))</f>
        <v>4</v>
      </c>
      <c r="N432" s="16">
        <f>IF($C432="B",VLOOKUP($A432,Bat!$A$4:$BD$2323,N$1,FALSE),VLOOKUP($A432,Pit!$A$4:$AZ$2261,N$2,FALSE))</f>
        <v>4</v>
      </c>
      <c r="O432" s="16" t="str">
        <f>IF($C432="B",VLOOKUP($A432,Bat!$A$4:$BD$2323,O$1,FALSE),VLOOKUP($A432,Pit!$A$4:$AZ$2261,O$2,FALSE))</f>
        <v>87-89 Mph</v>
      </c>
      <c r="P432" s="17">
        <f>IF($C432="B",VLOOKUP($A432,Bat!$A$4:$BD$2323,P$1,FALSE),VLOOKUP($A432,Pit!$A$4:$AZ$2261,P$2,FALSE))</f>
        <v>6</v>
      </c>
      <c r="Q432" s="18">
        <f>IF($C432="B",VLOOKUP($A432,Bat!$A$4:$BD$2323,Q$1,FALSE),VLOOKUP($A432,Pit!$A$4:$AZ$2261,Q$2,FALSE))</f>
        <v>27.716876262762117</v>
      </c>
      <c r="R432" s="19">
        <f>IF($C432="B",VLOOKUP($A432,Bat!$A$4:$BD$2323,R$1,FALSE),VLOOKUP($A432,Pit!$A$4:$AZ$2261,R$2,FALSE))</f>
        <v>-0.49254212968482797</v>
      </c>
      <c r="S432" s="20" t="str">
        <f>IF($C432="B",VLOOKUP($A432,Bat!$A$4:$BD$2323,S$1,FALSE),VLOOKUP($A432,Pit!$A$4:$AZ$2261,S$2,FALSE))</f>
        <v>Slot</v>
      </c>
      <c r="T432" s="17" t="str">
        <f>IF(S432="Slot","",VLOOKUP(IF($C432="B",VLOOKUP($A432,Bat!$A$4:$AT$2323,T$1,FALSE),VLOOKUP($A432,Pit!$A$4:$BD$2261,T$2,FALSE)),COND!$A$34:$B$40,2,FALSE))</f>
        <v/>
      </c>
      <c r="U432" s="21">
        <f>IF($C432="B",VLOOKUP($A432,Bat!$A$4:$AR$1287,44,FALSE),VLOOKUP($A432,Pit!$A$4:$BB$1239,54,FALSE))</f>
        <v>0</v>
      </c>
      <c r="W432" s="21">
        <f t="shared" si="26"/>
        <v>0</v>
      </c>
      <c r="X432" s="22" t="e">
        <f t="shared" si="27"/>
        <v>#N/A</v>
      </c>
      <c r="Y432" s="16" t="str">
        <f>IF(ISERROR(VLOOKUP($E432&amp;$F432,Results!$A$2:$G$413,Y$1,FALSE)),"",VLOOKUP($E432&amp;$F432,Results!$A$2:$G$413,Y$1,FALSE))</f>
        <v/>
      </c>
      <c r="Z432" s="16" t="str">
        <f>IF(ISERROR(VLOOKUP($E432&amp;$F432,Results!$A$2:$G$413,Z$1,FALSE)),"",VLOOKUP($E432&amp;$F432,Results!$A$2:$G$413,Z$1,FALSE))</f>
        <v/>
      </c>
      <c r="AA432" s="16" t="str">
        <f>IF(ISERROR(VLOOKUP($E432&amp;$F432,Results!$A$2:$G$413,AA$1,FALSE)),"",VLOOKUP($E432&amp;$F432,Results!$A$2:$G$413,AA$1,FALSE))</f>
        <v/>
      </c>
      <c r="AB432" s="16" t="str">
        <f>IF(ISERROR(VLOOKUP($E432&amp;$F432,Results!$A$2:$G$413,AB$1,FALSE)),"",VLOOKUP($E432&amp;$F432,Results!$A$2:$G$413,AB$1,FALSE))</f>
        <v/>
      </c>
      <c r="AC432" s="16"/>
      <c r="AD432" s="20" t="str">
        <f>IF(ISERROR(VLOOKUP($AB432&amp;"-"&amp;$F432,Bonuses!$B$1:$G$1000,4,FALSE)),"",INT(VLOOKUP($AB432&amp;"-"&amp;$F432,Bonuses!$B$1:$G$1000,4,FALSE)))</f>
        <v/>
      </c>
      <c r="AE432" s="16" t="str">
        <f>IF(ISERROR(VLOOKUP($AB432&amp;"-"&amp;$F432,Bonuses!$B$1:$G$1000,5,FALSE)),"",IF(VLOOKUP($AB432&amp;"-"&amp;$F432,Bonuses!$B$1:$G$1000,5,FALSE)="","",VLOOKUP($AB432&amp;"-"&amp;$F432,Bonuses!$B$1:$G$1000,6,FALSE)&amp;" yrs, "&amp;VLOOKUP($AB432&amp;"-"&amp;$F432,Bonuses!$B$1:$G$1000,5,FALSE)))</f>
        <v/>
      </c>
    </row>
    <row r="433" spans="1:31" s="21" customFormat="1">
      <c r="A433" s="21" t="s">
        <v>677</v>
      </c>
      <c r="B433" s="21">
        <f t="shared" si="24"/>
        <v>1</v>
      </c>
      <c r="C433" s="21" t="str">
        <f t="shared" si="25"/>
        <v>P</v>
      </c>
      <c r="D433" s="17">
        <f>IF($C433="B",VLOOKUP($A433,Bat!$A$4:$BD$2323,D$1,FALSE),VLOOKUP($A433,Pit!$A$4:$AZ$2261,D$2,FALSE))</f>
        <v>3008</v>
      </c>
      <c r="E433" s="16" t="str">
        <f>IF($C433="B",VLOOKUP($A433,Bat!$A$4:$BD$2323,E$1,FALSE),VLOOKUP($A433,Pit!$A$4:$AZ$2261,E$2,FALSE))</f>
        <v>MR</v>
      </c>
      <c r="F433" s="16" t="str">
        <f>IF($C433="B",VLOOKUP($A433,Bat!$A$4:$BD$2323,F$1,FALSE),VLOOKUP($A433,Pit!$A$4:$AZ$2261,F$2,FALSE))</f>
        <v>Michael Johnson</v>
      </c>
      <c r="G433" s="16">
        <f>IF($C433="B",VLOOKUP($A433,Bat!$A$4:$BD$2323,G$1,FALSE),VLOOKUP($A433,Pit!$A$4:$AZ$2261,G$2,FALSE))</f>
        <v>21</v>
      </c>
      <c r="H433" s="16" t="str">
        <f>IF($C433="B",VLOOKUP($A433,Bat!$A$4:$BD$2323,H$1,FALSE),VLOOKUP($A433,Pit!$A$4:$AZ$2261,H$2,FALSE))</f>
        <v>R</v>
      </c>
      <c r="I433" s="16" t="str">
        <f>IF($C433="B",VLOOKUP($A433,Bat!$A$4:$BD$2323,I$1,FALSE),VLOOKUP($A433,Pit!$A$4:$AZ$2261,I$2,FALSE))</f>
        <v>R</v>
      </c>
      <c r="J433" s="16" t="str">
        <f>IF($C433="B",VLOOKUP($A433,Bat!$A$4:$BD$2323,J$1,FALSE),VLOOKUP($A433,Pit!$A$4:$AZ$2261,J$2,FALSE))</f>
        <v>Normal</v>
      </c>
      <c r="K433" s="17" t="str">
        <f>IF($C433="B",VLOOKUP($A433,Bat!$A$4:$BD$2323,K$1,FALSE),VLOOKUP($A433,Pit!$A$4:$AZ$2261,K$2,FALSE))</f>
        <v>Very High</v>
      </c>
      <c r="L433" s="16">
        <f>IF($C433="B",VLOOKUP($A433,Bat!$A$4:$BD$2323,L$1,FALSE),VLOOKUP($A433,Pit!$A$4:$AZ$2261,L$2,FALSE))</f>
        <v>4</v>
      </c>
      <c r="M433" s="16">
        <f>IF($C433="B",VLOOKUP($A433,Bat!$A$4:$BD$2323,M$1,FALSE),VLOOKUP($A433,Pit!$A$4:$AZ$2261,M$2,FALSE))</f>
        <v>4</v>
      </c>
      <c r="N433" s="16">
        <f>IF($C433="B",VLOOKUP($A433,Bat!$A$4:$BD$2323,N$1,FALSE),VLOOKUP($A433,Pit!$A$4:$AZ$2261,N$2,FALSE))</f>
        <v>4</v>
      </c>
      <c r="O433" s="16" t="str">
        <f>IF($C433="B",VLOOKUP($A433,Bat!$A$4:$BD$2323,O$1,FALSE),VLOOKUP($A433,Pit!$A$4:$AZ$2261,O$2,FALSE))</f>
        <v>90-92 Mph</v>
      </c>
      <c r="P433" s="17">
        <f>IF($C433="B",VLOOKUP($A433,Bat!$A$4:$BD$2323,P$1,FALSE),VLOOKUP($A433,Pit!$A$4:$AZ$2261,P$2,FALSE))</f>
        <v>10</v>
      </c>
      <c r="Q433" s="18">
        <f>IF($C433="B",VLOOKUP($A433,Bat!$A$4:$BD$2323,Q$1,FALSE),VLOOKUP($A433,Pit!$A$4:$AZ$2261,Q$2,FALSE))</f>
        <v>27.619067765170669</v>
      </c>
      <c r="R433" s="19">
        <f>IF($C433="B",VLOOKUP($A433,Bat!$A$4:$BD$2323,R$1,FALSE),VLOOKUP($A433,Pit!$A$4:$AZ$2261,R$2,FALSE))</f>
        <v>-0.50030680792773552</v>
      </c>
      <c r="S433" s="20" t="str">
        <f>IF($C433="B",VLOOKUP($A433,Bat!$A$4:$BD$2323,S$1,FALSE),VLOOKUP($A433,Pit!$A$4:$AZ$2261,S$2,FALSE))</f>
        <v>Slot</v>
      </c>
      <c r="T433" s="17" t="str">
        <f>IF(S433="Slot","",VLOOKUP(IF($C433="B",VLOOKUP($A433,Bat!$A$4:$AT$2323,T$1,FALSE),VLOOKUP($A433,Pit!$A$4:$BD$2261,T$2,FALSE)),COND!$A$34:$B$40,2,FALSE))</f>
        <v/>
      </c>
      <c r="U433" s="21">
        <f>IF($C433="B",VLOOKUP($A433,Bat!$A$4:$AR$1287,44,FALSE),VLOOKUP($A433,Pit!$A$4:$BB$1239,54,FALSE))</f>
        <v>0</v>
      </c>
      <c r="W433" s="21">
        <f t="shared" si="26"/>
        <v>0</v>
      </c>
      <c r="X433" s="22" t="e">
        <f t="shared" si="27"/>
        <v>#N/A</v>
      </c>
      <c r="Y433" s="16" t="str">
        <f>IF(ISERROR(VLOOKUP($E433&amp;$F433,Results!$A$2:$G$413,Y$1,FALSE)),"",VLOOKUP($E433&amp;$F433,Results!$A$2:$G$413,Y$1,FALSE))</f>
        <v/>
      </c>
      <c r="Z433" s="16" t="str">
        <f>IF(ISERROR(VLOOKUP($E433&amp;$F433,Results!$A$2:$G$413,Z$1,FALSE)),"",VLOOKUP($E433&amp;$F433,Results!$A$2:$G$413,Z$1,FALSE))</f>
        <v/>
      </c>
      <c r="AA433" s="16" t="str">
        <f>IF(ISERROR(VLOOKUP($E433&amp;$F433,Results!$A$2:$G$413,AA$1,FALSE)),"",VLOOKUP($E433&amp;$F433,Results!$A$2:$G$413,AA$1,FALSE))</f>
        <v/>
      </c>
      <c r="AB433" s="16" t="str">
        <f>IF(ISERROR(VLOOKUP($E433&amp;$F433,Results!$A$2:$G$413,AB$1,FALSE)),"",VLOOKUP($E433&amp;$F433,Results!$A$2:$G$413,AB$1,FALSE))</f>
        <v/>
      </c>
      <c r="AC433" s="16"/>
      <c r="AD433" s="20" t="str">
        <f>IF(ISERROR(VLOOKUP($AB433&amp;"-"&amp;$F433,Bonuses!$B$1:$G$1000,4,FALSE)),"",INT(VLOOKUP($AB433&amp;"-"&amp;$F433,Bonuses!$B$1:$G$1000,4,FALSE)))</f>
        <v/>
      </c>
      <c r="AE433" s="16" t="str">
        <f>IF(ISERROR(VLOOKUP($AB433&amp;"-"&amp;$F433,Bonuses!$B$1:$G$1000,5,FALSE)),"",IF(VLOOKUP($AB433&amp;"-"&amp;$F433,Bonuses!$B$1:$G$1000,5,FALSE)="","",VLOOKUP($AB433&amp;"-"&amp;$F433,Bonuses!$B$1:$G$1000,6,FALSE)&amp;" yrs, "&amp;VLOOKUP($AB433&amp;"-"&amp;$F433,Bonuses!$B$1:$G$1000,5,FALSE)))</f>
        <v/>
      </c>
    </row>
    <row r="434" spans="1:31" s="21" customFormat="1">
      <c r="A434" s="21" t="s">
        <v>679</v>
      </c>
      <c r="B434" s="21">
        <f t="shared" si="24"/>
        <v>1</v>
      </c>
      <c r="C434" s="21" t="str">
        <f t="shared" si="25"/>
        <v>P</v>
      </c>
      <c r="D434" s="17">
        <f>IF($C434="B",VLOOKUP($A434,Bat!$A$4:$BD$2323,D$1,FALSE),VLOOKUP($A434,Pit!$A$4:$AZ$2261,D$2,FALSE))</f>
        <v>2396</v>
      </c>
      <c r="E434" s="16" t="str">
        <f>IF($C434="B",VLOOKUP($A434,Bat!$A$4:$BD$2323,E$1,FALSE),VLOOKUP($A434,Pit!$A$4:$AZ$2261,E$2,FALSE))</f>
        <v>SP</v>
      </c>
      <c r="F434" s="16" t="str">
        <f>IF($C434="B",VLOOKUP($A434,Bat!$A$4:$BD$2323,F$1,FALSE),VLOOKUP($A434,Pit!$A$4:$AZ$2261,F$2,FALSE))</f>
        <v>Karl Jordan</v>
      </c>
      <c r="G434" s="16">
        <f>IF($C434="B",VLOOKUP($A434,Bat!$A$4:$BD$2323,G$1,FALSE),VLOOKUP($A434,Pit!$A$4:$AZ$2261,G$2,FALSE))</f>
        <v>21</v>
      </c>
      <c r="H434" s="16" t="str">
        <f>IF($C434="B",VLOOKUP($A434,Bat!$A$4:$BD$2323,H$1,FALSE),VLOOKUP($A434,Pit!$A$4:$AZ$2261,H$2,FALSE))</f>
        <v>R</v>
      </c>
      <c r="I434" s="16" t="str">
        <f>IF($C434="B",VLOOKUP($A434,Bat!$A$4:$BD$2323,I$1,FALSE),VLOOKUP($A434,Pit!$A$4:$AZ$2261,I$2,FALSE))</f>
        <v>R</v>
      </c>
      <c r="J434" s="16" t="str">
        <f>IF($C434="B",VLOOKUP($A434,Bat!$A$4:$BD$2323,J$1,FALSE),VLOOKUP($A434,Pit!$A$4:$AZ$2261,J$2,FALSE))</f>
        <v>Normal</v>
      </c>
      <c r="K434" s="17" t="str">
        <f>IF($C434="B",VLOOKUP($A434,Bat!$A$4:$BD$2323,K$1,FALSE),VLOOKUP($A434,Pit!$A$4:$AZ$2261,K$2,FALSE))</f>
        <v>Very High</v>
      </c>
      <c r="L434" s="16">
        <f>IF($C434="B",VLOOKUP($A434,Bat!$A$4:$BD$2323,L$1,FALSE),VLOOKUP($A434,Pit!$A$4:$AZ$2261,L$2,FALSE))</f>
        <v>4</v>
      </c>
      <c r="M434" s="16">
        <f>IF($C434="B",VLOOKUP($A434,Bat!$A$4:$BD$2323,M$1,FALSE),VLOOKUP($A434,Pit!$A$4:$AZ$2261,M$2,FALSE))</f>
        <v>4</v>
      </c>
      <c r="N434" s="16">
        <f>IF($C434="B",VLOOKUP($A434,Bat!$A$4:$BD$2323,N$1,FALSE),VLOOKUP($A434,Pit!$A$4:$AZ$2261,N$2,FALSE))</f>
        <v>4</v>
      </c>
      <c r="O434" s="16" t="str">
        <f>IF($C434="B",VLOOKUP($A434,Bat!$A$4:$BD$2323,O$1,FALSE),VLOOKUP($A434,Pit!$A$4:$AZ$2261,O$2,FALSE))</f>
        <v>89-90 Mph</v>
      </c>
      <c r="P434" s="17">
        <f>IF($C434="B",VLOOKUP($A434,Bat!$A$4:$BD$2323,P$1,FALSE),VLOOKUP($A434,Pit!$A$4:$AZ$2261,P$2,FALSE))</f>
        <v>8</v>
      </c>
      <c r="Q434" s="18">
        <f>IF($C434="B",VLOOKUP($A434,Bat!$A$4:$BD$2323,Q$1,FALSE),VLOOKUP($A434,Pit!$A$4:$AZ$2261,Q$2,FALSE))</f>
        <v>27.580129500268836</v>
      </c>
      <c r="R434" s="19">
        <f>IF($C434="B",VLOOKUP($A434,Bat!$A$4:$BD$2323,R$1,FALSE),VLOOKUP($A434,Pit!$A$4:$AZ$2261,R$2,FALSE))</f>
        <v>-0.50339798206643616</v>
      </c>
      <c r="S434" s="20" t="str">
        <f>IF($C434="B",VLOOKUP($A434,Bat!$A$4:$BD$2323,S$1,FALSE),VLOOKUP($A434,Pit!$A$4:$AZ$2261,S$2,FALSE))</f>
        <v>Slot</v>
      </c>
      <c r="T434" s="17" t="str">
        <f>IF(S434="Slot","",VLOOKUP(IF($C434="B",VLOOKUP($A434,Bat!$A$4:$AT$2323,T$1,FALSE),VLOOKUP($A434,Pit!$A$4:$BD$2261,T$2,FALSE)),COND!$A$34:$B$40,2,FALSE))</f>
        <v/>
      </c>
      <c r="U434" s="21">
        <f>IF($C434="B",VLOOKUP($A434,Bat!$A$4:$AR$1287,44,FALSE),VLOOKUP($A434,Pit!$A$4:$BB$1239,54,FALSE))</f>
        <v>0</v>
      </c>
      <c r="W434" s="21">
        <f t="shared" si="26"/>
        <v>0</v>
      </c>
      <c r="X434" s="22" t="e">
        <f t="shared" si="27"/>
        <v>#N/A</v>
      </c>
      <c r="Y434" s="16" t="str">
        <f>IF(ISERROR(VLOOKUP($E434&amp;$F434,Results!$A$2:$G$413,Y$1,FALSE)),"",VLOOKUP($E434&amp;$F434,Results!$A$2:$G$413,Y$1,FALSE))</f>
        <v/>
      </c>
      <c r="Z434" s="16" t="str">
        <f>IF(ISERROR(VLOOKUP($E434&amp;$F434,Results!$A$2:$G$413,Z$1,FALSE)),"",VLOOKUP($E434&amp;$F434,Results!$A$2:$G$413,Z$1,FALSE))</f>
        <v/>
      </c>
      <c r="AA434" s="16" t="str">
        <f>IF(ISERROR(VLOOKUP($E434&amp;$F434,Results!$A$2:$G$413,AA$1,FALSE)),"",VLOOKUP($E434&amp;$F434,Results!$A$2:$G$413,AA$1,FALSE))</f>
        <v/>
      </c>
      <c r="AB434" s="16" t="str">
        <f>IF(ISERROR(VLOOKUP($E434&amp;$F434,Results!$A$2:$G$413,AB$1,FALSE)),"",VLOOKUP($E434&amp;$F434,Results!$A$2:$G$413,AB$1,FALSE))</f>
        <v/>
      </c>
      <c r="AC434" s="16"/>
      <c r="AD434" s="20" t="str">
        <f>IF(ISERROR(VLOOKUP($AB434&amp;"-"&amp;$F434,Bonuses!$B$1:$G$1000,4,FALSE)),"",INT(VLOOKUP($AB434&amp;"-"&amp;$F434,Bonuses!$B$1:$G$1000,4,FALSE)))</f>
        <v/>
      </c>
      <c r="AE434" s="16" t="str">
        <f>IF(ISERROR(VLOOKUP($AB434&amp;"-"&amp;$F434,Bonuses!$B$1:$G$1000,5,FALSE)),"",IF(VLOOKUP($AB434&amp;"-"&amp;$F434,Bonuses!$B$1:$G$1000,5,FALSE)="","",VLOOKUP($AB434&amp;"-"&amp;$F434,Bonuses!$B$1:$G$1000,6,FALSE)&amp;" yrs, "&amp;VLOOKUP($AB434&amp;"-"&amp;$F434,Bonuses!$B$1:$G$1000,5,FALSE)))</f>
        <v/>
      </c>
    </row>
    <row r="435" spans="1:31" s="21" customFormat="1">
      <c r="A435" s="21" t="s">
        <v>692</v>
      </c>
      <c r="B435" s="21">
        <f t="shared" si="24"/>
        <v>1</v>
      </c>
      <c r="C435" s="21" t="str">
        <f t="shared" si="25"/>
        <v>P</v>
      </c>
      <c r="D435" s="17">
        <f>IF($C435="B",VLOOKUP($A435,Bat!$A$4:$BD$2323,D$1,FALSE),VLOOKUP($A435,Pit!$A$4:$AZ$2261,D$2,FALSE))</f>
        <v>7372</v>
      </c>
      <c r="E435" s="16" t="str">
        <f>IF($C435="B",VLOOKUP($A435,Bat!$A$4:$BD$2323,E$1,FALSE),VLOOKUP($A435,Pit!$A$4:$AZ$2261,E$2,FALSE))</f>
        <v>SP</v>
      </c>
      <c r="F435" s="16" t="str">
        <f>IF($C435="B",VLOOKUP($A435,Bat!$A$4:$BD$2323,F$1,FALSE),VLOOKUP($A435,Pit!$A$4:$AZ$2261,F$2,FALSE))</f>
        <v>Steve Kitchen</v>
      </c>
      <c r="G435" s="16">
        <f>IF($C435="B",VLOOKUP($A435,Bat!$A$4:$BD$2323,G$1,FALSE),VLOOKUP($A435,Pit!$A$4:$AZ$2261,G$2,FALSE))</f>
        <v>21</v>
      </c>
      <c r="H435" s="16" t="str">
        <f>IF($C435="B",VLOOKUP($A435,Bat!$A$4:$BD$2323,H$1,FALSE),VLOOKUP($A435,Pit!$A$4:$AZ$2261,H$2,FALSE))</f>
        <v>R</v>
      </c>
      <c r="I435" s="16" t="str">
        <f>IF($C435="B",VLOOKUP($A435,Bat!$A$4:$BD$2323,I$1,FALSE),VLOOKUP($A435,Pit!$A$4:$AZ$2261,I$2,FALSE))</f>
        <v>R</v>
      </c>
      <c r="J435" s="16" t="str">
        <f>IF($C435="B",VLOOKUP($A435,Bat!$A$4:$BD$2323,J$1,FALSE),VLOOKUP($A435,Pit!$A$4:$AZ$2261,J$2,FALSE))</f>
        <v>High</v>
      </c>
      <c r="K435" s="17" t="str">
        <f>IF($C435="B",VLOOKUP($A435,Bat!$A$4:$BD$2323,K$1,FALSE),VLOOKUP($A435,Pit!$A$4:$AZ$2261,K$2,FALSE))</f>
        <v>High</v>
      </c>
      <c r="L435" s="16">
        <f>IF($C435="B",VLOOKUP($A435,Bat!$A$4:$BD$2323,L$1,FALSE),VLOOKUP($A435,Pit!$A$4:$AZ$2261,L$2,FALSE))</f>
        <v>4</v>
      </c>
      <c r="M435" s="16">
        <f>IF($C435="B",VLOOKUP($A435,Bat!$A$4:$BD$2323,M$1,FALSE),VLOOKUP($A435,Pit!$A$4:$AZ$2261,M$2,FALSE))</f>
        <v>4</v>
      </c>
      <c r="N435" s="16">
        <f>IF($C435="B",VLOOKUP($A435,Bat!$A$4:$BD$2323,N$1,FALSE),VLOOKUP($A435,Pit!$A$4:$AZ$2261,N$2,FALSE))</f>
        <v>4</v>
      </c>
      <c r="O435" s="16" t="str">
        <f>IF($C435="B",VLOOKUP($A435,Bat!$A$4:$BD$2323,O$1,FALSE),VLOOKUP($A435,Pit!$A$4:$AZ$2261,O$2,FALSE))</f>
        <v>87-89 Mph</v>
      </c>
      <c r="P435" s="17">
        <f>IF($C435="B",VLOOKUP($A435,Bat!$A$4:$BD$2323,P$1,FALSE),VLOOKUP($A435,Pit!$A$4:$AZ$2261,P$2,FALSE))</f>
        <v>8</v>
      </c>
      <c r="Q435" s="18">
        <f>IF($C435="B",VLOOKUP($A435,Bat!$A$4:$BD$2323,Q$1,FALSE),VLOOKUP($A435,Pit!$A$4:$AZ$2261,Q$2,FALSE))</f>
        <v>28.145603651959849</v>
      </c>
      <c r="R435" s="19">
        <f>IF($C435="B",VLOOKUP($A435,Bat!$A$4:$BD$2323,R$1,FALSE),VLOOKUP($A435,Pit!$A$4:$AZ$2261,R$2,FALSE))</f>
        <v>-0.45850694549308885</v>
      </c>
      <c r="S435" s="20" t="str">
        <f>IF($C435="B",VLOOKUP($A435,Bat!$A$4:$BD$2323,S$1,FALSE),VLOOKUP($A435,Pit!$A$4:$AZ$2261,S$2,FALSE))</f>
        <v>Slot</v>
      </c>
      <c r="T435" s="17" t="str">
        <f>IF(S435="Slot","",VLOOKUP(IF($C435="B",VLOOKUP($A435,Bat!$A$4:$AT$2323,T$1,FALSE),VLOOKUP($A435,Pit!$A$4:$BD$2261,T$2,FALSE)),COND!$A$34:$B$40,2,FALSE))</f>
        <v/>
      </c>
      <c r="U435" s="21">
        <f>IF($C435="B",VLOOKUP($A435,Bat!$A$4:$AR$1287,44,FALSE),VLOOKUP($A435,Pit!$A$4:$BB$1239,54,FALSE))</f>
        <v>0</v>
      </c>
      <c r="W435" s="21">
        <f t="shared" si="26"/>
        <v>0</v>
      </c>
      <c r="X435" s="22" t="e">
        <f t="shared" si="27"/>
        <v>#N/A</v>
      </c>
      <c r="Y435" s="16" t="str">
        <f>IF(ISERROR(VLOOKUP($E435&amp;$F435,Results!$A$2:$G$413,Y$1,FALSE)),"",VLOOKUP($E435&amp;$F435,Results!$A$2:$G$413,Y$1,FALSE))</f>
        <v/>
      </c>
      <c r="Z435" s="16" t="str">
        <f>IF(ISERROR(VLOOKUP($E435&amp;$F435,Results!$A$2:$G$413,Z$1,FALSE)),"",VLOOKUP($E435&amp;$F435,Results!$A$2:$G$413,Z$1,FALSE))</f>
        <v/>
      </c>
      <c r="AA435" s="16" t="str">
        <f>IF(ISERROR(VLOOKUP($E435&amp;$F435,Results!$A$2:$G$413,AA$1,FALSE)),"",VLOOKUP($E435&amp;$F435,Results!$A$2:$G$413,AA$1,FALSE))</f>
        <v/>
      </c>
      <c r="AB435" s="16" t="str">
        <f>IF(ISERROR(VLOOKUP($E435&amp;$F435,Results!$A$2:$G$413,AB$1,FALSE)),"",VLOOKUP($E435&amp;$F435,Results!$A$2:$G$413,AB$1,FALSE))</f>
        <v/>
      </c>
      <c r="AC435" s="16"/>
      <c r="AD435" s="20" t="str">
        <f>IF(ISERROR(VLOOKUP($AB435&amp;"-"&amp;$F435,Bonuses!$B$1:$G$1000,4,FALSE)),"",INT(VLOOKUP($AB435&amp;"-"&amp;$F435,Bonuses!$B$1:$G$1000,4,FALSE)))</f>
        <v/>
      </c>
      <c r="AE435" s="16" t="str">
        <f>IF(ISERROR(VLOOKUP($AB435&amp;"-"&amp;$F435,Bonuses!$B$1:$G$1000,5,FALSE)),"",IF(VLOOKUP($AB435&amp;"-"&amp;$F435,Bonuses!$B$1:$G$1000,5,FALSE)="","",VLOOKUP($AB435&amp;"-"&amp;$F435,Bonuses!$B$1:$G$1000,6,FALSE)&amp;" yrs, "&amp;VLOOKUP($AB435&amp;"-"&amp;$F435,Bonuses!$B$1:$G$1000,5,FALSE)))</f>
        <v/>
      </c>
    </row>
    <row r="436" spans="1:31" s="21" customFormat="1">
      <c r="A436" s="21" t="s">
        <v>673</v>
      </c>
      <c r="B436" s="21">
        <f t="shared" si="24"/>
        <v>1</v>
      </c>
      <c r="C436" s="21" t="str">
        <f t="shared" si="25"/>
        <v>P</v>
      </c>
      <c r="D436" s="17">
        <f>IF($C436="B",VLOOKUP($A436,Bat!$A$4:$BD$2323,D$1,FALSE),VLOOKUP($A436,Pit!$A$4:$AZ$2261,D$2,FALSE))</f>
        <v>3934</v>
      </c>
      <c r="E436" s="16" t="str">
        <f>IF($C436="B",VLOOKUP($A436,Bat!$A$4:$BD$2323,E$1,FALSE),VLOOKUP($A436,Pit!$A$4:$AZ$2261,E$2,FALSE))</f>
        <v>MR</v>
      </c>
      <c r="F436" s="16" t="str">
        <f>IF($C436="B",VLOOKUP($A436,Bat!$A$4:$BD$2323,F$1,FALSE),VLOOKUP($A436,Pit!$A$4:$AZ$2261,F$2,FALSE))</f>
        <v>Anderson Sheehan</v>
      </c>
      <c r="G436" s="16">
        <f>IF($C436="B",VLOOKUP($A436,Bat!$A$4:$BD$2323,G$1,FALSE),VLOOKUP($A436,Pit!$A$4:$AZ$2261,G$2,FALSE))</f>
        <v>21</v>
      </c>
      <c r="H436" s="16" t="str">
        <f>IF($C436="B",VLOOKUP($A436,Bat!$A$4:$BD$2323,H$1,FALSE),VLOOKUP($A436,Pit!$A$4:$AZ$2261,H$2,FALSE))</f>
        <v>R</v>
      </c>
      <c r="I436" s="16" t="str">
        <f>IF($C436="B",VLOOKUP($A436,Bat!$A$4:$BD$2323,I$1,FALSE),VLOOKUP($A436,Pit!$A$4:$AZ$2261,I$2,FALSE))</f>
        <v>R</v>
      </c>
      <c r="J436" s="16" t="str">
        <f>IF($C436="B",VLOOKUP($A436,Bat!$A$4:$BD$2323,J$1,FALSE),VLOOKUP($A436,Pit!$A$4:$AZ$2261,J$2,FALSE))</f>
        <v>High</v>
      </c>
      <c r="K436" s="17" t="str">
        <f>IF($C436="B",VLOOKUP($A436,Bat!$A$4:$BD$2323,K$1,FALSE),VLOOKUP($A436,Pit!$A$4:$AZ$2261,K$2,FALSE))</f>
        <v>High</v>
      </c>
      <c r="L436" s="16">
        <f>IF($C436="B",VLOOKUP($A436,Bat!$A$4:$BD$2323,L$1,FALSE),VLOOKUP($A436,Pit!$A$4:$AZ$2261,L$2,FALSE))</f>
        <v>4</v>
      </c>
      <c r="M436" s="16">
        <f>IF($C436="B",VLOOKUP($A436,Bat!$A$4:$BD$2323,M$1,FALSE),VLOOKUP($A436,Pit!$A$4:$AZ$2261,M$2,FALSE))</f>
        <v>4</v>
      </c>
      <c r="N436" s="16">
        <f>IF($C436="B",VLOOKUP($A436,Bat!$A$4:$BD$2323,N$1,FALSE),VLOOKUP($A436,Pit!$A$4:$AZ$2261,N$2,FALSE))</f>
        <v>4</v>
      </c>
      <c r="O436" s="16" t="str">
        <f>IF($C436="B",VLOOKUP($A436,Bat!$A$4:$BD$2323,O$1,FALSE),VLOOKUP($A436,Pit!$A$4:$AZ$2261,O$2,FALSE))</f>
        <v>94-96 Mph</v>
      </c>
      <c r="P436" s="17">
        <f>IF($C436="B",VLOOKUP($A436,Bat!$A$4:$BD$2323,P$1,FALSE),VLOOKUP($A436,Pit!$A$4:$AZ$2261,P$2,FALSE))</f>
        <v>5</v>
      </c>
      <c r="Q436" s="18">
        <f>IF($C436="B",VLOOKUP($A436,Bat!$A$4:$BD$2323,Q$1,FALSE),VLOOKUP($A436,Pit!$A$4:$AZ$2261,Q$2,FALSE))</f>
        <v>28.024028274677374</v>
      </c>
      <c r="R436" s="19">
        <f>IF($C436="B",VLOOKUP($A436,Bat!$A$4:$BD$2323,R$1,FALSE),VLOOKUP($A436,Pit!$A$4:$AZ$2261,R$2,FALSE))</f>
        <v>-0.46815839409013854</v>
      </c>
      <c r="S436" s="20" t="str">
        <f>IF($C436="B",VLOOKUP($A436,Bat!$A$4:$BD$2323,S$1,FALSE),VLOOKUP($A436,Pit!$A$4:$AZ$2261,S$2,FALSE))</f>
        <v>Slot</v>
      </c>
      <c r="T436" s="17" t="str">
        <f>IF(S436="Slot","",VLOOKUP(IF($C436="B",VLOOKUP($A436,Bat!$A$4:$AT$2323,T$1,FALSE),VLOOKUP($A436,Pit!$A$4:$BD$2261,T$2,FALSE)),COND!$A$34:$B$40,2,FALSE))</f>
        <v/>
      </c>
      <c r="U436" s="21">
        <f>IF($C436="B",VLOOKUP($A436,Bat!$A$4:$AR$1287,44,FALSE),VLOOKUP($A436,Pit!$A$4:$BB$1239,54,FALSE))</f>
        <v>0</v>
      </c>
      <c r="W436" s="21">
        <f t="shared" si="26"/>
        <v>0</v>
      </c>
      <c r="X436" s="22" t="e">
        <f t="shared" si="27"/>
        <v>#N/A</v>
      </c>
      <c r="Y436" s="16" t="str">
        <f>IF(ISERROR(VLOOKUP($E436&amp;$F436,Results!$A$2:$G$413,Y$1,FALSE)),"",VLOOKUP($E436&amp;$F436,Results!$A$2:$G$413,Y$1,FALSE))</f>
        <v/>
      </c>
      <c r="Z436" s="16" t="str">
        <f>IF(ISERROR(VLOOKUP($E436&amp;$F436,Results!$A$2:$G$413,Z$1,FALSE)),"",VLOOKUP($E436&amp;$F436,Results!$A$2:$G$413,Z$1,FALSE))</f>
        <v/>
      </c>
      <c r="AA436" s="16" t="str">
        <f>IF(ISERROR(VLOOKUP($E436&amp;$F436,Results!$A$2:$G$413,AA$1,FALSE)),"",VLOOKUP($E436&amp;$F436,Results!$A$2:$G$413,AA$1,FALSE))</f>
        <v/>
      </c>
      <c r="AB436" s="16" t="str">
        <f>IF(ISERROR(VLOOKUP($E436&amp;$F436,Results!$A$2:$G$413,AB$1,FALSE)),"",VLOOKUP($E436&amp;$F436,Results!$A$2:$G$413,AB$1,FALSE))</f>
        <v/>
      </c>
      <c r="AC436" s="16"/>
      <c r="AD436" s="20" t="str">
        <f>IF(ISERROR(VLOOKUP($AB436&amp;"-"&amp;$F436,Bonuses!$B$1:$G$1000,4,FALSE)),"",INT(VLOOKUP($AB436&amp;"-"&amp;$F436,Bonuses!$B$1:$G$1000,4,FALSE)))</f>
        <v/>
      </c>
      <c r="AE436" s="16" t="str">
        <f>IF(ISERROR(VLOOKUP($AB436&amp;"-"&amp;$F436,Bonuses!$B$1:$G$1000,5,FALSE)),"",IF(VLOOKUP($AB436&amp;"-"&amp;$F436,Bonuses!$B$1:$G$1000,5,FALSE)="","",VLOOKUP($AB436&amp;"-"&amp;$F436,Bonuses!$B$1:$G$1000,6,FALSE)&amp;" yrs, "&amp;VLOOKUP($AB436&amp;"-"&amp;$F436,Bonuses!$B$1:$G$1000,5,FALSE)))</f>
        <v/>
      </c>
    </row>
    <row r="437" spans="1:31" s="21" customFormat="1">
      <c r="A437" s="21" t="s">
        <v>702</v>
      </c>
      <c r="B437" s="21">
        <f t="shared" si="24"/>
        <v>1</v>
      </c>
      <c r="C437" s="21" t="str">
        <f t="shared" si="25"/>
        <v>P</v>
      </c>
      <c r="D437" s="17">
        <f>IF($C437="B",VLOOKUP($A437,Bat!$A$4:$BD$2323,D$1,FALSE),VLOOKUP($A437,Pit!$A$4:$AZ$2261,D$2,FALSE))</f>
        <v>13824</v>
      </c>
      <c r="E437" s="16" t="str">
        <f>IF($C437="B",VLOOKUP($A437,Bat!$A$4:$BD$2323,E$1,FALSE),VLOOKUP($A437,Pit!$A$4:$AZ$2261,E$2,FALSE))</f>
        <v>SP</v>
      </c>
      <c r="F437" s="16" t="str">
        <f>IF($C437="B",VLOOKUP($A437,Bat!$A$4:$BD$2323,F$1,FALSE),VLOOKUP($A437,Pit!$A$4:$AZ$2261,F$2,FALSE))</f>
        <v>Claudio Salazar</v>
      </c>
      <c r="G437" s="16">
        <f>IF($C437="B",VLOOKUP($A437,Bat!$A$4:$BD$2323,G$1,FALSE),VLOOKUP($A437,Pit!$A$4:$AZ$2261,G$2,FALSE))</f>
        <v>18</v>
      </c>
      <c r="H437" s="16" t="str">
        <f>IF($C437="B",VLOOKUP($A437,Bat!$A$4:$BD$2323,H$1,FALSE),VLOOKUP($A437,Pit!$A$4:$AZ$2261,H$2,FALSE))</f>
        <v>S</v>
      </c>
      <c r="I437" s="16" t="str">
        <f>IF($C437="B",VLOOKUP($A437,Bat!$A$4:$BD$2323,I$1,FALSE),VLOOKUP($A437,Pit!$A$4:$AZ$2261,I$2,FALSE))</f>
        <v>R</v>
      </c>
      <c r="J437" s="16" t="str">
        <f>IF($C437="B",VLOOKUP($A437,Bat!$A$4:$BD$2323,J$1,FALSE),VLOOKUP($A437,Pit!$A$4:$AZ$2261,J$2,FALSE))</f>
        <v>High</v>
      </c>
      <c r="K437" s="17" t="str">
        <f>IF($C437="B",VLOOKUP($A437,Bat!$A$4:$BD$2323,K$1,FALSE),VLOOKUP($A437,Pit!$A$4:$AZ$2261,K$2,FALSE))</f>
        <v>Normal</v>
      </c>
      <c r="L437" s="16">
        <f>IF($C437="B",VLOOKUP($A437,Bat!$A$4:$BD$2323,L$1,FALSE),VLOOKUP($A437,Pit!$A$4:$AZ$2261,L$2,FALSE))</f>
        <v>4</v>
      </c>
      <c r="M437" s="16">
        <f>IF($C437="B",VLOOKUP($A437,Bat!$A$4:$BD$2323,M$1,FALSE),VLOOKUP($A437,Pit!$A$4:$AZ$2261,M$2,FALSE))</f>
        <v>4</v>
      </c>
      <c r="N437" s="16">
        <f>IF($C437="B",VLOOKUP($A437,Bat!$A$4:$BD$2323,N$1,FALSE),VLOOKUP($A437,Pit!$A$4:$AZ$2261,N$2,FALSE))</f>
        <v>4</v>
      </c>
      <c r="O437" s="16" t="str">
        <f>IF($C437="B",VLOOKUP($A437,Bat!$A$4:$BD$2323,O$1,FALSE),VLOOKUP($A437,Pit!$A$4:$AZ$2261,O$2,FALSE))</f>
        <v>89-90 Mph</v>
      </c>
      <c r="P437" s="17">
        <f>IF($C437="B",VLOOKUP($A437,Bat!$A$4:$BD$2323,P$1,FALSE),VLOOKUP($A437,Pit!$A$4:$AZ$2261,P$2,FALSE))</f>
        <v>6</v>
      </c>
      <c r="Q437" s="18">
        <f>IF($C437="B",VLOOKUP($A437,Bat!$A$4:$BD$2323,Q$1,FALSE),VLOOKUP($A437,Pit!$A$4:$AZ$2261,Q$2,FALSE))</f>
        <v>27.331658944102273</v>
      </c>
      <c r="R437" s="19">
        <f>IF($C437="B",VLOOKUP($A437,Bat!$A$4:$BD$2323,R$1,FALSE),VLOOKUP($A437,Pit!$A$4:$AZ$2261,R$2,FALSE))</f>
        <v>-0.52312319990516054</v>
      </c>
      <c r="S437" s="20" t="str">
        <f>IF($C437="B",VLOOKUP($A437,Bat!$A$4:$BD$2323,S$1,FALSE),VLOOKUP($A437,Pit!$A$4:$AZ$2261,S$2,FALSE))</f>
        <v>Slot</v>
      </c>
      <c r="T437" s="17" t="str">
        <f>IF(S437="Slot","",VLOOKUP(IF($C437="B",VLOOKUP($A437,Bat!$A$4:$AT$2323,T$1,FALSE),VLOOKUP($A437,Pit!$A$4:$BD$2261,T$2,FALSE)),COND!$A$34:$B$40,2,FALSE))</f>
        <v/>
      </c>
      <c r="U437" s="21">
        <f>IF($C437="B",VLOOKUP($A437,Bat!$A$4:$AR$1287,44,FALSE),VLOOKUP($A437,Pit!$A$4:$BB$1239,54,FALSE))</f>
        <v>0</v>
      </c>
      <c r="W437" s="21">
        <f t="shared" si="26"/>
        <v>0</v>
      </c>
      <c r="X437" s="22" t="e">
        <f t="shared" si="27"/>
        <v>#N/A</v>
      </c>
      <c r="Y437" s="16" t="str">
        <f>IF(ISERROR(VLOOKUP($E437&amp;$F437,Results!$A$2:$G$413,Y$1,FALSE)),"",VLOOKUP($E437&amp;$F437,Results!$A$2:$G$413,Y$1,FALSE))</f>
        <v/>
      </c>
      <c r="Z437" s="16" t="str">
        <f>IF(ISERROR(VLOOKUP($E437&amp;$F437,Results!$A$2:$G$413,Z$1,FALSE)),"",VLOOKUP($E437&amp;$F437,Results!$A$2:$G$413,Z$1,FALSE))</f>
        <v/>
      </c>
      <c r="AA437" s="16" t="str">
        <f>IF(ISERROR(VLOOKUP($E437&amp;$F437,Results!$A$2:$G$413,AA$1,FALSE)),"",VLOOKUP($E437&amp;$F437,Results!$A$2:$G$413,AA$1,FALSE))</f>
        <v/>
      </c>
      <c r="AB437" s="16" t="str">
        <f>IF(ISERROR(VLOOKUP($E437&amp;$F437,Results!$A$2:$G$413,AB$1,FALSE)),"",VLOOKUP($E437&amp;$F437,Results!$A$2:$G$413,AB$1,FALSE))</f>
        <v/>
      </c>
      <c r="AC437" s="16"/>
      <c r="AD437" s="20" t="str">
        <f>IF(ISERROR(VLOOKUP($AB437&amp;"-"&amp;$F437,Bonuses!$B$1:$G$1000,4,FALSE)),"",INT(VLOOKUP($AB437&amp;"-"&amp;$F437,Bonuses!$B$1:$G$1000,4,FALSE)))</f>
        <v/>
      </c>
      <c r="AE437" s="16" t="str">
        <f>IF(ISERROR(VLOOKUP($AB437&amp;"-"&amp;$F437,Bonuses!$B$1:$G$1000,5,FALSE)),"",IF(VLOOKUP($AB437&amp;"-"&amp;$F437,Bonuses!$B$1:$G$1000,5,FALSE)="","",VLOOKUP($AB437&amp;"-"&amp;$F437,Bonuses!$B$1:$G$1000,6,FALSE)&amp;" yrs, "&amp;VLOOKUP($AB437&amp;"-"&amp;$F437,Bonuses!$B$1:$G$1000,5,FALSE)))</f>
        <v/>
      </c>
    </row>
    <row r="438" spans="1:31" s="21" customFormat="1">
      <c r="A438" s="21" t="s">
        <v>690</v>
      </c>
      <c r="B438" s="21">
        <f t="shared" si="24"/>
        <v>1</v>
      </c>
      <c r="C438" s="21" t="str">
        <f t="shared" si="25"/>
        <v>P</v>
      </c>
      <c r="D438" s="17">
        <f>IF($C438="B",VLOOKUP($A438,Bat!$A$4:$BD$2323,D$1,FALSE),VLOOKUP($A438,Pit!$A$4:$AZ$2261,D$2,FALSE))</f>
        <v>13821</v>
      </c>
      <c r="E438" s="16" t="str">
        <f>IF($C438="B",VLOOKUP($A438,Bat!$A$4:$BD$2323,E$1,FALSE),VLOOKUP($A438,Pit!$A$4:$AZ$2261,E$2,FALSE))</f>
        <v>SP</v>
      </c>
      <c r="F438" s="16" t="str">
        <f>IF($C438="B",VLOOKUP($A438,Bat!$A$4:$BD$2323,F$1,FALSE),VLOOKUP($A438,Pit!$A$4:$AZ$2261,F$2,FALSE))</f>
        <v>Steve Burns</v>
      </c>
      <c r="G438" s="16">
        <f>IF($C438="B",VLOOKUP($A438,Bat!$A$4:$BD$2323,G$1,FALSE),VLOOKUP($A438,Pit!$A$4:$AZ$2261,G$2,FALSE))</f>
        <v>18</v>
      </c>
      <c r="H438" s="16" t="str">
        <f>IF($C438="B",VLOOKUP($A438,Bat!$A$4:$BD$2323,H$1,FALSE),VLOOKUP($A438,Pit!$A$4:$AZ$2261,H$2,FALSE))</f>
        <v>R</v>
      </c>
      <c r="I438" s="16" t="str">
        <f>IF($C438="B",VLOOKUP($A438,Bat!$A$4:$BD$2323,I$1,FALSE),VLOOKUP($A438,Pit!$A$4:$AZ$2261,I$2,FALSE))</f>
        <v>R</v>
      </c>
      <c r="J438" s="16" t="str">
        <f>IF($C438="B",VLOOKUP($A438,Bat!$A$4:$BD$2323,J$1,FALSE),VLOOKUP($A438,Pit!$A$4:$AZ$2261,J$2,FALSE))</f>
        <v>Normal</v>
      </c>
      <c r="K438" s="17" t="str">
        <f>IF($C438="B",VLOOKUP($A438,Bat!$A$4:$BD$2323,K$1,FALSE),VLOOKUP($A438,Pit!$A$4:$AZ$2261,K$2,FALSE))</f>
        <v>High</v>
      </c>
      <c r="L438" s="16">
        <f>IF($C438="B",VLOOKUP($A438,Bat!$A$4:$BD$2323,L$1,FALSE),VLOOKUP($A438,Pit!$A$4:$AZ$2261,L$2,FALSE))</f>
        <v>4</v>
      </c>
      <c r="M438" s="16">
        <f>IF($C438="B",VLOOKUP($A438,Bat!$A$4:$BD$2323,M$1,FALSE),VLOOKUP($A438,Pit!$A$4:$AZ$2261,M$2,FALSE))</f>
        <v>4</v>
      </c>
      <c r="N438" s="16">
        <f>IF($C438="B",VLOOKUP($A438,Bat!$A$4:$BD$2323,N$1,FALSE),VLOOKUP($A438,Pit!$A$4:$AZ$2261,N$2,FALSE))</f>
        <v>4</v>
      </c>
      <c r="O438" s="16" t="str">
        <f>IF($C438="B",VLOOKUP($A438,Bat!$A$4:$BD$2323,O$1,FALSE),VLOOKUP($A438,Pit!$A$4:$AZ$2261,O$2,FALSE))</f>
        <v>89-90 Mph</v>
      </c>
      <c r="P438" s="17">
        <f>IF($C438="B",VLOOKUP($A438,Bat!$A$4:$BD$2323,P$1,FALSE),VLOOKUP($A438,Pit!$A$4:$AZ$2261,P$2,FALSE))</f>
        <v>10</v>
      </c>
      <c r="Q438" s="18">
        <f>IF($C438="B",VLOOKUP($A438,Bat!$A$4:$BD$2323,Q$1,FALSE),VLOOKUP($A438,Pit!$A$4:$AZ$2261,Q$2,FALSE))</f>
        <v>27.192727122156178</v>
      </c>
      <c r="R438" s="19">
        <f>IF($C438="B",VLOOKUP($A438,Bat!$A$4:$BD$2323,R$1,FALSE),VLOOKUP($A438,Pit!$A$4:$AZ$2261,R$2,FALSE))</f>
        <v>-0.53415251659723773</v>
      </c>
      <c r="S438" s="20" t="str">
        <f>IF($C438="B",VLOOKUP($A438,Bat!$A$4:$BD$2323,S$1,FALSE),VLOOKUP($A438,Pit!$A$4:$AZ$2261,S$2,FALSE))</f>
        <v>Slot</v>
      </c>
      <c r="T438" s="17" t="str">
        <f>IF(S438="Slot","",VLOOKUP(IF($C438="B",VLOOKUP($A438,Bat!$A$4:$AT$2323,T$1,FALSE),VLOOKUP($A438,Pit!$A$4:$BD$2261,T$2,FALSE)),COND!$A$34:$B$40,2,FALSE))</f>
        <v/>
      </c>
      <c r="U438" s="21">
        <f>IF($C438="B",VLOOKUP($A438,Bat!$A$4:$AR$1287,44,FALSE),VLOOKUP($A438,Pit!$A$4:$BB$1239,54,FALSE))</f>
        <v>0</v>
      </c>
      <c r="W438" s="21">
        <f t="shared" si="26"/>
        <v>0</v>
      </c>
      <c r="X438" s="22" t="e">
        <f t="shared" si="27"/>
        <v>#N/A</v>
      </c>
      <c r="Y438" s="16" t="str">
        <f>IF(ISERROR(VLOOKUP($E438&amp;$F438,Results!$A$2:$G$413,Y$1,FALSE)),"",VLOOKUP($E438&amp;$F438,Results!$A$2:$G$413,Y$1,FALSE))</f>
        <v/>
      </c>
      <c r="Z438" s="16" t="str">
        <f>IF(ISERROR(VLOOKUP($E438&amp;$F438,Results!$A$2:$G$413,Z$1,FALSE)),"",VLOOKUP($E438&amp;$F438,Results!$A$2:$G$413,Z$1,FALSE))</f>
        <v/>
      </c>
      <c r="AA438" s="16" t="str">
        <f>IF(ISERROR(VLOOKUP($E438&amp;$F438,Results!$A$2:$G$413,AA$1,FALSE)),"",VLOOKUP($E438&amp;$F438,Results!$A$2:$G$413,AA$1,FALSE))</f>
        <v/>
      </c>
      <c r="AB438" s="16" t="str">
        <f>IF(ISERROR(VLOOKUP($E438&amp;$F438,Results!$A$2:$G$413,AB$1,FALSE)),"",VLOOKUP($E438&amp;$F438,Results!$A$2:$G$413,AB$1,FALSE))</f>
        <v/>
      </c>
      <c r="AC438" s="16"/>
      <c r="AD438" s="20" t="str">
        <f>IF(ISERROR(VLOOKUP($AB438&amp;"-"&amp;$F438,Bonuses!$B$1:$G$1000,4,FALSE)),"",INT(VLOOKUP($AB438&amp;"-"&amp;$F438,Bonuses!$B$1:$G$1000,4,FALSE)))</f>
        <v/>
      </c>
      <c r="AE438" s="16" t="str">
        <f>IF(ISERROR(VLOOKUP($AB438&amp;"-"&amp;$F438,Bonuses!$B$1:$G$1000,5,FALSE)),"",IF(VLOOKUP($AB438&amp;"-"&amp;$F438,Bonuses!$B$1:$G$1000,5,FALSE)="","",VLOOKUP($AB438&amp;"-"&amp;$F438,Bonuses!$B$1:$G$1000,6,FALSE)&amp;" yrs, "&amp;VLOOKUP($AB438&amp;"-"&amp;$F438,Bonuses!$B$1:$G$1000,5,FALSE)))</f>
        <v/>
      </c>
    </row>
    <row r="439" spans="1:31" s="21" customFormat="1">
      <c r="A439" s="21" t="s">
        <v>705</v>
      </c>
      <c r="B439" s="21">
        <f t="shared" si="24"/>
        <v>1</v>
      </c>
      <c r="C439" s="21" t="str">
        <f t="shared" si="25"/>
        <v>P</v>
      </c>
      <c r="D439" s="17">
        <f>IF($C439="B",VLOOKUP($A439,Bat!$A$4:$BD$2323,D$1,FALSE),VLOOKUP($A439,Pit!$A$4:$AZ$2261,D$2,FALSE))</f>
        <v>1177</v>
      </c>
      <c r="E439" s="16" t="str">
        <f>IF($C439="B",VLOOKUP($A439,Bat!$A$4:$BD$2323,E$1,FALSE),VLOOKUP($A439,Pit!$A$4:$AZ$2261,E$2,FALSE))</f>
        <v>SP</v>
      </c>
      <c r="F439" s="16" t="str">
        <f>IF($C439="B",VLOOKUP($A439,Bat!$A$4:$BD$2323,F$1,FALSE),VLOOKUP($A439,Pit!$A$4:$AZ$2261,F$2,FALSE))</f>
        <v>Jonathan Lauton</v>
      </c>
      <c r="G439" s="16">
        <f>IF($C439="B",VLOOKUP($A439,Bat!$A$4:$BD$2323,G$1,FALSE),VLOOKUP($A439,Pit!$A$4:$AZ$2261,G$2,FALSE))</f>
        <v>18</v>
      </c>
      <c r="H439" s="16" t="str">
        <f>IF($C439="B",VLOOKUP($A439,Bat!$A$4:$BD$2323,H$1,FALSE),VLOOKUP($A439,Pit!$A$4:$AZ$2261,H$2,FALSE))</f>
        <v>R</v>
      </c>
      <c r="I439" s="16" t="str">
        <f>IF($C439="B",VLOOKUP($A439,Bat!$A$4:$BD$2323,I$1,FALSE),VLOOKUP($A439,Pit!$A$4:$AZ$2261,I$2,FALSE))</f>
        <v>R</v>
      </c>
      <c r="J439" s="16" t="str">
        <f>IF($C439="B",VLOOKUP($A439,Bat!$A$4:$BD$2323,J$1,FALSE),VLOOKUP($A439,Pit!$A$4:$AZ$2261,J$2,FALSE))</f>
        <v>Very High</v>
      </c>
      <c r="K439" s="17" t="str">
        <f>IF($C439="B",VLOOKUP($A439,Bat!$A$4:$BD$2323,K$1,FALSE),VLOOKUP($A439,Pit!$A$4:$AZ$2261,K$2,FALSE))</f>
        <v>Normal</v>
      </c>
      <c r="L439" s="16">
        <f>IF($C439="B",VLOOKUP($A439,Bat!$A$4:$BD$2323,L$1,FALSE),VLOOKUP($A439,Pit!$A$4:$AZ$2261,L$2,FALSE))</f>
        <v>4</v>
      </c>
      <c r="M439" s="16">
        <f>IF($C439="B",VLOOKUP($A439,Bat!$A$4:$BD$2323,M$1,FALSE),VLOOKUP($A439,Pit!$A$4:$AZ$2261,M$2,FALSE))</f>
        <v>4</v>
      </c>
      <c r="N439" s="16">
        <f>IF($C439="B",VLOOKUP($A439,Bat!$A$4:$BD$2323,N$1,FALSE),VLOOKUP($A439,Pit!$A$4:$AZ$2261,N$2,FALSE))</f>
        <v>4</v>
      </c>
      <c r="O439" s="16" t="str">
        <f>IF($C439="B",VLOOKUP($A439,Bat!$A$4:$BD$2323,O$1,FALSE),VLOOKUP($A439,Pit!$A$4:$AZ$2261,O$2,FALSE))</f>
        <v>89-90 Mph</v>
      </c>
      <c r="P439" s="17">
        <f>IF($C439="B",VLOOKUP($A439,Bat!$A$4:$BD$2323,P$1,FALSE),VLOOKUP($A439,Pit!$A$4:$AZ$2261,P$2,FALSE))</f>
        <v>7</v>
      </c>
      <c r="Q439" s="18">
        <f>IF($C439="B",VLOOKUP($A439,Bat!$A$4:$BD$2323,Q$1,FALSE),VLOOKUP($A439,Pit!$A$4:$AZ$2261,Q$2,FALSE))</f>
        <v>26.992727122156179</v>
      </c>
      <c r="R439" s="19">
        <f>IF($C439="B",VLOOKUP($A439,Bat!$A$4:$BD$2323,R$1,FALSE),VLOOKUP($A439,Pit!$A$4:$AZ$2261,R$2,FALSE))</f>
        <v>-0.55002982467192285</v>
      </c>
      <c r="S439" s="20" t="str">
        <f>IF($C439="B",VLOOKUP($A439,Bat!$A$4:$BD$2323,S$1,FALSE),VLOOKUP($A439,Pit!$A$4:$AZ$2261,S$2,FALSE))</f>
        <v>Slot</v>
      </c>
      <c r="T439" s="17" t="str">
        <f>IF(S439="Slot","",VLOOKUP(IF($C439="B",VLOOKUP($A439,Bat!$A$4:$AT$2323,T$1,FALSE),VLOOKUP($A439,Pit!$A$4:$BD$2261,T$2,FALSE)),COND!$A$34:$B$40,2,FALSE))</f>
        <v/>
      </c>
      <c r="U439" s="21">
        <f>IF($C439="B",VLOOKUP($A439,Bat!$A$4:$AR$1287,44,FALSE),VLOOKUP($A439,Pit!$A$4:$BB$1239,54,FALSE))</f>
        <v>0</v>
      </c>
      <c r="W439" s="21">
        <f t="shared" si="26"/>
        <v>0</v>
      </c>
      <c r="X439" s="22" t="e">
        <f t="shared" si="27"/>
        <v>#N/A</v>
      </c>
      <c r="Y439" s="16" t="str">
        <f>IF(ISERROR(VLOOKUP($E439&amp;$F439,Results!$A$2:$G$413,Y$1,FALSE)),"",VLOOKUP($E439&amp;$F439,Results!$A$2:$G$413,Y$1,FALSE))</f>
        <v/>
      </c>
      <c r="Z439" s="16" t="str">
        <f>IF(ISERROR(VLOOKUP($E439&amp;$F439,Results!$A$2:$G$413,Z$1,FALSE)),"",VLOOKUP($E439&amp;$F439,Results!$A$2:$G$413,Z$1,FALSE))</f>
        <v/>
      </c>
      <c r="AA439" s="16" t="str">
        <f>IF(ISERROR(VLOOKUP($E439&amp;$F439,Results!$A$2:$G$413,AA$1,FALSE)),"",VLOOKUP($E439&amp;$F439,Results!$A$2:$G$413,AA$1,FALSE))</f>
        <v/>
      </c>
      <c r="AB439" s="16" t="str">
        <f>IF(ISERROR(VLOOKUP($E439&amp;$F439,Results!$A$2:$G$413,AB$1,FALSE)),"",VLOOKUP($E439&amp;$F439,Results!$A$2:$G$413,AB$1,FALSE))</f>
        <v/>
      </c>
      <c r="AC439" s="16"/>
      <c r="AD439" s="20" t="str">
        <f>IF(ISERROR(VLOOKUP($AB439&amp;"-"&amp;$F439,Bonuses!$B$1:$G$1000,4,FALSE)),"",INT(VLOOKUP($AB439&amp;"-"&amp;$F439,Bonuses!$B$1:$G$1000,4,FALSE)))</f>
        <v/>
      </c>
      <c r="AE439" s="16" t="str">
        <f>IF(ISERROR(VLOOKUP($AB439&amp;"-"&amp;$F439,Bonuses!$B$1:$G$1000,5,FALSE)),"",IF(VLOOKUP($AB439&amp;"-"&amp;$F439,Bonuses!$B$1:$G$1000,5,FALSE)="","",VLOOKUP($AB439&amp;"-"&amp;$F439,Bonuses!$B$1:$G$1000,6,FALSE)&amp;" yrs, "&amp;VLOOKUP($AB439&amp;"-"&amp;$F439,Bonuses!$B$1:$G$1000,5,FALSE)))</f>
        <v/>
      </c>
    </row>
    <row r="440" spans="1:31" s="21" customFormat="1">
      <c r="A440" s="21" t="s">
        <v>727</v>
      </c>
      <c r="B440" s="21">
        <f t="shared" si="24"/>
        <v>1</v>
      </c>
      <c r="C440" s="21" t="str">
        <f t="shared" si="25"/>
        <v>P</v>
      </c>
      <c r="D440" s="17">
        <f>IF($C440="B",VLOOKUP($A440,Bat!$A$4:$BD$2323,D$1,FALSE),VLOOKUP($A440,Pit!$A$4:$AZ$2261,D$2,FALSE))</f>
        <v>8960</v>
      </c>
      <c r="E440" s="16" t="str">
        <f>IF($C440="B",VLOOKUP($A440,Bat!$A$4:$BD$2323,E$1,FALSE),VLOOKUP($A440,Pit!$A$4:$AZ$2261,E$2,FALSE))</f>
        <v>MR</v>
      </c>
      <c r="F440" s="16" t="str">
        <f>IF($C440="B",VLOOKUP($A440,Bat!$A$4:$BD$2323,F$1,FALSE),VLOOKUP($A440,Pit!$A$4:$AZ$2261,F$2,FALSE))</f>
        <v>Ronald Williams</v>
      </c>
      <c r="G440" s="16">
        <f>IF($C440="B",VLOOKUP($A440,Bat!$A$4:$BD$2323,G$1,FALSE),VLOOKUP($A440,Pit!$A$4:$AZ$2261,G$2,FALSE))</f>
        <v>21</v>
      </c>
      <c r="H440" s="16" t="str">
        <f>IF($C440="B",VLOOKUP($A440,Bat!$A$4:$BD$2323,H$1,FALSE),VLOOKUP($A440,Pit!$A$4:$AZ$2261,H$2,FALSE))</f>
        <v>R</v>
      </c>
      <c r="I440" s="16" t="str">
        <f>IF($C440="B",VLOOKUP($A440,Bat!$A$4:$BD$2323,I$1,FALSE),VLOOKUP($A440,Pit!$A$4:$AZ$2261,I$2,FALSE))</f>
        <v>R</v>
      </c>
      <c r="J440" s="16" t="str">
        <f>IF($C440="B",VLOOKUP($A440,Bat!$A$4:$BD$2323,J$1,FALSE),VLOOKUP($A440,Pit!$A$4:$AZ$2261,J$2,FALSE))</f>
        <v>High</v>
      </c>
      <c r="K440" s="17" t="str">
        <f>IF($C440="B",VLOOKUP($A440,Bat!$A$4:$BD$2323,K$1,FALSE),VLOOKUP($A440,Pit!$A$4:$AZ$2261,K$2,FALSE))</f>
        <v>High</v>
      </c>
      <c r="L440" s="16">
        <f>IF($C440="B",VLOOKUP($A440,Bat!$A$4:$BD$2323,L$1,FALSE),VLOOKUP($A440,Pit!$A$4:$AZ$2261,L$2,FALSE))</f>
        <v>5</v>
      </c>
      <c r="M440" s="16">
        <f>IF($C440="B",VLOOKUP($A440,Bat!$A$4:$BD$2323,M$1,FALSE),VLOOKUP($A440,Pit!$A$4:$AZ$2261,M$2,FALSE))</f>
        <v>3</v>
      </c>
      <c r="N440" s="16">
        <f>IF($C440="B",VLOOKUP($A440,Bat!$A$4:$BD$2323,N$1,FALSE),VLOOKUP($A440,Pit!$A$4:$AZ$2261,N$2,FALSE))</f>
        <v>4</v>
      </c>
      <c r="O440" s="16" t="str">
        <f>IF($C440="B",VLOOKUP($A440,Bat!$A$4:$BD$2323,O$1,FALSE),VLOOKUP($A440,Pit!$A$4:$AZ$2261,O$2,FALSE))</f>
        <v>92-94 Mph</v>
      </c>
      <c r="P440" s="17">
        <f>IF($C440="B",VLOOKUP($A440,Bat!$A$4:$BD$2323,P$1,FALSE),VLOOKUP($A440,Pit!$A$4:$AZ$2261,P$2,FALSE))</f>
        <v>2</v>
      </c>
      <c r="Q440" s="18">
        <f>IF($C440="B",VLOOKUP($A440,Bat!$A$4:$BD$2323,Q$1,FALSE),VLOOKUP($A440,Pit!$A$4:$AZ$2261,Q$2,FALSE))</f>
        <v>27.586615348400134</v>
      </c>
      <c r="R440" s="19">
        <f>IF($C440="B",VLOOKUP($A440,Bat!$A$4:$BD$2323,R$1,FALSE),VLOOKUP($A440,Pit!$A$4:$AZ$2261,R$2,FALSE))</f>
        <v>-0.50288309302190493</v>
      </c>
      <c r="S440" s="20" t="str">
        <f>IF($C440="B",VLOOKUP($A440,Bat!$A$4:$BD$2323,S$1,FALSE),VLOOKUP($A440,Pit!$A$4:$AZ$2261,S$2,FALSE))</f>
        <v>Slot</v>
      </c>
      <c r="T440" s="17" t="str">
        <f>IF(S440="Slot","",VLOOKUP(IF($C440="B",VLOOKUP($A440,Bat!$A$4:$AT$2323,T$1,FALSE),VLOOKUP($A440,Pit!$A$4:$BD$2261,T$2,FALSE)),COND!$A$34:$B$40,2,FALSE))</f>
        <v/>
      </c>
      <c r="U440" s="21">
        <f>IF($C440="B",VLOOKUP($A440,Bat!$A$4:$AR$1287,44,FALSE),VLOOKUP($A440,Pit!$A$4:$BB$1239,54,FALSE))</f>
        <v>0</v>
      </c>
      <c r="W440" s="21">
        <f t="shared" si="26"/>
        <v>0</v>
      </c>
      <c r="X440" s="22" t="e">
        <f t="shared" si="27"/>
        <v>#N/A</v>
      </c>
      <c r="Y440" s="16" t="str">
        <f>IF(ISERROR(VLOOKUP($E440&amp;$F440,Results!$A$2:$G$413,Y$1,FALSE)),"",VLOOKUP($E440&amp;$F440,Results!$A$2:$G$413,Y$1,FALSE))</f>
        <v/>
      </c>
      <c r="Z440" s="16" t="str">
        <f>IF(ISERROR(VLOOKUP($E440&amp;$F440,Results!$A$2:$G$413,Z$1,FALSE)),"",VLOOKUP($E440&amp;$F440,Results!$A$2:$G$413,Z$1,FALSE))</f>
        <v/>
      </c>
      <c r="AA440" s="16" t="str">
        <f>IF(ISERROR(VLOOKUP($E440&amp;$F440,Results!$A$2:$G$413,AA$1,FALSE)),"",VLOOKUP($E440&amp;$F440,Results!$A$2:$G$413,AA$1,FALSE))</f>
        <v/>
      </c>
      <c r="AB440" s="16" t="str">
        <f>IF(ISERROR(VLOOKUP($E440&amp;$F440,Results!$A$2:$G$413,AB$1,FALSE)),"",VLOOKUP($E440&amp;$F440,Results!$A$2:$G$413,AB$1,FALSE))</f>
        <v/>
      </c>
      <c r="AC440" s="16"/>
      <c r="AD440" s="20" t="str">
        <f>IF(ISERROR(VLOOKUP($AB440&amp;"-"&amp;$F440,Bonuses!$B$1:$G$1000,4,FALSE)),"",INT(VLOOKUP($AB440&amp;"-"&amp;$F440,Bonuses!$B$1:$G$1000,4,FALSE)))</f>
        <v/>
      </c>
      <c r="AE440" s="16" t="str">
        <f>IF(ISERROR(VLOOKUP($AB440&amp;"-"&amp;$F440,Bonuses!$B$1:$G$1000,5,FALSE)),"",IF(VLOOKUP($AB440&amp;"-"&amp;$F440,Bonuses!$B$1:$G$1000,5,FALSE)="","",VLOOKUP($AB440&amp;"-"&amp;$F440,Bonuses!$B$1:$G$1000,6,FALSE)&amp;" yrs, "&amp;VLOOKUP($AB440&amp;"-"&amp;$F440,Bonuses!$B$1:$G$1000,5,FALSE)))</f>
        <v/>
      </c>
    </row>
    <row r="441" spans="1:31" s="21" customFormat="1">
      <c r="A441" s="21" t="s">
        <v>710</v>
      </c>
      <c r="B441" s="21">
        <f t="shared" si="24"/>
        <v>1</v>
      </c>
      <c r="C441" s="21" t="str">
        <f t="shared" si="25"/>
        <v>P</v>
      </c>
      <c r="D441" s="17">
        <f>IF($C441="B",VLOOKUP($A441,Bat!$A$4:$BD$2323,D$1,FALSE),VLOOKUP($A441,Pit!$A$4:$AZ$2261,D$2,FALSE))</f>
        <v>1720</v>
      </c>
      <c r="E441" s="16" t="str">
        <f>IF($C441="B",VLOOKUP($A441,Bat!$A$4:$BD$2323,E$1,FALSE),VLOOKUP($A441,Pit!$A$4:$AZ$2261,E$2,FALSE))</f>
        <v>SP</v>
      </c>
      <c r="F441" s="16" t="str">
        <f>IF($C441="B",VLOOKUP($A441,Bat!$A$4:$BD$2323,F$1,FALSE),VLOOKUP($A441,Pit!$A$4:$AZ$2261,F$2,FALSE))</f>
        <v>Derek Wright</v>
      </c>
      <c r="G441" s="16">
        <f>IF($C441="B",VLOOKUP($A441,Bat!$A$4:$BD$2323,G$1,FALSE),VLOOKUP($A441,Pit!$A$4:$AZ$2261,G$2,FALSE))</f>
        <v>18</v>
      </c>
      <c r="H441" s="16" t="str">
        <f>IF($C441="B",VLOOKUP($A441,Bat!$A$4:$BD$2323,H$1,FALSE),VLOOKUP($A441,Pit!$A$4:$AZ$2261,H$2,FALSE))</f>
        <v>L</v>
      </c>
      <c r="I441" s="16" t="str">
        <f>IF($C441="B",VLOOKUP($A441,Bat!$A$4:$BD$2323,I$1,FALSE),VLOOKUP($A441,Pit!$A$4:$AZ$2261,I$2,FALSE))</f>
        <v>R</v>
      </c>
      <c r="J441" s="16" t="str">
        <f>IF($C441="B",VLOOKUP($A441,Bat!$A$4:$BD$2323,J$1,FALSE),VLOOKUP($A441,Pit!$A$4:$AZ$2261,J$2,FALSE))</f>
        <v>High</v>
      </c>
      <c r="K441" s="17" t="str">
        <f>IF($C441="B",VLOOKUP($A441,Bat!$A$4:$BD$2323,K$1,FALSE),VLOOKUP($A441,Pit!$A$4:$AZ$2261,K$2,FALSE))</f>
        <v>Low</v>
      </c>
      <c r="L441" s="16">
        <f>IF($C441="B",VLOOKUP($A441,Bat!$A$4:$BD$2323,L$1,FALSE),VLOOKUP($A441,Pit!$A$4:$AZ$2261,L$2,FALSE))</f>
        <v>4</v>
      </c>
      <c r="M441" s="16">
        <f>IF($C441="B",VLOOKUP($A441,Bat!$A$4:$BD$2323,M$1,FALSE),VLOOKUP($A441,Pit!$A$4:$AZ$2261,M$2,FALSE))</f>
        <v>4</v>
      </c>
      <c r="N441" s="16">
        <f>IF($C441="B",VLOOKUP($A441,Bat!$A$4:$BD$2323,N$1,FALSE),VLOOKUP($A441,Pit!$A$4:$AZ$2261,N$2,FALSE))</f>
        <v>4</v>
      </c>
      <c r="O441" s="16" t="str">
        <f>IF($C441="B",VLOOKUP($A441,Bat!$A$4:$BD$2323,O$1,FALSE),VLOOKUP($A441,Pit!$A$4:$AZ$2261,O$2,FALSE))</f>
        <v>89-90 Mph</v>
      </c>
      <c r="P441" s="17">
        <f>IF($C441="B",VLOOKUP($A441,Bat!$A$4:$BD$2323,P$1,FALSE),VLOOKUP($A441,Pit!$A$4:$AZ$2261,P$2,FALSE))</f>
        <v>6</v>
      </c>
      <c r="Q441" s="18">
        <f>IF($C441="B",VLOOKUP($A441,Bat!$A$4:$BD$2323,Q$1,FALSE),VLOOKUP($A441,Pit!$A$4:$AZ$2261,Q$2,FALSE))</f>
        <v>26.581658944102273</v>
      </c>
      <c r="R441" s="19">
        <f>IF($C441="B",VLOOKUP($A441,Bat!$A$4:$BD$2323,R$1,FALSE),VLOOKUP($A441,Pit!$A$4:$AZ$2261,R$2,FALSE))</f>
        <v>-0.58266310518522979</v>
      </c>
      <c r="S441" s="20" t="str">
        <f>IF($C441="B",VLOOKUP($A441,Bat!$A$4:$BD$2323,S$1,FALSE),VLOOKUP($A441,Pit!$A$4:$AZ$2261,S$2,FALSE))</f>
        <v>Slot</v>
      </c>
      <c r="T441" s="17" t="str">
        <f>IF(S441="Slot","",VLOOKUP(IF($C441="B",VLOOKUP($A441,Bat!$A$4:$AT$2323,T$1,FALSE),VLOOKUP($A441,Pit!$A$4:$BD$2261,T$2,FALSE)),COND!$A$34:$B$40,2,FALSE))</f>
        <v/>
      </c>
      <c r="U441" s="21">
        <f>IF($C441="B",VLOOKUP($A441,Bat!$A$4:$AR$1287,44,FALSE),VLOOKUP($A441,Pit!$A$4:$BB$1239,54,FALSE))</f>
        <v>0</v>
      </c>
      <c r="W441" s="21">
        <f t="shared" si="26"/>
        <v>0</v>
      </c>
      <c r="X441" s="22" t="e">
        <f t="shared" si="27"/>
        <v>#N/A</v>
      </c>
      <c r="Y441" s="16" t="str">
        <f>IF(ISERROR(VLOOKUP($E441&amp;$F441,Results!$A$2:$G$413,Y$1,FALSE)),"",VLOOKUP($E441&amp;$F441,Results!$A$2:$G$413,Y$1,FALSE))</f>
        <v/>
      </c>
      <c r="Z441" s="16" t="str">
        <f>IF(ISERROR(VLOOKUP($E441&amp;$F441,Results!$A$2:$G$413,Z$1,FALSE)),"",VLOOKUP($E441&amp;$F441,Results!$A$2:$G$413,Z$1,FALSE))</f>
        <v/>
      </c>
      <c r="AA441" s="16" t="str">
        <f>IF(ISERROR(VLOOKUP($E441&amp;$F441,Results!$A$2:$G$413,AA$1,FALSE)),"",VLOOKUP($E441&amp;$F441,Results!$A$2:$G$413,AA$1,FALSE))</f>
        <v/>
      </c>
      <c r="AB441" s="16" t="str">
        <f>IF(ISERROR(VLOOKUP($E441&amp;$F441,Results!$A$2:$G$413,AB$1,FALSE)),"",VLOOKUP($E441&amp;$F441,Results!$A$2:$G$413,AB$1,FALSE))</f>
        <v/>
      </c>
      <c r="AC441" s="16"/>
      <c r="AD441" s="20" t="str">
        <f>IF(ISERROR(VLOOKUP($AB441&amp;"-"&amp;$F441,Bonuses!$B$1:$G$1000,4,FALSE)),"",INT(VLOOKUP($AB441&amp;"-"&amp;$F441,Bonuses!$B$1:$G$1000,4,FALSE)))</f>
        <v/>
      </c>
      <c r="AE441" s="16" t="str">
        <f>IF(ISERROR(VLOOKUP($AB441&amp;"-"&amp;$F441,Bonuses!$B$1:$G$1000,5,FALSE)),"",IF(VLOOKUP($AB441&amp;"-"&amp;$F441,Bonuses!$B$1:$G$1000,5,FALSE)="","",VLOOKUP($AB441&amp;"-"&amp;$F441,Bonuses!$B$1:$G$1000,6,FALSE)&amp;" yrs, "&amp;VLOOKUP($AB441&amp;"-"&amp;$F441,Bonuses!$B$1:$G$1000,5,FALSE)))</f>
        <v/>
      </c>
    </row>
    <row r="442" spans="1:31" s="21" customFormat="1">
      <c r="A442" s="21" t="s">
        <v>686</v>
      </c>
      <c r="B442" s="21">
        <f t="shared" si="24"/>
        <v>1</v>
      </c>
      <c r="C442" s="21" t="str">
        <f t="shared" si="25"/>
        <v>P</v>
      </c>
      <c r="D442" s="17">
        <f>IF($C442="B",VLOOKUP($A442,Bat!$A$4:$BD$2323,D$1,FALSE),VLOOKUP($A442,Pit!$A$4:$AZ$2261,D$2,FALSE))</f>
        <v>13911</v>
      </c>
      <c r="E442" s="16" t="str">
        <f>IF($C442="B",VLOOKUP($A442,Bat!$A$4:$BD$2323,E$1,FALSE),VLOOKUP($A442,Pit!$A$4:$AZ$2261,E$2,FALSE))</f>
        <v>SP</v>
      </c>
      <c r="F442" s="16" t="str">
        <f>IF($C442="B",VLOOKUP($A442,Bat!$A$4:$BD$2323,F$1,FALSE),VLOOKUP($A442,Pit!$A$4:$AZ$2261,F$2,FALSE))</f>
        <v>Stan Richmond</v>
      </c>
      <c r="G442" s="16">
        <f>IF($C442="B",VLOOKUP($A442,Bat!$A$4:$BD$2323,G$1,FALSE),VLOOKUP($A442,Pit!$A$4:$AZ$2261,G$2,FALSE))</f>
        <v>21</v>
      </c>
      <c r="H442" s="16" t="str">
        <f>IF($C442="B",VLOOKUP($A442,Bat!$A$4:$BD$2323,H$1,FALSE),VLOOKUP($A442,Pit!$A$4:$AZ$2261,H$2,FALSE))</f>
        <v>L</v>
      </c>
      <c r="I442" s="16" t="str">
        <f>IF($C442="B",VLOOKUP($A442,Bat!$A$4:$BD$2323,I$1,FALSE),VLOOKUP($A442,Pit!$A$4:$AZ$2261,I$2,FALSE))</f>
        <v>R</v>
      </c>
      <c r="J442" s="16" t="str">
        <f>IF($C442="B",VLOOKUP($A442,Bat!$A$4:$BD$2323,J$1,FALSE),VLOOKUP($A442,Pit!$A$4:$AZ$2261,J$2,FALSE))</f>
        <v>Low</v>
      </c>
      <c r="K442" s="17" t="str">
        <f>IF($C442="B",VLOOKUP($A442,Bat!$A$4:$BD$2323,K$1,FALSE),VLOOKUP($A442,Pit!$A$4:$AZ$2261,K$2,FALSE))</f>
        <v>Low</v>
      </c>
      <c r="L442" s="16">
        <f>IF($C442="B",VLOOKUP($A442,Bat!$A$4:$BD$2323,L$1,FALSE),VLOOKUP($A442,Pit!$A$4:$AZ$2261,L$2,FALSE))</f>
        <v>4</v>
      </c>
      <c r="M442" s="16">
        <f>IF($C442="B",VLOOKUP($A442,Bat!$A$4:$BD$2323,M$1,FALSE),VLOOKUP($A442,Pit!$A$4:$AZ$2261,M$2,FALSE))</f>
        <v>4</v>
      </c>
      <c r="N442" s="16">
        <f>IF($C442="B",VLOOKUP($A442,Bat!$A$4:$BD$2323,N$1,FALSE),VLOOKUP($A442,Pit!$A$4:$AZ$2261,N$2,FALSE))</f>
        <v>4</v>
      </c>
      <c r="O442" s="16" t="str">
        <f>IF($C442="B",VLOOKUP($A442,Bat!$A$4:$BD$2323,O$1,FALSE),VLOOKUP($A442,Pit!$A$4:$AZ$2261,O$2,FALSE))</f>
        <v>91-93 Mph</v>
      </c>
      <c r="P442" s="17">
        <f>IF($C442="B",VLOOKUP($A442,Bat!$A$4:$BD$2323,P$1,FALSE),VLOOKUP($A442,Pit!$A$4:$AZ$2261,P$2,FALSE))</f>
        <v>7</v>
      </c>
      <c r="Q442" s="18">
        <f>IF($C442="B",VLOOKUP($A442,Bat!$A$4:$BD$2323,Q$1,FALSE),VLOOKUP($A442,Pit!$A$4:$AZ$2261,Q$2,FALSE))</f>
        <v>25.569067765170672</v>
      </c>
      <c r="R442" s="19">
        <f>IF($C442="B",VLOOKUP($A442,Bat!$A$4:$BD$2323,R$1,FALSE),VLOOKUP($A442,Pit!$A$4:$AZ$2261,R$2,FALSE))</f>
        <v>-0.66304921569325803</v>
      </c>
      <c r="S442" s="20" t="str">
        <f>IF($C442="B",VLOOKUP($A442,Bat!$A$4:$BD$2323,S$1,FALSE),VLOOKUP($A442,Pit!$A$4:$AZ$2261,S$2,FALSE))</f>
        <v>Slot</v>
      </c>
      <c r="T442" s="17" t="str">
        <f>IF(S442="Slot","",VLOOKUP(IF($C442="B",VLOOKUP($A442,Bat!$A$4:$AT$2323,T$1,FALSE),VLOOKUP($A442,Pit!$A$4:$BD$2261,T$2,FALSE)),COND!$A$34:$B$40,2,FALSE))</f>
        <v/>
      </c>
      <c r="U442" s="21">
        <f>IF($C442="B",VLOOKUP($A442,Bat!$A$4:$AR$1287,44,FALSE),VLOOKUP($A442,Pit!$A$4:$BB$1239,54,FALSE))</f>
        <v>0</v>
      </c>
      <c r="W442" s="21">
        <f t="shared" si="26"/>
        <v>0</v>
      </c>
      <c r="X442" s="22" t="e">
        <f t="shared" si="27"/>
        <v>#N/A</v>
      </c>
      <c r="Y442" s="16" t="str">
        <f>IF(ISERROR(VLOOKUP($E442&amp;$F442,Results!$A$2:$G$413,Y$1,FALSE)),"",VLOOKUP($E442&amp;$F442,Results!$A$2:$G$413,Y$1,FALSE))</f>
        <v/>
      </c>
      <c r="Z442" s="16" t="str">
        <f>IF(ISERROR(VLOOKUP($E442&amp;$F442,Results!$A$2:$G$413,Z$1,FALSE)),"",VLOOKUP($E442&amp;$F442,Results!$A$2:$G$413,Z$1,FALSE))</f>
        <v/>
      </c>
      <c r="AA442" s="16" t="str">
        <f>IF(ISERROR(VLOOKUP($E442&amp;$F442,Results!$A$2:$G$413,AA$1,FALSE)),"",VLOOKUP($E442&amp;$F442,Results!$A$2:$G$413,AA$1,FALSE))</f>
        <v/>
      </c>
      <c r="AB442" s="16" t="str">
        <f>IF(ISERROR(VLOOKUP($E442&amp;$F442,Results!$A$2:$G$413,AB$1,FALSE)),"",VLOOKUP($E442&amp;$F442,Results!$A$2:$G$413,AB$1,FALSE))</f>
        <v/>
      </c>
      <c r="AC442" s="16"/>
      <c r="AD442" s="20" t="str">
        <f>IF(ISERROR(VLOOKUP($AB442&amp;"-"&amp;$F442,Bonuses!$B$1:$G$1000,4,FALSE)),"",INT(VLOOKUP($AB442&amp;"-"&amp;$F442,Bonuses!$B$1:$G$1000,4,FALSE)))</f>
        <v/>
      </c>
      <c r="AE442" s="16" t="str">
        <f>IF(ISERROR(VLOOKUP($AB442&amp;"-"&amp;$F442,Bonuses!$B$1:$G$1000,5,FALSE)),"",IF(VLOOKUP($AB442&amp;"-"&amp;$F442,Bonuses!$B$1:$G$1000,5,FALSE)="","",VLOOKUP($AB442&amp;"-"&amp;$F442,Bonuses!$B$1:$G$1000,6,FALSE)&amp;" yrs, "&amp;VLOOKUP($AB442&amp;"-"&amp;$F442,Bonuses!$B$1:$G$1000,5,FALSE)))</f>
        <v/>
      </c>
    </row>
    <row r="443" spans="1:31" s="21" customFormat="1">
      <c r="A443" s="21" t="s">
        <v>706</v>
      </c>
      <c r="B443" s="21">
        <f t="shared" si="24"/>
        <v>1</v>
      </c>
      <c r="C443" s="21" t="str">
        <f t="shared" si="25"/>
        <v>P</v>
      </c>
      <c r="D443" s="17">
        <f>IF($C443="B",VLOOKUP($A443,Bat!$A$4:$BD$2323,D$1,FALSE),VLOOKUP($A443,Pit!$A$4:$AZ$2261,D$2,FALSE))</f>
        <v>9364</v>
      </c>
      <c r="E443" s="16" t="str">
        <f>IF($C443="B",VLOOKUP($A443,Bat!$A$4:$BD$2323,E$1,FALSE),VLOOKUP($A443,Pit!$A$4:$AZ$2261,E$2,FALSE))</f>
        <v>MR</v>
      </c>
      <c r="F443" s="16" t="str">
        <f>IF($C443="B",VLOOKUP($A443,Bat!$A$4:$BD$2323,F$1,FALSE),VLOOKUP($A443,Pit!$A$4:$AZ$2261,F$2,FALSE))</f>
        <v>Jimmy Glenn</v>
      </c>
      <c r="G443" s="16">
        <f>IF($C443="B",VLOOKUP($A443,Bat!$A$4:$BD$2323,G$1,FALSE),VLOOKUP($A443,Pit!$A$4:$AZ$2261,G$2,FALSE))</f>
        <v>21</v>
      </c>
      <c r="H443" s="16" t="str">
        <f>IF($C443="B",VLOOKUP($A443,Bat!$A$4:$BD$2323,H$1,FALSE),VLOOKUP($A443,Pit!$A$4:$AZ$2261,H$2,FALSE))</f>
        <v>R</v>
      </c>
      <c r="I443" s="16" t="str">
        <f>IF($C443="B",VLOOKUP($A443,Bat!$A$4:$BD$2323,I$1,FALSE),VLOOKUP($A443,Pit!$A$4:$AZ$2261,I$2,FALSE))</f>
        <v>R</v>
      </c>
      <c r="J443" s="16" t="str">
        <f>IF($C443="B",VLOOKUP($A443,Bat!$A$4:$BD$2323,J$1,FALSE),VLOOKUP($A443,Pit!$A$4:$AZ$2261,J$2,FALSE))</f>
        <v>Low</v>
      </c>
      <c r="K443" s="17" t="str">
        <f>IF($C443="B",VLOOKUP($A443,Bat!$A$4:$BD$2323,K$1,FALSE),VLOOKUP($A443,Pit!$A$4:$AZ$2261,K$2,FALSE))</f>
        <v>Normal</v>
      </c>
      <c r="L443" s="16">
        <f>IF($C443="B",VLOOKUP($A443,Bat!$A$4:$BD$2323,L$1,FALSE),VLOOKUP($A443,Pit!$A$4:$AZ$2261,L$2,FALSE))</f>
        <v>3</v>
      </c>
      <c r="M443" s="16">
        <f>IF($C443="B",VLOOKUP($A443,Bat!$A$4:$BD$2323,M$1,FALSE),VLOOKUP($A443,Pit!$A$4:$AZ$2261,M$2,FALSE))</f>
        <v>5</v>
      </c>
      <c r="N443" s="16">
        <f>IF($C443="B",VLOOKUP($A443,Bat!$A$4:$BD$2323,N$1,FALSE),VLOOKUP($A443,Pit!$A$4:$AZ$2261,N$2,FALSE))</f>
        <v>4</v>
      </c>
      <c r="O443" s="16" t="str">
        <f>IF($C443="B",VLOOKUP($A443,Bat!$A$4:$BD$2323,O$1,FALSE),VLOOKUP($A443,Pit!$A$4:$AZ$2261,O$2,FALSE))</f>
        <v>90-92 Mph</v>
      </c>
      <c r="P443" s="17">
        <f>IF($C443="B",VLOOKUP($A443,Bat!$A$4:$BD$2323,P$1,FALSE),VLOOKUP($A443,Pit!$A$4:$AZ$2261,P$2,FALSE))</f>
        <v>7</v>
      </c>
      <c r="Q443" s="18">
        <f>IF($C443="B",VLOOKUP($A443,Bat!$A$4:$BD$2323,Q$1,FALSE),VLOOKUP($A443,Pit!$A$4:$AZ$2261,Q$2,FALSE))</f>
        <v>25.834023681972486</v>
      </c>
      <c r="R443" s="19">
        <f>IF($C443="B",VLOOKUP($A443,Bat!$A$4:$BD$2323,R$1,FALSE),VLOOKUP($A443,Pit!$A$4:$AZ$2261,R$2,FALSE))</f>
        <v>-0.64201528210689285</v>
      </c>
      <c r="S443" s="20" t="str">
        <f>IF($C443="B",VLOOKUP($A443,Bat!$A$4:$BD$2323,S$1,FALSE),VLOOKUP($A443,Pit!$A$4:$AZ$2261,S$2,FALSE))</f>
        <v>Slot</v>
      </c>
      <c r="T443" s="17" t="str">
        <f>IF(S443="Slot","",VLOOKUP(IF($C443="B",VLOOKUP($A443,Bat!$A$4:$AT$2323,T$1,FALSE),VLOOKUP($A443,Pit!$A$4:$BD$2261,T$2,FALSE)),COND!$A$34:$B$40,2,FALSE))</f>
        <v/>
      </c>
      <c r="U443" s="21">
        <f>IF($C443="B",VLOOKUP($A443,Bat!$A$4:$AR$1287,44,FALSE),VLOOKUP($A443,Pit!$A$4:$BB$1239,54,FALSE))</f>
        <v>0</v>
      </c>
      <c r="W443" s="21">
        <f t="shared" si="26"/>
        <v>0</v>
      </c>
      <c r="X443" s="22" t="e">
        <f t="shared" si="27"/>
        <v>#N/A</v>
      </c>
      <c r="Y443" s="16" t="str">
        <f>IF(ISERROR(VLOOKUP($E443&amp;$F443,Results!$A$2:$G$413,Y$1,FALSE)),"",VLOOKUP($E443&amp;$F443,Results!$A$2:$G$413,Y$1,FALSE))</f>
        <v/>
      </c>
      <c r="Z443" s="16" t="str">
        <f>IF(ISERROR(VLOOKUP($E443&amp;$F443,Results!$A$2:$G$413,Z$1,FALSE)),"",VLOOKUP($E443&amp;$F443,Results!$A$2:$G$413,Z$1,FALSE))</f>
        <v/>
      </c>
      <c r="AA443" s="16" t="str">
        <f>IF(ISERROR(VLOOKUP($E443&amp;$F443,Results!$A$2:$G$413,AA$1,FALSE)),"",VLOOKUP($E443&amp;$F443,Results!$A$2:$G$413,AA$1,FALSE))</f>
        <v/>
      </c>
      <c r="AB443" s="16" t="str">
        <f>IF(ISERROR(VLOOKUP($E443&amp;$F443,Results!$A$2:$G$413,AB$1,FALSE)),"",VLOOKUP($E443&amp;$F443,Results!$A$2:$G$413,AB$1,FALSE))</f>
        <v/>
      </c>
      <c r="AC443" s="16"/>
      <c r="AD443" s="20" t="str">
        <f>IF(ISERROR(VLOOKUP($AB443&amp;"-"&amp;$F443,Bonuses!$B$1:$G$1000,4,FALSE)),"",INT(VLOOKUP($AB443&amp;"-"&amp;$F443,Bonuses!$B$1:$G$1000,4,FALSE)))</f>
        <v/>
      </c>
      <c r="AE443" s="16" t="str">
        <f>IF(ISERROR(VLOOKUP($AB443&amp;"-"&amp;$F443,Bonuses!$B$1:$G$1000,5,FALSE)),"",IF(VLOOKUP($AB443&amp;"-"&amp;$F443,Bonuses!$B$1:$G$1000,5,FALSE)="","",VLOOKUP($AB443&amp;"-"&amp;$F443,Bonuses!$B$1:$G$1000,6,FALSE)&amp;" yrs, "&amp;VLOOKUP($AB443&amp;"-"&amp;$F443,Bonuses!$B$1:$G$1000,5,FALSE)))</f>
        <v/>
      </c>
    </row>
    <row r="444" spans="1:31" s="21" customFormat="1">
      <c r="A444" s="21" t="s">
        <v>91</v>
      </c>
      <c r="B444" s="21">
        <f t="shared" si="24"/>
        <v>1</v>
      </c>
      <c r="C444" s="21" t="str">
        <f t="shared" si="25"/>
        <v>P</v>
      </c>
      <c r="D444" s="17" t="e">
        <f>IF($C444="B",VLOOKUP($A444,Bat!$A$4:$BD$2323,D$1,FALSE),VLOOKUP($A444,Pit!$A$4:$AZ$2261,D$2,FALSE))</f>
        <v>#N/A</v>
      </c>
      <c r="E444" s="16" t="e">
        <f>IF($C444="B",VLOOKUP($A444,Bat!$A$4:$BD$2323,E$1,FALSE),VLOOKUP($A444,Pit!$A$4:$AZ$2261,E$2,FALSE))</f>
        <v>#N/A</v>
      </c>
      <c r="F444" s="16" t="e">
        <f>IF($C444="B",VLOOKUP($A444,Bat!$A$4:$BD$2323,F$1,FALSE),VLOOKUP($A444,Pit!$A$4:$AZ$2261,F$2,FALSE))</f>
        <v>#N/A</v>
      </c>
      <c r="G444" s="16" t="e">
        <f>IF($C444="B",VLOOKUP($A444,Bat!$A$4:$BD$2323,G$1,FALSE),VLOOKUP($A444,Pit!$A$4:$AZ$2261,G$2,FALSE))</f>
        <v>#N/A</v>
      </c>
      <c r="H444" s="16" t="e">
        <f>IF($C444="B",VLOOKUP($A444,Bat!$A$4:$BD$2323,H$1,FALSE),VLOOKUP($A444,Pit!$A$4:$AZ$2261,H$2,FALSE))</f>
        <v>#N/A</v>
      </c>
      <c r="I444" s="16" t="e">
        <f>IF($C444="B",VLOOKUP($A444,Bat!$A$4:$BD$2323,I$1,FALSE),VLOOKUP($A444,Pit!$A$4:$AZ$2261,I$2,FALSE))</f>
        <v>#N/A</v>
      </c>
      <c r="J444" s="16" t="e">
        <f>IF($C444="B",VLOOKUP($A444,Bat!$A$4:$BD$2323,J$1,FALSE),VLOOKUP($A444,Pit!$A$4:$AZ$2261,J$2,FALSE))</f>
        <v>#N/A</v>
      </c>
      <c r="K444" s="17" t="e">
        <f>IF($C444="B",VLOOKUP($A444,Bat!$A$4:$BD$2323,K$1,FALSE),VLOOKUP($A444,Pit!$A$4:$AZ$2261,K$2,FALSE))</f>
        <v>#N/A</v>
      </c>
      <c r="L444" s="16" t="e">
        <f>IF($C444="B",VLOOKUP($A444,Bat!$A$4:$BD$2323,L$1,FALSE),VLOOKUP($A444,Pit!$A$4:$AZ$2261,L$2,FALSE))</f>
        <v>#N/A</v>
      </c>
      <c r="M444" s="16" t="e">
        <f>IF($C444="B",VLOOKUP($A444,Bat!$A$4:$BD$2323,M$1,FALSE),VLOOKUP($A444,Pit!$A$4:$AZ$2261,M$2,FALSE))</f>
        <v>#N/A</v>
      </c>
      <c r="N444" s="16" t="e">
        <f>IF($C444="B",VLOOKUP($A444,Bat!$A$4:$BD$2323,N$1,FALSE),VLOOKUP($A444,Pit!$A$4:$AZ$2261,N$2,FALSE))</f>
        <v>#N/A</v>
      </c>
      <c r="O444" s="16" t="e">
        <f>IF($C444="B",VLOOKUP($A444,Bat!$A$4:$BD$2323,O$1,FALSE),VLOOKUP($A444,Pit!$A$4:$AZ$2261,O$2,FALSE))</f>
        <v>#N/A</v>
      </c>
      <c r="P444" s="17" t="e">
        <f>IF($C444="B",VLOOKUP($A444,Bat!$A$4:$BD$2323,P$1,FALSE),VLOOKUP($A444,Pit!$A$4:$AZ$2261,P$2,FALSE))</f>
        <v>#N/A</v>
      </c>
      <c r="Q444" s="18" t="e">
        <f>IF($C444="B",VLOOKUP($A444,Bat!$A$4:$BD$2323,Q$1,FALSE),VLOOKUP($A444,Pit!$A$4:$AZ$2261,Q$2,FALSE))</f>
        <v>#N/A</v>
      </c>
      <c r="R444" s="19" t="e">
        <f>IF($C444="B",VLOOKUP($A444,Bat!$A$4:$BD$2323,R$1,FALSE),VLOOKUP($A444,Pit!$A$4:$AZ$2261,R$2,FALSE))</f>
        <v>#N/A</v>
      </c>
      <c r="S444" s="20" t="e">
        <f>IF($C444="B",VLOOKUP($A444,Bat!$A$4:$BD$2323,S$1,FALSE),VLOOKUP($A444,Pit!$A$4:$AZ$2261,S$2,FALSE))</f>
        <v>#N/A</v>
      </c>
      <c r="T444" s="17" t="e">
        <f>IF(S444="Slot","",VLOOKUP(IF($C444="B",VLOOKUP($A444,Bat!$A$4:$AT$2323,T$1,FALSE),VLOOKUP($A444,Pit!$A$4:$BD$2261,T$2,FALSE)),COND!$A$34:$B$40,2,FALSE))</f>
        <v>#N/A</v>
      </c>
      <c r="U444" s="21" t="e">
        <f>IF($C444="B",VLOOKUP($A444,Bat!$A$4:$AR$1287,44,FALSE),VLOOKUP($A444,Pit!$A$4:$BB$1239,54,FALSE))</f>
        <v>#N/A</v>
      </c>
      <c r="W444" s="21" t="e">
        <f t="shared" si="26"/>
        <v>#N/A</v>
      </c>
      <c r="X444" s="22" t="e">
        <f t="shared" si="27"/>
        <v>#N/A</v>
      </c>
      <c r="Y444" s="16" t="str">
        <f>IF(ISERROR(VLOOKUP($E444&amp;$F444,Results!$A$2:$G$413,Y$1,FALSE)),"",VLOOKUP($E444&amp;$F444,Results!$A$2:$G$413,Y$1,FALSE))</f>
        <v/>
      </c>
      <c r="Z444" s="16" t="str">
        <f>IF(ISERROR(VLOOKUP($E444&amp;$F444,Results!$A$2:$G$413,Z$1,FALSE)),"",VLOOKUP($E444&amp;$F444,Results!$A$2:$G$413,Z$1,FALSE))</f>
        <v/>
      </c>
      <c r="AA444" s="16" t="str">
        <f>IF(ISERROR(VLOOKUP($E444&amp;$F444,Results!$A$2:$G$413,AA$1,FALSE)),"",VLOOKUP($E444&amp;$F444,Results!$A$2:$G$413,AA$1,FALSE))</f>
        <v/>
      </c>
      <c r="AB444" s="16" t="str">
        <f>IF(ISERROR(VLOOKUP($E444&amp;$F444,Results!$A$2:$G$413,AB$1,FALSE)),"",VLOOKUP($E444&amp;$F444,Results!$A$2:$G$413,AB$1,FALSE))</f>
        <v/>
      </c>
      <c r="AC444" s="16"/>
      <c r="AD444" s="20" t="str">
        <f>IF(ISERROR(VLOOKUP($AB444&amp;"-"&amp;$F444,Bonuses!$B$1:$G$1000,4,FALSE)),"",INT(VLOOKUP($AB444&amp;"-"&amp;$F444,Bonuses!$B$1:$G$1000,4,FALSE)))</f>
        <v/>
      </c>
      <c r="AE444" s="16" t="str">
        <f>IF(ISERROR(VLOOKUP($AB444&amp;"-"&amp;$F444,Bonuses!$B$1:$G$1000,5,FALSE)),"",IF(VLOOKUP($AB444&amp;"-"&amp;$F444,Bonuses!$B$1:$G$1000,5,FALSE)="","",VLOOKUP($AB444&amp;"-"&amp;$F444,Bonuses!$B$1:$G$1000,6,FALSE)&amp;" yrs, "&amp;VLOOKUP($AB444&amp;"-"&amp;$F444,Bonuses!$B$1:$G$1000,5,FALSE)))</f>
        <v/>
      </c>
    </row>
    <row r="445" spans="1:31" s="21" customFormat="1">
      <c r="A445" s="21" t="s">
        <v>704</v>
      </c>
      <c r="B445" s="21">
        <f t="shared" si="24"/>
        <v>1</v>
      </c>
      <c r="C445" s="21" t="str">
        <f t="shared" si="25"/>
        <v>P</v>
      </c>
      <c r="D445" s="17">
        <f>IF($C445="B",VLOOKUP($A445,Bat!$A$4:$BD$2323,D$1,FALSE),VLOOKUP($A445,Pit!$A$4:$AZ$2261,D$2,FALSE))</f>
        <v>3028</v>
      </c>
      <c r="E445" s="16" t="str">
        <f>IF($C445="B",VLOOKUP($A445,Bat!$A$4:$BD$2323,E$1,FALSE),VLOOKUP($A445,Pit!$A$4:$AZ$2261,E$2,FALSE))</f>
        <v>SP</v>
      </c>
      <c r="F445" s="16" t="str">
        <f>IF($C445="B",VLOOKUP($A445,Bat!$A$4:$BD$2323,F$1,FALSE),VLOOKUP($A445,Pit!$A$4:$AZ$2261,F$2,FALSE))</f>
        <v>Keith Neal</v>
      </c>
      <c r="G445" s="16">
        <f>IF($C445="B",VLOOKUP($A445,Bat!$A$4:$BD$2323,G$1,FALSE),VLOOKUP($A445,Pit!$A$4:$AZ$2261,G$2,FALSE))</f>
        <v>21</v>
      </c>
      <c r="H445" s="16" t="str">
        <f>IF($C445="B",VLOOKUP($A445,Bat!$A$4:$BD$2323,H$1,FALSE),VLOOKUP($A445,Pit!$A$4:$AZ$2261,H$2,FALSE))</f>
        <v>R</v>
      </c>
      <c r="I445" s="16" t="str">
        <f>IF($C445="B",VLOOKUP($A445,Bat!$A$4:$BD$2323,I$1,FALSE),VLOOKUP($A445,Pit!$A$4:$AZ$2261,I$2,FALSE))</f>
        <v>R</v>
      </c>
      <c r="J445" s="16" t="str">
        <f>IF($C445="B",VLOOKUP($A445,Bat!$A$4:$BD$2323,J$1,FALSE),VLOOKUP($A445,Pit!$A$4:$AZ$2261,J$2,FALSE))</f>
        <v>Low</v>
      </c>
      <c r="K445" s="17" t="str">
        <f>IF($C445="B",VLOOKUP($A445,Bat!$A$4:$BD$2323,K$1,FALSE),VLOOKUP($A445,Pit!$A$4:$AZ$2261,K$2,FALSE))</f>
        <v>Normal</v>
      </c>
      <c r="L445" s="16">
        <f>IF($C445="B",VLOOKUP($A445,Bat!$A$4:$BD$2323,L$1,FALSE),VLOOKUP($A445,Pit!$A$4:$AZ$2261,L$2,FALSE))</f>
        <v>4</v>
      </c>
      <c r="M445" s="16">
        <f>IF($C445="B",VLOOKUP($A445,Bat!$A$4:$BD$2323,M$1,FALSE),VLOOKUP($A445,Pit!$A$4:$AZ$2261,M$2,FALSE))</f>
        <v>4</v>
      </c>
      <c r="N445" s="16">
        <f>IF($C445="B",VLOOKUP($A445,Bat!$A$4:$BD$2323,N$1,FALSE),VLOOKUP($A445,Pit!$A$4:$AZ$2261,N$2,FALSE))</f>
        <v>4</v>
      </c>
      <c r="O445" s="16" t="str">
        <f>IF($C445="B",VLOOKUP($A445,Bat!$A$4:$BD$2323,O$1,FALSE),VLOOKUP($A445,Pit!$A$4:$AZ$2261,O$2,FALSE))</f>
        <v>91-93 Mph</v>
      </c>
      <c r="P445" s="17">
        <f>IF($C445="B",VLOOKUP($A445,Bat!$A$4:$BD$2323,P$1,FALSE),VLOOKUP($A445,Pit!$A$4:$AZ$2261,P$2,FALSE))</f>
        <v>7</v>
      </c>
      <c r="Q445" s="18">
        <f>IF($C445="B",VLOOKUP($A445,Bat!$A$4:$BD$2323,Q$1,FALSE),VLOOKUP($A445,Pit!$A$4:$AZ$2261,Q$2,FALSE))</f>
        <v>25.780129500268835</v>
      </c>
      <c r="R445" s="19">
        <f>IF($C445="B",VLOOKUP($A445,Bat!$A$4:$BD$2323,R$1,FALSE),VLOOKUP($A445,Pit!$A$4:$AZ$2261,R$2,FALSE))</f>
        <v>-0.6462937547386024</v>
      </c>
      <c r="S445" s="20" t="str">
        <f>IF($C445="B",VLOOKUP($A445,Bat!$A$4:$BD$2323,S$1,FALSE),VLOOKUP($A445,Pit!$A$4:$AZ$2261,S$2,FALSE))</f>
        <v>Slot</v>
      </c>
      <c r="T445" s="17" t="str">
        <f>IF(S445="Slot","",VLOOKUP(IF($C445="B",VLOOKUP($A445,Bat!$A$4:$AT$2323,T$1,FALSE),VLOOKUP($A445,Pit!$A$4:$BD$2261,T$2,FALSE)),COND!$A$34:$B$40,2,FALSE))</f>
        <v/>
      </c>
      <c r="U445" s="21">
        <f>IF($C445="B",VLOOKUP($A445,Bat!$A$4:$AR$1287,44,FALSE),VLOOKUP($A445,Pit!$A$4:$BB$1239,54,FALSE))</f>
        <v>0</v>
      </c>
      <c r="W445" s="21">
        <f t="shared" si="26"/>
        <v>0</v>
      </c>
      <c r="X445" s="22" t="e">
        <f t="shared" si="27"/>
        <v>#N/A</v>
      </c>
      <c r="Y445" s="16" t="str">
        <f>IF(ISERROR(VLOOKUP($E445&amp;$F445,Results!$A$2:$G$413,Y$1,FALSE)),"",VLOOKUP($E445&amp;$F445,Results!$A$2:$G$413,Y$1,FALSE))</f>
        <v/>
      </c>
      <c r="Z445" s="16" t="str">
        <f>IF(ISERROR(VLOOKUP($E445&amp;$F445,Results!$A$2:$G$413,Z$1,FALSE)),"",VLOOKUP($E445&amp;$F445,Results!$A$2:$G$413,Z$1,FALSE))</f>
        <v/>
      </c>
      <c r="AA445" s="16" t="str">
        <f>IF(ISERROR(VLOOKUP($E445&amp;$F445,Results!$A$2:$G$413,AA$1,FALSE)),"",VLOOKUP($E445&amp;$F445,Results!$A$2:$G$413,AA$1,FALSE))</f>
        <v/>
      </c>
      <c r="AB445" s="16" t="str">
        <f>IF(ISERROR(VLOOKUP($E445&amp;$F445,Results!$A$2:$G$413,AB$1,FALSE)),"",VLOOKUP($E445&amp;$F445,Results!$A$2:$G$413,AB$1,FALSE))</f>
        <v/>
      </c>
      <c r="AC445" s="16"/>
      <c r="AD445" s="20" t="str">
        <f>IF(ISERROR(VLOOKUP($AB445&amp;"-"&amp;$F445,Bonuses!$B$1:$G$1000,4,FALSE)),"",INT(VLOOKUP($AB445&amp;"-"&amp;$F445,Bonuses!$B$1:$G$1000,4,FALSE)))</f>
        <v/>
      </c>
      <c r="AE445" s="16" t="str">
        <f>IF(ISERROR(VLOOKUP($AB445&amp;"-"&amp;$F445,Bonuses!$B$1:$G$1000,5,FALSE)),"",IF(VLOOKUP($AB445&amp;"-"&amp;$F445,Bonuses!$B$1:$G$1000,5,FALSE)="","",VLOOKUP($AB445&amp;"-"&amp;$F445,Bonuses!$B$1:$G$1000,6,FALSE)&amp;" yrs, "&amp;VLOOKUP($AB445&amp;"-"&amp;$F445,Bonuses!$B$1:$G$1000,5,FALSE)))</f>
        <v/>
      </c>
    </row>
    <row r="446" spans="1:31" s="21" customFormat="1">
      <c r="A446" s="21" t="s">
        <v>274</v>
      </c>
      <c r="B446" s="21">
        <f t="shared" si="24"/>
        <v>1</v>
      </c>
      <c r="C446" s="21" t="str">
        <f t="shared" si="25"/>
        <v>P</v>
      </c>
      <c r="D446" s="17" t="e">
        <f>IF($C446="B",VLOOKUP($A446,Bat!$A$4:$BD$2323,D$1,FALSE),VLOOKUP($A446,Pit!$A$4:$AZ$2261,D$2,FALSE))</f>
        <v>#N/A</v>
      </c>
      <c r="E446" s="16" t="e">
        <f>IF($C446="B",VLOOKUP($A446,Bat!$A$4:$BD$2323,E$1,FALSE),VLOOKUP($A446,Pit!$A$4:$AZ$2261,E$2,FALSE))</f>
        <v>#N/A</v>
      </c>
      <c r="F446" s="16" t="e">
        <f>IF($C446="B",VLOOKUP($A446,Bat!$A$4:$BD$2323,F$1,FALSE),VLOOKUP($A446,Pit!$A$4:$AZ$2261,F$2,FALSE))</f>
        <v>#N/A</v>
      </c>
      <c r="G446" s="16" t="e">
        <f>IF($C446="B",VLOOKUP($A446,Bat!$A$4:$BD$2323,G$1,FALSE),VLOOKUP($A446,Pit!$A$4:$AZ$2261,G$2,FALSE))</f>
        <v>#N/A</v>
      </c>
      <c r="H446" s="16" t="e">
        <f>IF($C446="B",VLOOKUP($A446,Bat!$A$4:$BD$2323,H$1,FALSE),VLOOKUP($A446,Pit!$A$4:$AZ$2261,H$2,FALSE))</f>
        <v>#N/A</v>
      </c>
      <c r="I446" s="16" t="e">
        <f>IF($C446="B",VLOOKUP($A446,Bat!$A$4:$BD$2323,I$1,FALSE),VLOOKUP($A446,Pit!$A$4:$AZ$2261,I$2,FALSE))</f>
        <v>#N/A</v>
      </c>
      <c r="J446" s="16" t="e">
        <f>IF($C446="B",VLOOKUP($A446,Bat!$A$4:$BD$2323,J$1,FALSE),VLOOKUP($A446,Pit!$A$4:$AZ$2261,J$2,FALSE))</f>
        <v>#N/A</v>
      </c>
      <c r="K446" s="17" t="e">
        <f>IF($C446="B",VLOOKUP($A446,Bat!$A$4:$BD$2323,K$1,FALSE),VLOOKUP($A446,Pit!$A$4:$AZ$2261,K$2,FALSE))</f>
        <v>#N/A</v>
      </c>
      <c r="L446" s="16" t="e">
        <f>IF($C446="B",VLOOKUP($A446,Bat!$A$4:$BD$2323,L$1,FALSE),VLOOKUP($A446,Pit!$A$4:$AZ$2261,L$2,FALSE))</f>
        <v>#N/A</v>
      </c>
      <c r="M446" s="16" t="e">
        <f>IF($C446="B",VLOOKUP($A446,Bat!$A$4:$BD$2323,M$1,FALSE),VLOOKUP($A446,Pit!$A$4:$AZ$2261,M$2,FALSE))</f>
        <v>#N/A</v>
      </c>
      <c r="N446" s="16" t="e">
        <f>IF($C446="B",VLOOKUP($A446,Bat!$A$4:$BD$2323,N$1,FALSE),VLOOKUP($A446,Pit!$A$4:$AZ$2261,N$2,FALSE))</f>
        <v>#N/A</v>
      </c>
      <c r="O446" s="16" t="e">
        <f>IF($C446="B",VLOOKUP($A446,Bat!$A$4:$BD$2323,O$1,FALSE),VLOOKUP($A446,Pit!$A$4:$AZ$2261,O$2,FALSE))</f>
        <v>#N/A</v>
      </c>
      <c r="P446" s="17" t="e">
        <f>IF($C446="B",VLOOKUP($A446,Bat!$A$4:$BD$2323,P$1,FALSE),VLOOKUP($A446,Pit!$A$4:$AZ$2261,P$2,FALSE))</f>
        <v>#N/A</v>
      </c>
      <c r="Q446" s="18" t="e">
        <f>IF($C446="B",VLOOKUP($A446,Bat!$A$4:$BD$2323,Q$1,FALSE),VLOOKUP($A446,Pit!$A$4:$AZ$2261,Q$2,FALSE))</f>
        <v>#N/A</v>
      </c>
      <c r="R446" s="19" t="e">
        <f>IF($C446="B",VLOOKUP($A446,Bat!$A$4:$BD$2323,R$1,FALSE),VLOOKUP($A446,Pit!$A$4:$AZ$2261,R$2,FALSE))</f>
        <v>#N/A</v>
      </c>
      <c r="S446" s="20" t="e">
        <f>IF($C446="B",VLOOKUP($A446,Bat!$A$4:$BD$2323,S$1,FALSE),VLOOKUP($A446,Pit!$A$4:$AZ$2261,S$2,FALSE))</f>
        <v>#N/A</v>
      </c>
      <c r="T446" s="17" t="e">
        <f>IF(S446="Slot","",VLOOKUP(IF($C446="B",VLOOKUP($A446,Bat!$A$4:$AT$2323,T$1,FALSE),VLOOKUP($A446,Pit!$A$4:$BD$2261,T$2,FALSE)),COND!$A$34:$B$40,2,FALSE))</f>
        <v>#N/A</v>
      </c>
      <c r="U446" s="21" t="e">
        <f>IF($C446="B",VLOOKUP($A446,Bat!$A$4:$AR$1287,44,FALSE),VLOOKUP($A446,Pit!$A$4:$BB$1239,54,FALSE))</f>
        <v>#N/A</v>
      </c>
      <c r="W446" s="21" t="e">
        <f t="shared" si="26"/>
        <v>#N/A</v>
      </c>
      <c r="X446" s="22" t="e">
        <f t="shared" si="27"/>
        <v>#N/A</v>
      </c>
      <c r="Y446" s="16" t="str">
        <f>IF(ISERROR(VLOOKUP($E446&amp;$F446,Results!$A$2:$G$413,Y$1,FALSE)),"",VLOOKUP($E446&amp;$F446,Results!$A$2:$G$413,Y$1,FALSE))</f>
        <v/>
      </c>
      <c r="Z446" s="16" t="str">
        <f>IF(ISERROR(VLOOKUP($E446&amp;$F446,Results!$A$2:$G$413,Z$1,FALSE)),"",VLOOKUP($E446&amp;$F446,Results!$A$2:$G$413,Z$1,FALSE))</f>
        <v/>
      </c>
      <c r="AA446" s="16" t="str">
        <f>IF(ISERROR(VLOOKUP($E446&amp;$F446,Results!$A$2:$G$413,AA$1,FALSE)),"",VLOOKUP($E446&amp;$F446,Results!$A$2:$G$413,AA$1,FALSE))</f>
        <v/>
      </c>
      <c r="AB446" s="16" t="str">
        <f>IF(ISERROR(VLOOKUP($E446&amp;$F446,Results!$A$2:$G$413,AB$1,FALSE)),"",VLOOKUP($E446&amp;$F446,Results!$A$2:$G$413,AB$1,FALSE))</f>
        <v/>
      </c>
      <c r="AC446" s="16"/>
      <c r="AD446" s="20" t="str">
        <f>IF(ISERROR(VLOOKUP($AB446&amp;"-"&amp;$F446,Bonuses!$B$1:$G$1000,4,FALSE)),"",INT(VLOOKUP($AB446&amp;"-"&amp;$F446,Bonuses!$B$1:$G$1000,4,FALSE)))</f>
        <v/>
      </c>
      <c r="AE446" s="16" t="str">
        <f>IF(ISERROR(VLOOKUP($AB446&amp;"-"&amp;$F446,Bonuses!$B$1:$G$1000,5,FALSE)),"",IF(VLOOKUP($AB446&amp;"-"&amp;$F446,Bonuses!$B$1:$G$1000,5,FALSE)="","",VLOOKUP($AB446&amp;"-"&amp;$F446,Bonuses!$B$1:$G$1000,6,FALSE)&amp;" yrs, "&amp;VLOOKUP($AB446&amp;"-"&amp;$F446,Bonuses!$B$1:$G$1000,5,FALSE)))</f>
        <v/>
      </c>
    </row>
    <row r="447" spans="1:31" s="21" customFormat="1">
      <c r="A447" s="21" t="s">
        <v>278</v>
      </c>
      <c r="B447" s="21">
        <f t="shared" si="24"/>
        <v>1</v>
      </c>
      <c r="C447" s="21" t="str">
        <f t="shared" si="25"/>
        <v>P</v>
      </c>
      <c r="D447" s="17">
        <f>IF($C447="B",VLOOKUP($A447,Bat!$A$4:$BD$2323,D$1,FALSE),VLOOKUP($A447,Pit!$A$4:$AZ$2261,D$2,FALSE))</f>
        <v>1371</v>
      </c>
      <c r="E447" s="16" t="str">
        <f>IF($C447="B",VLOOKUP($A447,Bat!$A$4:$BD$2323,E$1,FALSE),VLOOKUP($A447,Pit!$A$4:$AZ$2261,E$2,FALSE))</f>
        <v>MR</v>
      </c>
      <c r="F447" s="16" t="str">
        <f>IF($C447="B",VLOOKUP($A447,Bat!$A$4:$BD$2323,F$1,FALSE),VLOOKUP($A447,Pit!$A$4:$AZ$2261,F$2,FALSE))</f>
        <v>Cary Johnson</v>
      </c>
      <c r="G447" s="16">
        <f>IF($C447="B",VLOOKUP($A447,Bat!$A$4:$BD$2323,G$1,FALSE),VLOOKUP($A447,Pit!$A$4:$AZ$2261,G$2,FALSE))</f>
        <v>18</v>
      </c>
      <c r="H447" s="16" t="str">
        <f>IF($C447="B",VLOOKUP($A447,Bat!$A$4:$BD$2323,H$1,FALSE),VLOOKUP($A447,Pit!$A$4:$AZ$2261,H$2,FALSE))</f>
        <v>R</v>
      </c>
      <c r="I447" s="16" t="str">
        <f>IF($C447="B",VLOOKUP($A447,Bat!$A$4:$BD$2323,I$1,FALSE),VLOOKUP($A447,Pit!$A$4:$AZ$2261,I$2,FALSE))</f>
        <v>L</v>
      </c>
      <c r="J447" s="16" t="str">
        <f>IF($C447="B",VLOOKUP($A447,Bat!$A$4:$BD$2323,J$1,FALSE),VLOOKUP($A447,Pit!$A$4:$AZ$2261,J$2,FALSE))</f>
        <v>Normal</v>
      </c>
      <c r="K447" s="17" t="str">
        <f>IF($C447="B",VLOOKUP($A447,Bat!$A$4:$BD$2323,K$1,FALSE),VLOOKUP($A447,Pit!$A$4:$AZ$2261,K$2,FALSE))</f>
        <v>Very Low</v>
      </c>
      <c r="L447" s="16">
        <f>IF($C447="B",VLOOKUP($A447,Bat!$A$4:$BD$2323,L$1,FALSE),VLOOKUP($A447,Pit!$A$4:$AZ$2261,L$2,FALSE))</f>
        <v>5</v>
      </c>
      <c r="M447" s="16">
        <f>IF($C447="B",VLOOKUP($A447,Bat!$A$4:$BD$2323,M$1,FALSE),VLOOKUP($A447,Pit!$A$4:$AZ$2261,M$2,FALSE))</f>
        <v>4</v>
      </c>
      <c r="N447" s="16">
        <f>IF($C447="B",VLOOKUP($A447,Bat!$A$4:$BD$2323,N$1,FALSE),VLOOKUP($A447,Pit!$A$4:$AZ$2261,N$2,FALSE))</f>
        <v>4</v>
      </c>
      <c r="O447" s="16" t="str">
        <f>IF($C447="B",VLOOKUP($A447,Bat!$A$4:$BD$2323,O$1,FALSE),VLOOKUP($A447,Pit!$A$4:$AZ$2261,O$2,FALSE))</f>
        <v>86-88 Mph</v>
      </c>
      <c r="P447" s="17">
        <f>IF($C447="B",VLOOKUP($A447,Bat!$A$4:$BD$2323,P$1,FALSE),VLOOKUP($A447,Pit!$A$4:$AZ$2261,P$2,FALSE))</f>
        <v>7</v>
      </c>
      <c r="Q447" s="18">
        <f>IF($C447="B",VLOOKUP($A447,Bat!$A$4:$BD$2323,Q$1,FALSE),VLOOKUP($A447,Pit!$A$4:$AZ$2261,Q$2,FALSE))</f>
        <v>24.506717283379409</v>
      </c>
      <c r="R447" s="19">
        <f>IF($C447="B",VLOOKUP($A447,Bat!$A$4:$BD$2323,R$1,FALSE),VLOOKUP($A447,Pit!$A$4:$AZ$2261,R$2,FALSE))</f>
        <v>-0.74738554510670829</v>
      </c>
      <c r="S447" s="20" t="str">
        <f>IF($C447="B",VLOOKUP($A447,Bat!$A$4:$BD$2323,S$1,FALSE),VLOOKUP($A447,Pit!$A$4:$AZ$2261,S$2,FALSE))</f>
        <v>Slot</v>
      </c>
      <c r="T447" s="17" t="str">
        <f>IF(S447="Slot","",VLOOKUP(IF($C447="B",VLOOKUP($A447,Bat!$A$4:$AT$2323,T$1,FALSE),VLOOKUP($A447,Pit!$A$4:$BD$2261,T$2,FALSE)),COND!$A$34:$B$40,2,FALSE))</f>
        <v/>
      </c>
      <c r="U447" s="21">
        <f>IF($C447="B",VLOOKUP($A447,Bat!$A$4:$AR$1287,44,FALSE),VLOOKUP($A447,Pit!$A$4:$BB$1239,54,FALSE))</f>
        <v>0</v>
      </c>
      <c r="W447" s="21">
        <f t="shared" si="26"/>
        <v>0</v>
      </c>
      <c r="X447" s="22" t="e">
        <f t="shared" si="27"/>
        <v>#N/A</v>
      </c>
      <c r="Y447" s="16" t="str">
        <f>IF(ISERROR(VLOOKUP($E447&amp;$F447,Results!$A$2:$G$413,Y$1,FALSE)),"",VLOOKUP($E447&amp;$F447,Results!$A$2:$G$413,Y$1,FALSE))</f>
        <v/>
      </c>
      <c r="Z447" s="16" t="str">
        <f>IF(ISERROR(VLOOKUP($E447&amp;$F447,Results!$A$2:$G$413,Z$1,FALSE)),"",VLOOKUP($E447&amp;$F447,Results!$A$2:$G$413,Z$1,FALSE))</f>
        <v/>
      </c>
      <c r="AA447" s="16" t="str">
        <f>IF(ISERROR(VLOOKUP($E447&amp;$F447,Results!$A$2:$G$413,AA$1,FALSE)),"",VLOOKUP($E447&amp;$F447,Results!$A$2:$G$413,AA$1,FALSE))</f>
        <v/>
      </c>
      <c r="AB447" s="16" t="str">
        <f>IF(ISERROR(VLOOKUP($E447&amp;$F447,Results!$A$2:$G$413,AB$1,FALSE)),"",VLOOKUP($E447&amp;$F447,Results!$A$2:$G$413,AB$1,FALSE))</f>
        <v/>
      </c>
      <c r="AC447" s="16"/>
      <c r="AD447" s="20" t="str">
        <f>IF(ISERROR(VLOOKUP($AB447&amp;"-"&amp;$F447,Bonuses!$B$1:$G$1000,4,FALSE)),"",INT(VLOOKUP($AB447&amp;"-"&amp;$F447,Bonuses!$B$1:$G$1000,4,FALSE)))</f>
        <v/>
      </c>
      <c r="AE447" s="16" t="str">
        <f>IF(ISERROR(VLOOKUP($AB447&amp;"-"&amp;$F447,Bonuses!$B$1:$G$1000,5,FALSE)),"",IF(VLOOKUP($AB447&amp;"-"&amp;$F447,Bonuses!$B$1:$G$1000,5,FALSE)="","",VLOOKUP($AB447&amp;"-"&amp;$F447,Bonuses!$B$1:$G$1000,6,FALSE)&amp;" yrs, "&amp;VLOOKUP($AB447&amp;"-"&amp;$F447,Bonuses!$B$1:$G$1000,5,FALSE)))</f>
        <v/>
      </c>
    </row>
    <row r="448" spans="1:31" s="21" customFormat="1">
      <c r="A448" s="21" t="s">
        <v>713</v>
      </c>
      <c r="B448" s="21">
        <f t="shared" si="24"/>
        <v>1</v>
      </c>
      <c r="C448" s="21" t="str">
        <f t="shared" si="25"/>
        <v>P</v>
      </c>
      <c r="D448" s="17">
        <f>IF($C448="B",VLOOKUP($A448,Bat!$A$4:$BD$2323,D$1,FALSE),VLOOKUP($A448,Pit!$A$4:$AZ$2261,D$2,FALSE))</f>
        <v>5872</v>
      </c>
      <c r="E448" s="16" t="str">
        <f>IF($C448="B",VLOOKUP($A448,Bat!$A$4:$BD$2323,E$1,FALSE),VLOOKUP($A448,Pit!$A$4:$AZ$2261,E$2,FALSE))</f>
        <v>SP</v>
      </c>
      <c r="F448" s="16" t="str">
        <f>IF($C448="B",VLOOKUP($A448,Bat!$A$4:$BD$2323,F$1,FALSE),VLOOKUP($A448,Pit!$A$4:$AZ$2261,F$2,FALSE))</f>
        <v>Will Sutherland</v>
      </c>
      <c r="G448" s="16">
        <f>IF($C448="B",VLOOKUP($A448,Bat!$A$4:$BD$2323,G$1,FALSE),VLOOKUP($A448,Pit!$A$4:$AZ$2261,G$2,FALSE))</f>
        <v>21</v>
      </c>
      <c r="H448" s="16" t="str">
        <f>IF($C448="B",VLOOKUP($A448,Bat!$A$4:$BD$2323,H$1,FALSE),VLOOKUP($A448,Pit!$A$4:$AZ$2261,H$2,FALSE))</f>
        <v>R</v>
      </c>
      <c r="I448" s="16" t="str">
        <f>IF($C448="B",VLOOKUP($A448,Bat!$A$4:$BD$2323,I$1,FALSE),VLOOKUP($A448,Pit!$A$4:$AZ$2261,I$2,FALSE))</f>
        <v>R</v>
      </c>
      <c r="J448" s="16" t="str">
        <f>IF($C448="B",VLOOKUP($A448,Bat!$A$4:$BD$2323,J$1,FALSE),VLOOKUP($A448,Pit!$A$4:$AZ$2261,J$2,FALSE))</f>
        <v>Low</v>
      </c>
      <c r="K448" s="17" t="str">
        <f>IF($C448="B",VLOOKUP($A448,Bat!$A$4:$BD$2323,K$1,FALSE),VLOOKUP($A448,Pit!$A$4:$AZ$2261,K$2,FALSE))</f>
        <v>Low</v>
      </c>
      <c r="L448" s="16">
        <f>IF($C448="B",VLOOKUP($A448,Bat!$A$4:$BD$2323,L$1,FALSE),VLOOKUP($A448,Pit!$A$4:$AZ$2261,L$2,FALSE))</f>
        <v>4</v>
      </c>
      <c r="M448" s="16">
        <f>IF($C448="B",VLOOKUP($A448,Bat!$A$4:$BD$2323,M$1,FALSE),VLOOKUP($A448,Pit!$A$4:$AZ$2261,M$2,FALSE))</f>
        <v>4</v>
      </c>
      <c r="N448" s="16">
        <f>IF($C448="B",VLOOKUP($A448,Bat!$A$4:$BD$2323,N$1,FALSE),VLOOKUP($A448,Pit!$A$4:$AZ$2261,N$2,FALSE))</f>
        <v>4</v>
      </c>
      <c r="O448" s="16" t="str">
        <f>IF($C448="B",VLOOKUP($A448,Bat!$A$4:$BD$2323,O$1,FALSE),VLOOKUP($A448,Pit!$A$4:$AZ$2261,O$2,FALSE))</f>
        <v>89-90 Mph</v>
      </c>
      <c r="P448" s="17">
        <f>IF($C448="B",VLOOKUP($A448,Bat!$A$4:$BD$2323,P$1,FALSE),VLOOKUP($A448,Pit!$A$4:$AZ$2261,P$2,FALSE))</f>
        <v>9</v>
      </c>
      <c r="Q448" s="18">
        <f>IF($C448="B",VLOOKUP($A448,Bat!$A$4:$BD$2323,Q$1,FALSE),VLOOKUP($A448,Pit!$A$4:$AZ$2261,Q$2,FALSE))</f>
        <v>24.981665387058015</v>
      </c>
      <c r="R448" s="19">
        <f>IF($C448="B",VLOOKUP($A448,Bat!$A$4:$BD$2323,R$1,FALSE),VLOOKUP($A448,Pit!$A$4:$AZ$2261,R$2,FALSE))</f>
        <v>-0.70968105829874473</v>
      </c>
      <c r="S448" s="20" t="str">
        <f>IF($C448="B",VLOOKUP($A448,Bat!$A$4:$BD$2323,S$1,FALSE),VLOOKUP($A448,Pit!$A$4:$AZ$2261,S$2,FALSE))</f>
        <v>Slot</v>
      </c>
      <c r="T448" s="17" t="str">
        <f>IF(S448="Slot","",VLOOKUP(IF($C448="B",VLOOKUP($A448,Bat!$A$4:$AT$2323,T$1,FALSE),VLOOKUP($A448,Pit!$A$4:$BD$2261,T$2,FALSE)),COND!$A$34:$B$40,2,FALSE))</f>
        <v/>
      </c>
      <c r="U448" s="21">
        <f>IF($C448="B",VLOOKUP($A448,Bat!$A$4:$AR$1287,44,FALSE),VLOOKUP($A448,Pit!$A$4:$BB$1239,54,FALSE))</f>
        <v>0</v>
      </c>
      <c r="W448" s="21">
        <f t="shared" si="26"/>
        <v>0</v>
      </c>
      <c r="X448" s="22" t="e">
        <f t="shared" si="27"/>
        <v>#N/A</v>
      </c>
      <c r="Y448" s="16" t="str">
        <f>IF(ISERROR(VLOOKUP($E448&amp;$F448,Results!$A$2:$G$413,Y$1,FALSE)),"",VLOOKUP($E448&amp;$F448,Results!$A$2:$G$413,Y$1,FALSE))</f>
        <v/>
      </c>
      <c r="Z448" s="16" t="str">
        <f>IF(ISERROR(VLOOKUP($E448&amp;$F448,Results!$A$2:$G$413,Z$1,FALSE)),"",VLOOKUP($E448&amp;$F448,Results!$A$2:$G$413,Z$1,FALSE))</f>
        <v/>
      </c>
      <c r="AA448" s="16" t="str">
        <f>IF(ISERROR(VLOOKUP($E448&amp;$F448,Results!$A$2:$G$413,AA$1,FALSE)),"",VLOOKUP($E448&amp;$F448,Results!$A$2:$G$413,AA$1,FALSE))</f>
        <v/>
      </c>
      <c r="AB448" s="16" t="str">
        <f>IF(ISERROR(VLOOKUP($E448&amp;$F448,Results!$A$2:$G$413,AB$1,FALSE)),"",VLOOKUP($E448&amp;$F448,Results!$A$2:$G$413,AB$1,FALSE))</f>
        <v/>
      </c>
      <c r="AC448" s="16"/>
      <c r="AD448" s="20" t="str">
        <f>IF(ISERROR(VLOOKUP($AB448&amp;"-"&amp;$F448,Bonuses!$B$1:$G$1000,4,FALSE)),"",INT(VLOOKUP($AB448&amp;"-"&amp;$F448,Bonuses!$B$1:$G$1000,4,FALSE)))</f>
        <v/>
      </c>
      <c r="AE448" s="16" t="str">
        <f>IF(ISERROR(VLOOKUP($AB448&amp;"-"&amp;$F448,Bonuses!$B$1:$G$1000,5,FALSE)),"",IF(VLOOKUP($AB448&amp;"-"&amp;$F448,Bonuses!$B$1:$G$1000,5,FALSE)="","",VLOOKUP($AB448&amp;"-"&amp;$F448,Bonuses!$B$1:$G$1000,6,FALSE)&amp;" yrs, "&amp;VLOOKUP($AB448&amp;"-"&amp;$F448,Bonuses!$B$1:$G$1000,5,FALSE)))</f>
        <v/>
      </c>
    </row>
    <row r="449" spans="1:31" s="21" customFormat="1">
      <c r="A449" s="21" t="s">
        <v>723</v>
      </c>
      <c r="B449" s="21">
        <f t="shared" si="24"/>
        <v>1</v>
      </c>
      <c r="C449" s="21" t="str">
        <f t="shared" si="25"/>
        <v>P</v>
      </c>
      <c r="D449" s="17">
        <f>IF($C449="B",VLOOKUP($A449,Bat!$A$4:$BD$2323,D$1,FALSE),VLOOKUP($A449,Pit!$A$4:$AZ$2261,D$2,FALSE))</f>
        <v>13851</v>
      </c>
      <c r="E449" s="16" t="str">
        <f>IF($C449="B",VLOOKUP($A449,Bat!$A$4:$BD$2323,E$1,FALSE),VLOOKUP($A449,Pit!$A$4:$AZ$2261,E$2,FALSE))</f>
        <v>MR</v>
      </c>
      <c r="F449" s="16" t="str">
        <f>IF($C449="B",VLOOKUP($A449,Bat!$A$4:$BD$2323,F$1,FALSE),VLOOKUP($A449,Pit!$A$4:$AZ$2261,F$2,FALSE))</f>
        <v>Roger Bruce</v>
      </c>
      <c r="G449" s="16">
        <f>IF($C449="B",VLOOKUP($A449,Bat!$A$4:$BD$2323,G$1,FALSE),VLOOKUP($A449,Pit!$A$4:$AZ$2261,G$2,FALSE))</f>
        <v>18</v>
      </c>
      <c r="H449" s="16" t="str">
        <f>IF($C449="B",VLOOKUP($A449,Bat!$A$4:$BD$2323,H$1,FALSE),VLOOKUP($A449,Pit!$A$4:$AZ$2261,H$2,FALSE))</f>
        <v>L</v>
      </c>
      <c r="I449" s="16" t="str">
        <f>IF($C449="B",VLOOKUP($A449,Bat!$A$4:$BD$2323,I$1,FALSE),VLOOKUP($A449,Pit!$A$4:$AZ$2261,I$2,FALSE))</f>
        <v>R</v>
      </c>
      <c r="J449" s="16" t="str">
        <f>IF($C449="B",VLOOKUP($A449,Bat!$A$4:$BD$2323,J$1,FALSE),VLOOKUP($A449,Pit!$A$4:$AZ$2261,J$2,FALSE))</f>
        <v>Very Low</v>
      </c>
      <c r="K449" s="17" t="str">
        <f>IF($C449="B",VLOOKUP($A449,Bat!$A$4:$BD$2323,K$1,FALSE),VLOOKUP($A449,Pit!$A$4:$AZ$2261,K$2,FALSE))</f>
        <v>Normal</v>
      </c>
      <c r="L449" s="16">
        <f>IF($C449="B",VLOOKUP($A449,Bat!$A$4:$BD$2323,L$1,FALSE),VLOOKUP($A449,Pit!$A$4:$AZ$2261,L$2,FALSE))</f>
        <v>4</v>
      </c>
      <c r="M449" s="16">
        <f>IF($C449="B",VLOOKUP($A449,Bat!$A$4:$BD$2323,M$1,FALSE),VLOOKUP($A449,Pit!$A$4:$AZ$2261,M$2,FALSE))</f>
        <v>3</v>
      </c>
      <c r="N449" s="16">
        <f>IF($C449="B",VLOOKUP($A449,Bat!$A$4:$BD$2323,N$1,FALSE),VLOOKUP($A449,Pit!$A$4:$AZ$2261,N$2,FALSE))</f>
        <v>5</v>
      </c>
      <c r="O449" s="16" t="str">
        <f>IF($C449="B",VLOOKUP($A449,Bat!$A$4:$BD$2323,O$1,FALSE),VLOOKUP($A449,Pit!$A$4:$AZ$2261,O$2,FALSE))</f>
        <v>87-89 Mph</v>
      </c>
      <c r="P449" s="17">
        <f>IF($C449="B",VLOOKUP($A449,Bat!$A$4:$BD$2323,P$1,FALSE),VLOOKUP($A449,Pit!$A$4:$AZ$2261,P$2,FALSE))</f>
        <v>7</v>
      </c>
      <c r="Q449" s="18">
        <f>IF($C449="B",VLOOKUP($A449,Bat!$A$4:$BD$2323,Q$1,FALSE),VLOOKUP($A449,Pit!$A$4:$AZ$2261,Q$2,FALSE))</f>
        <v>24.380356036253104</v>
      </c>
      <c r="R449" s="19">
        <f>IF($C449="B",VLOOKUP($A449,Bat!$A$4:$BD$2323,R$1,FALSE),VLOOKUP($A449,Pit!$A$4:$AZ$2261,R$2,FALSE))</f>
        <v>-0.7574169273533371</v>
      </c>
      <c r="S449" s="20" t="str">
        <f>IF($C449="B",VLOOKUP($A449,Bat!$A$4:$BD$2323,S$1,FALSE),VLOOKUP($A449,Pit!$A$4:$AZ$2261,S$2,FALSE))</f>
        <v>Slot</v>
      </c>
      <c r="T449" s="17" t="str">
        <f>IF(S449="Slot","",VLOOKUP(IF($C449="B",VLOOKUP($A449,Bat!$A$4:$AT$2323,T$1,FALSE),VLOOKUP($A449,Pit!$A$4:$BD$2261,T$2,FALSE)),COND!$A$34:$B$40,2,FALSE))</f>
        <v/>
      </c>
      <c r="U449" s="21">
        <f>IF($C449="B",VLOOKUP($A449,Bat!$A$4:$AR$1287,44,FALSE),VLOOKUP($A449,Pit!$A$4:$BB$1239,54,FALSE))</f>
        <v>0</v>
      </c>
      <c r="W449" s="21">
        <f t="shared" si="26"/>
        <v>0</v>
      </c>
      <c r="X449" s="22" t="e">
        <f t="shared" si="27"/>
        <v>#N/A</v>
      </c>
      <c r="Y449" s="16" t="str">
        <f>IF(ISERROR(VLOOKUP($E449&amp;$F449,Results!$A$2:$G$413,Y$1,FALSE)),"",VLOOKUP($E449&amp;$F449,Results!$A$2:$G$413,Y$1,FALSE))</f>
        <v/>
      </c>
      <c r="Z449" s="16" t="str">
        <f>IF(ISERROR(VLOOKUP($E449&amp;$F449,Results!$A$2:$G$413,Z$1,FALSE)),"",VLOOKUP($E449&amp;$F449,Results!$A$2:$G$413,Z$1,FALSE))</f>
        <v/>
      </c>
      <c r="AA449" s="16" t="str">
        <f>IF(ISERROR(VLOOKUP($E449&amp;$F449,Results!$A$2:$G$413,AA$1,FALSE)),"",VLOOKUP($E449&amp;$F449,Results!$A$2:$G$413,AA$1,FALSE))</f>
        <v/>
      </c>
      <c r="AB449" s="16" t="str">
        <f>IF(ISERROR(VLOOKUP($E449&amp;$F449,Results!$A$2:$G$413,AB$1,FALSE)),"",VLOOKUP($E449&amp;$F449,Results!$A$2:$G$413,AB$1,FALSE))</f>
        <v/>
      </c>
      <c r="AC449" s="16"/>
      <c r="AD449" s="20" t="str">
        <f>IF(ISERROR(VLOOKUP($AB449&amp;"-"&amp;$F449,Bonuses!$B$1:$G$1000,4,FALSE)),"",INT(VLOOKUP($AB449&amp;"-"&amp;$F449,Bonuses!$B$1:$G$1000,4,FALSE)))</f>
        <v/>
      </c>
      <c r="AE449" s="16" t="str">
        <f>IF(ISERROR(VLOOKUP($AB449&amp;"-"&amp;$F449,Bonuses!$B$1:$G$1000,5,FALSE)),"",IF(VLOOKUP($AB449&amp;"-"&amp;$F449,Bonuses!$B$1:$G$1000,5,FALSE)="","",VLOOKUP($AB449&amp;"-"&amp;$F449,Bonuses!$B$1:$G$1000,6,FALSE)&amp;" yrs, "&amp;VLOOKUP($AB449&amp;"-"&amp;$F449,Bonuses!$B$1:$G$1000,5,FALSE)))</f>
        <v/>
      </c>
    </row>
    <row r="450" spans="1:31" s="21" customFormat="1">
      <c r="A450" s="21" t="s">
        <v>726</v>
      </c>
      <c r="B450" s="21">
        <f t="shared" si="24"/>
        <v>1</v>
      </c>
      <c r="C450" s="21" t="str">
        <f t="shared" si="25"/>
        <v>P</v>
      </c>
      <c r="D450" s="17">
        <f>IF($C450="B",VLOOKUP($A450,Bat!$A$4:$BD$2323,D$1,FALSE),VLOOKUP($A450,Pit!$A$4:$AZ$2261,D$2,FALSE))</f>
        <v>7318</v>
      </c>
      <c r="E450" s="16" t="str">
        <f>IF($C450="B",VLOOKUP($A450,Bat!$A$4:$BD$2323,E$1,FALSE),VLOOKUP($A450,Pit!$A$4:$AZ$2261,E$2,FALSE))</f>
        <v>MR</v>
      </c>
      <c r="F450" s="16" t="str">
        <f>IF($C450="B",VLOOKUP($A450,Bat!$A$4:$BD$2323,F$1,FALSE),VLOOKUP($A450,Pit!$A$4:$AZ$2261,F$2,FALSE))</f>
        <v>Ramón Rodríguez</v>
      </c>
      <c r="G450" s="16">
        <f>IF($C450="B",VLOOKUP($A450,Bat!$A$4:$BD$2323,G$1,FALSE),VLOOKUP($A450,Pit!$A$4:$AZ$2261,G$2,FALSE))</f>
        <v>21</v>
      </c>
      <c r="H450" s="16" t="str">
        <f>IF($C450="B",VLOOKUP($A450,Bat!$A$4:$BD$2323,H$1,FALSE),VLOOKUP($A450,Pit!$A$4:$AZ$2261,H$2,FALSE))</f>
        <v>R</v>
      </c>
      <c r="I450" s="16" t="str">
        <f>IF($C450="B",VLOOKUP($A450,Bat!$A$4:$BD$2323,I$1,FALSE),VLOOKUP($A450,Pit!$A$4:$AZ$2261,I$2,FALSE))</f>
        <v>R</v>
      </c>
      <c r="J450" s="16" t="str">
        <f>IF($C450="B",VLOOKUP($A450,Bat!$A$4:$BD$2323,J$1,FALSE),VLOOKUP($A450,Pit!$A$4:$AZ$2261,J$2,FALSE))</f>
        <v>Normal</v>
      </c>
      <c r="K450" s="17" t="str">
        <f>IF($C450="B",VLOOKUP($A450,Bat!$A$4:$BD$2323,K$1,FALSE),VLOOKUP($A450,Pit!$A$4:$AZ$2261,K$2,FALSE))</f>
        <v>Low</v>
      </c>
      <c r="L450" s="16">
        <f>IF($C450="B",VLOOKUP($A450,Bat!$A$4:$BD$2323,L$1,FALSE),VLOOKUP($A450,Pit!$A$4:$AZ$2261,L$2,FALSE))</f>
        <v>4</v>
      </c>
      <c r="M450" s="16">
        <f>IF($C450="B",VLOOKUP($A450,Bat!$A$4:$BD$2323,M$1,FALSE),VLOOKUP($A450,Pit!$A$4:$AZ$2261,M$2,FALSE))</f>
        <v>4</v>
      </c>
      <c r="N450" s="16">
        <f>IF($C450="B",VLOOKUP($A450,Bat!$A$4:$BD$2323,N$1,FALSE),VLOOKUP($A450,Pit!$A$4:$AZ$2261,N$2,FALSE))</f>
        <v>4</v>
      </c>
      <c r="O450" s="16" t="str">
        <f>IF($C450="B",VLOOKUP($A450,Bat!$A$4:$BD$2323,O$1,FALSE),VLOOKUP($A450,Pit!$A$4:$AZ$2261,O$2,FALSE))</f>
        <v>89-90 Mph</v>
      </c>
      <c r="P450" s="17">
        <f>IF($C450="B",VLOOKUP($A450,Bat!$A$4:$BD$2323,P$1,FALSE),VLOOKUP($A450,Pit!$A$4:$AZ$2261,P$2,FALSE))</f>
        <v>9</v>
      </c>
      <c r="Q450" s="18">
        <f>IF($C450="B",VLOOKUP($A450,Bat!$A$4:$BD$2323,Q$1,FALSE),VLOOKUP($A450,Pit!$A$4:$AZ$2261,Q$2,FALSE))</f>
        <v>25.328593613479658</v>
      </c>
      <c r="R450" s="19">
        <f>IF($C450="B",VLOOKUP($A450,Bat!$A$4:$BD$2323,R$1,FALSE),VLOOKUP($A450,Pit!$A$4:$AZ$2261,R$2,FALSE))</f>
        <v>-0.68213962664524197</v>
      </c>
      <c r="S450" s="20" t="str">
        <f>IF($C450="B",VLOOKUP($A450,Bat!$A$4:$BD$2323,S$1,FALSE),VLOOKUP($A450,Pit!$A$4:$AZ$2261,S$2,FALSE))</f>
        <v>Slot</v>
      </c>
      <c r="T450" s="17" t="str">
        <f>IF(S450="Slot","",VLOOKUP(IF($C450="B",VLOOKUP($A450,Bat!$A$4:$AT$2323,T$1,FALSE),VLOOKUP($A450,Pit!$A$4:$BD$2261,T$2,FALSE)),COND!$A$34:$B$40,2,FALSE))</f>
        <v/>
      </c>
      <c r="U450" s="21">
        <f>IF($C450="B",VLOOKUP($A450,Bat!$A$4:$AR$1287,44,FALSE),VLOOKUP($A450,Pit!$A$4:$BB$1239,54,FALSE))</f>
        <v>0</v>
      </c>
      <c r="W450" s="21">
        <f t="shared" si="26"/>
        <v>0</v>
      </c>
      <c r="X450" s="22" t="e">
        <f t="shared" si="27"/>
        <v>#N/A</v>
      </c>
      <c r="Y450" s="16" t="str">
        <f>IF(ISERROR(VLOOKUP($E450&amp;$F450,Results!$A$2:$G$413,Y$1,FALSE)),"",VLOOKUP($E450&amp;$F450,Results!$A$2:$G$413,Y$1,FALSE))</f>
        <v/>
      </c>
      <c r="Z450" s="16" t="str">
        <f>IF(ISERROR(VLOOKUP($E450&amp;$F450,Results!$A$2:$G$413,Z$1,FALSE)),"",VLOOKUP($E450&amp;$F450,Results!$A$2:$G$413,Z$1,FALSE))</f>
        <v/>
      </c>
      <c r="AA450" s="16" t="str">
        <f>IF(ISERROR(VLOOKUP($E450&amp;$F450,Results!$A$2:$G$413,AA$1,FALSE)),"",VLOOKUP($E450&amp;$F450,Results!$A$2:$G$413,AA$1,FALSE))</f>
        <v/>
      </c>
      <c r="AB450" s="16" t="str">
        <f>IF(ISERROR(VLOOKUP($E450&amp;$F450,Results!$A$2:$G$413,AB$1,FALSE)),"",VLOOKUP($E450&amp;$F450,Results!$A$2:$G$413,AB$1,FALSE))</f>
        <v/>
      </c>
      <c r="AC450" s="16"/>
      <c r="AD450" s="20" t="str">
        <f>IF(ISERROR(VLOOKUP($AB450&amp;"-"&amp;$F450,Bonuses!$B$1:$G$1000,4,FALSE)),"",INT(VLOOKUP($AB450&amp;"-"&amp;$F450,Bonuses!$B$1:$G$1000,4,FALSE)))</f>
        <v/>
      </c>
      <c r="AE450" s="16" t="str">
        <f>IF(ISERROR(VLOOKUP($AB450&amp;"-"&amp;$F450,Bonuses!$B$1:$G$1000,5,FALSE)),"",IF(VLOOKUP($AB450&amp;"-"&amp;$F450,Bonuses!$B$1:$G$1000,5,FALSE)="","",VLOOKUP($AB450&amp;"-"&amp;$F450,Bonuses!$B$1:$G$1000,6,FALSE)&amp;" yrs, "&amp;VLOOKUP($AB450&amp;"-"&amp;$F450,Bonuses!$B$1:$G$1000,5,FALSE)))</f>
        <v/>
      </c>
    </row>
    <row r="451" spans="1:31" s="21" customFormat="1">
      <c r="A451" s="21" t="s">
        <v>730</v>
      </c>
      <c r="B451" s="21">
        <f t="shared" si="24"/>
        <v>1</v>
      </c>
      <c r="C451" s="21" t="str">
        <f t="shared" si="25"/>
        <v>P</v>
      </c>
      <c r="D451" s="17">
        <f>IF($C451="B",VLOOKUP($A451,Bat!$A$4:$BD$2323,D$1,FALSE),VLOOKUP($A451,Pit!$A$4:$AZ$2261,D$2,FALSE))</f>
        <v>13848</v>
      </c>
      <c r="E451" s="16" t="str">
        <f>IF($C451="B",VLOOKUP($A451,Bat!$A$4:$BD$2323,E$1,FALSE),VLOOKUP($A451,Pit!$A$4:$AZ$2261,E$2,FALSE))</f>
        <v>SP</v>
      </c>
      <c r="F451" s="16" t="str">
        <f>IF($C451="B",VLOOKUP($A451,Bat!$A$4:$BD$2323,F$1,FALSE),VLOOKUP($A451,Pit!$A$4:$AZ$2261,F$2,FALSE))</f>
        <v>Bill Whitehead</v>
      </c>
      <c r="G451" s="16">
        <f>IF($C451="B",VLOOKUP($A451,Bat!$A$4:$BD$2323,G$1,FALSE),VLOOKUP($A451,Pit!$A$4:$AZ$2261,G$2,FALSE))</f>
        <v>18</v>
      </c>
      <c r="H451" s="16" t="str">
        <f>IF($C451="B",VLOOKUP($A451,Bat!$A$4:$BD$2323,H$1,FALSE),VLOOKUP($A451,Pit!$A$4:$AZ$2261,H$2,FALSE))</f>
        <v>L</v>
      </c>
      <c r="I451" s="16" t="str">
        <f>IF($C451="B",VLOOKUP($A451,Bat!$A$4:$BD$2323,I$1,FALSE),VLOOKUP($A451,Pit!$A$4:$AZ$2261,I$2,FALSE))</f>
        <v>L</v>
      </c>
      <c r="J451" s="16" t="str">
        <f>IF($C451="B",VLOOKUP($A451,Bat!$A$4:$BD$2323,J$1,FALSE),VLOOKUP($A451,Pit!$A$4:$AZ$2261,J$2,FALSE))</f>
        <v>Low</v>
      </c>
      <c r="K451" s="17" t="str">
        <f>IF($C451="B",VLOOKUP($A451,Bat!$A$4:$BD$2323,K$1,FALSE),VLOOKUP($A451,Pit!$A$4:$AZ$2261,K$2,FALSE))</f>
        <v>Normal</v>
      </c>
      <c r="L451" s="16">
        <f>IF($C451="B",VLOOKUP($A451,Bat!$A$4:$BD$2323,L$1,FALSE),VLOOKUP($A451,Pit!$A$4:$AZ$2261,L$2,FALSE))</f>
        <v>4</v>
      </c>
      <c r="M451" s="16">
        <f>IF($C451="B",VLOOKUP($A451,Bat!$A$4:$BD$2323,M$1,FALSE),VLOOKUP($A451,Pit!$A$4:$AZ$2261,M$2,FALSE))</f>
        <v>4</v>
      </c>
      <c r="N451" s="16">
        <f>IF($C451="B",VLOOKUP($A451,Bat!$A$4:$BD$2323,N$1,FALSE),VLOOKUP($A451,Pit!$A$4:$AZ$2261,N$2,FALSE))</f>
        <v>4</v>
      </c>
      <c r="O451" s="16" t="str">
        <f>IF($C451="B",VLOOKUP($A451,Bat!$A$4:$BD$2323,O$1,FALSE),VLOOKUP($A451,Pit!$A$4:$AZ$2261,O$2,FALSE))</f>
        <v>90-92 Mph</v>
      </c>
      <c r="P451" s="17">
        <f>IF($C451="B",VLOOKUP($A451,Bat!$A$4:$BD$2323,P$1,FALSE),VLOOKUP($A451,Pit!$A$4:$AZ$2261,P$2,FALSE))</f>
        <v>10</v>
      </c>
      <c r="Q451" s="18">
        <f>IF($C451="B",VLOOKUP($A451,Bat!$A$4:$BD$2323,Q$1,FALSE),VLOOKUP($A451,Pit!$A$4:$AZ$2261,Q$2,FALSE))</f>
        <v>25.192727122156178</v>
      </c>
      <c r="R451" s="19">
        <f>IF($C451="B",VLOOKUP($A451,Bat!$A$4:$BD$2323,R$1,FALSE),VLOOKUP($A451,Pit!$A$4:$AZ$2261,R$2,FALSE))</f>
        <v>-0.69292559734408909</v>
      </c>
      <c r="S451" s="20" t="str">
        <f>IF($C451="B",VLOOKUP($A451,Bat!$A$4:$BD$2323,S$1,FALSE),VLOOKUP($A451,Pit!$A$4:$AZ$2261,S$2,FALSE))</f>
        <v>Slot</v>
      </c>
      <c r="T451" s="17" t="str">
        <f>IF(S451="Slot","",VLOOKUP(IF($C451="B",VLOOKUP($A451,Bat!$A$4:$AT$2323,T$1,FALSE),VLOOKUP($A451,Pit!$A$4:$BD$2261,T$2,FALSE)),COND!$A$34:$B$40,2,FALSE))</f>
        <v/>
      </c>
      <c r="U451" s="21">
        <f>IF($C451="B",VLOOKUP($A451,Bat!$A$4:$AR$1287,44,FALSE),VLOOKUP($A451,Pit!$A$4:$BB$1239,54,FALSE))</f>
        <v>0</v>
      </c>
      <c r="W451" s="21">
        <f t="shared" si="26"/>
        <v>0</v>
      </c>
      <c r="X451" s="22" t="e">
        <f t="shared" si="27"/>
        <v>#N/A</v>
      </c>
      <c r="Y451" s="16" t="str">
        <f>IF(ISERROR(VLOOKUP($E451&amp;$F451,Results!$A$2:$G$413,Y$1,FALSE)),"",VLOOKUP($E451&amp;$F451,Results!$A$2:$G$413,Y$1,FALSE))</f>
        <v/>
      </c>
      <c r="Z451" s="16" t="str">
        <f>IF(ISERROR(VLOOKUP($E451&amp;$F451,Results!$A$2:$G$413,Z$1,FALSE)),"",VLOOKUP($E451&amp;$F451,Results!$A$2:$G$413,Z$1,FALSE))</f>
        <v/>
      </c>
      <c r="AA451" s="16" t="str">
        <f>IF(ISERROR(VLOOKUP($E451&amp;$F451,Results!$A$2:$G$413,AA$1,FALSE)),"",VLOOKUP($E451&amp;$F451,Results!$A$2:$G$413,AA$1,FALSE))</f>
        <v/>
      </c>
      <c r="AB451" s="16" t="str">
        <f>IF(ISERROR(VLOOKUP($E451&amp;$F451,Results!$A$2:$G$413,AB$1,FALSE)),"",VLOOKUP($E451&amp;$F451,Results!$A$2:$G$413,AB$1,FALSE))</f>
        <v/>
      </c>
      <c r="AC451" s="16"/>
      <c r="AD451" s="20" t="str">
        <f>IF(ISERROR(VLOOKUP($AB451&amp;"-"&amp;$F451,Bonuses!$B$1:$G$1000,4,FALSE)),"",INT(VLOOKUP($AB451&amp;"-"&amp;$F451,Bonuses!$B$1:$G$1000,4,FALSE)))</f>
        <v/>
      </c>
      <c r="AE451" s="16" t="str">
        <f>IF(ISERROR(VLOOKUP($AB451&amp;"-"&amp;$F451,Bonuses!$B$1:$G$1000,5,FALSE)),"",IF(VLOOKUP($AB451&amp;"-"&amp;$F451,Bonuses!$B$1:$G$1000,5,FALSE)="","",VLOOKUP($AB451&amp;"-"&amp;$F451,Bonuses!$B$1:$G$1000,6,FALSE)&amp;" yrs, "&amp;VLOOKUP($AB451&amp;"-"&amp;$F451,Bonuses!$B$1:$G$1000,5,FALSE)))</f>
        <v/>
      </c>
    </row>
    <row r="452" spans="1:31" s="21" customFormat="1">
      <c r="A452" s="21" t="s">
        <v>697</v>
      </c>
      <c r="B452" s="21">
        <f t="shared" si="24"/>
        <v>1</v>
      </c>
      <c r="C452" s="21" t="str">
        <f t="shared" si="25"/>
        <v>P</v>
      </c>
      <c r="D452" s="17">
        <f>IF($C452="B",VLOOKUP($A452,Bat!$A$4:$BD$2323,D$1,FALSE),VLOOKUP($A452,Pit!$A$4:$AZ$2261,D$2,FALSE))</f>
        <v>13739</v>
      </c>
      <c r="E452" s="16" t="str">
        <f>IF($C452="B",VLOOKUP($A452,Bat!$A$4:$BD$2323,E$1,FALSE),VLOOKUP($A452,Pit!$A$4:$AZ$2261,E$2,FALSE))</f>
        <v>MR</v>
      </c>
      <c r="F452" s="16" t="str">
        <f>IF($C452="B",VLOOKUP($A452,Bat!$A$4:$BD$2323,F$1,FALSE),VLOOKUP($A452,Pit!$A$4:$AZ$2261,F$2,FALSE))</f>
        <v>Damon Walker</v>
      </c>
      <c r="G452" s="16">
        <f>IF($C452="B",VLOOKUP($A452,Bat!$A$4:$BD$2323,G$1,FALSE),VLOOKUP($A452,Pit!$A$4:$AZ$2261,G$2,FALSE))</f>
        <v>18</v>
      </c>
      <c r="H452" s="16" t="str">
        <f>IF($C452="B",VLOOKUP($A452,Bat!$A$4:$BD$2323,H$1,FALSE),VLOOKUP($A452,Pit!$A$4:$AZ$2261,H$2,FALSE))</f>
        <v>L</v>
      </c>
      <c r="I452" s="16" t="str">
        <f>IF($C452="B",VLOOKUP($A452,Bat!$A$4:$BD$2323,I$1,FALSE),VLOOKUP($A452,Pit!$A$4:$AZ$2261,I$2,FALSE))</f>
        <v>L</v>
      </c>
      <c r="J452" s="16" t="str">
        <f>IF($C452="B",VLOOKUP($A452,Bat!$A$4:$BD$2323,J$1,FALSE),VLOOKUP($A452,Pit!$A$4:$AZ$2261,J$2,FALSE))</f>
        <v>Normal</v>
      </c>
      <c r="K452" s="17" t="str">
        <f>IF($C452="B",VLOOKUP($A452,Bat!$A$4:$BD$2323,K$1,FALSE),VLOOKUP($A452,Pit!$A$4:$AZ$2261,K$2,FALSE))</f>
        <v>Normal</v>
      </c>
      <c r="L452" s="16">
        <f>IF($C452="B",VLOOKUP($A452,Bat!$A$4:$BD$2323,L$1,FALSE),VLOOKUP($A452,Pit!$A$4:$AZ$2261,L$2,FALSE))</f>
        <v>5</v>
      </c>
      <c r="M452" s="16">
        <f>IF($C452="B",VLOOKUP($A452,Bat!$A$4:$BD$2323,M$1,FALSE),VLOOKUP($A452,Pit!$A$4:$AZ$2261,M$2,FALSE))</f>
        <v>4</v>
      </c>
      <c r="N452" s="16">
        <f>IF($C452="B",VLOOKUP($A452,Bat!$A$4:$BD$2323,N$1,FALSE),VLOOKUP($A452,Pit!$A$4:$AZ$2261,N$2,FALSE))</f>
        <v>3</v>
      </c>
      <c r="O452" s="16" t="str">
        <f>IF($C452="B",VLOOKUP($A452,Bat!$A$4:$BD$2323,O$1,FALSE),VLOOKUP($A452,Pit!$A$4:$AZ$2261,O$2,FALSE))</f>
        <v>93-95 Mph</v>
      </c>
      <c r="P452" s="17">
        <f>IF($C452="B",VLOOKUP($A452,Bat!$A$4:$BD$2323,P$1,FALSE),VLOOKUP($A452,Pit!$A$4:$AZ$2261,P$2,FALSE))</f>
        <v>7</v>
      </c>
      <c r="Q452" s="18">
        <f>IF($C452="B",VLOOKUP($A452,Bat!$A$4:$BD$2323,Q$1,FALSE),VLOOKUP($A452,Pit!$A$4:$AZ$2261,Q$2,FALSE))</f>
        <v>25.455520848538878</v>
      </c>
      <c r="R452" s="19">
        <f>IF($C452="B",VLOOKUP($A452,Bat!$A$4:$BD$2323,R$1,FALSE),VLOOKUP($A452,Pit!$A$4:$AZ$2261,R$2,FALSE))</f>
        <v>-0.67206331257472596</v>
      </c>
      <c r="S452" s="20" t="str">
        <f>IF($C452="B",VLOOKUP($A452,Bat!$A$4:$BD$2323,S$1,FALSE),VLOOKUP($A452,Pit!$A$4:$AZ$2261,S$2,FALSE))</f>
        <v>Slot</v>
      </c>
      <c r="T452" s="17" t="str">
        <f>IF(S452="Slot","",VLOOKUP(IF($C452="B",VLOOKUP($A452,Bat!$A$4:$AT$2323,T$1,FALSE),VLOOKUP($A452,Pit!$A$4:$BD$2261,T$2,FALSE)),COND!$A$34:$B$40,2,FALSE))</f>
        <v/>
      </c>
      <c r="U452" s="21">
        <f>IF($C452="B",VLOOKUP($A452,Bat!$A$4:$AR$1287,44,FALSE),VLOOKUP($A452,Pit!$A$4:$BB$1239,54,FALSE))</f>
        <v>0</v>
      </c>
      <c r="W452" s="21">
        <f t="shared" si="26"/>
        <v>0</v>
      </c>
      <c r="X452" s="22" t="e">
        <f t="shared" si="27"/>
        <v>#N/A</v>
      </c>
      <c r="Y452" s="16" t="str">
        <f>IF(ISERROR(VLOOKUP($E452&amp;$F452,Results!$A$2:$G$413,Y$1,FALSE)),"",VLOOKUP($E452&amp;$F452,Results!$A$2:$G$413,Y$1,FALSE))</f>
        <v/>
      </c>
      <c r="Z452" s="16" t="str">
        <f>IF(ISERROR(VLOOKUP($E452&amp;$F452,Results!$A$2:$G$413,Z$1,FALSE)),"",VLOOKUP($E452&amp;$F452,Results!$A$2:$G$413,Z$1,FALSE))</f>
        <v/>
      </c>
      <c r="AA452" s="16" t="str">
        <f>IF(ISERROR(VLOOKUP($E452&amp;$F452,Results!$A$2:$G$413,AA$1,FALSE)),"",VLOOKUP($E452&amp;$F452,Results!$A$2:$G$413,AA$1,FALSE))</f>
        <v/>
      </c>
      <c r="AB452" s="16" t="str">
        <f>IF(ISERROR(VLOOKUP($E452&amp;$F452,Results!$A$2:$G$413,AB$1,FALSE)),"",VLOOKUP($E452&amp;$F452,Results!$A$2:$G$413,AB$1,FALSE))</f>
        <v/>
      </c>
      <c r="AC452" s="16"/>
      <c r="AD452" s="20" t="str">
        <f>IF(ISERROR(VLOOKUP($AB452&amp;"-"&amp;$F452,Bonuses!$B$1:$G$1000,4,FALSE)),"",INT(VLOOKUP($AB452&amp;"-"&amp;$F452,Bonuses!$B$1:$G$1000,4,FALSE)))</f>
        <v/>
      </c>
      <c r="AE452" s="16" t="str">
        <f>IF(ISERROR(VLOOKUP($AB452&amp;"-"&amp;$F452,Bonuses!$B$1:$G$1000,5,FALSE)),"",IF(VLOOKUP($AB452&amp;"-"&amp;$F452,Bonuses!$B$1:$G$1000,5,FALSE)="","",VLOOKUP($AB452&amp;"-"&amp;$F452,Bonuses!$B$1:$G$1000,6,FALSE)&amp;" yrs, "&amp;VLOOKUP($AB452&amp;"-"&amp;$F452,Bonuses!$B$1:$G$1000,5,FALSE)))</f>
        <v/>
      </c>
    </row>
    <row r="453" spans="1:31" s="21" customFormat="1">
      <c r="A453" s="21" t="s">
        <v>573</v>
      </c>
      <c r="B453" s="21">
        <f t="shared" ref="B453:B516" si="28">COUNTIF($A$5:$A$598,A453)</f>
        <v>1</v>
      </c>
      <c r="C453" s="21" t="str">
        <f t="shared" ref="C453:C516" si="29">IF(OR(MID(A453,1,2)="SP",MID(A453,1,2)="MR",MID(A453,1,2)="CL",MID(A453,1,2)="RP"),"P","B")</f>
        <v>P</v>
      </c>
      <c r="D453" s="17">
        <f>IF($C453="B",VLOOKUP($A453,Bat!$A$4:$BD$2323,D$1,FALSE),VLOOKUP($A453,Pit!$A$4:$AZ$2261,D$2,FALSE))</f>
        <v>13747</v>
      </c>
      <c r="E453" s="16" t="str">
        <f>IF($C453="B",VLOOKUP($A453,Bat!$A$4:$BD$2323,E$1,FALSE),VLOOKUP($A453,Pit!$A$4:$AZ$2261,E$2,FALSE))</f>
        <v>MR</v>
      </c>
      <c r="F453" s="16" t="str">
        <f>IF($C453="B",VLOOKUP($A453,Bat!$A$4:$BD$2323,F$1,FALSE),VLOOKUP($A453,Pit!$A$4:$AZ$2261,F$2,FALSE))</f>
        <v>Roberto Hernández</v>
      </c>
      <c r="G453" s="16">
        <f>IF($C453="B",VLOOKUP($A453,Bat!$A$4:$BD$2323,G$1,FALSE),VLOOKUP($A453,Pit!$A$4:$AZ$2261,G$2,FALSE))</f>
        <v>18</v>
      </c>
      <c r="H453" s="16" t="str">
        <f>IF($C453="B",VLOOKUP($A453,Bat!$A$4:$BD$2323,H$1,FALSE),VLOOKUP($A453,Pit!$A$4:$AZ$2261,H$2,FALSE))</f>
        <v>L</v>
      </c>
      <c r="I453" s="16" t="str">
        <f>IF($C453="B",VLOOKUP($A453,Bat!$A$4:$BD$2323,I$1,FALSE),VLOOKUP($A453,Pit!$A$4:$AZ$2261,I$2,FALSE))</f>
        <v>L</v>
      </c>
      <c r="J453" s="16" t="str">
        <f>IF($C453="B",VLOOKUP($A453,Bat!$A$4:$BD$2323,J$1,FALSE),VLOOKUP($A453,Pit!$A$4:$AZ$2261,J$2,FALSE))</f>
        <v>Very Low</v>
      </c>
      <c r="K453" s="17" t="str">
        <f>IF($C453="B",VLOOKUP($A453,Bat!$A$4:$BD$2323,K$1,FALSE),VLOOKUP($A453,Pit!$A$4:$AZ$2261,K$2,FALSE))</f>
        <v>Very High</v>
      </c>
      <c r="L453" s="16">
        <f>IF($C453="B",VLOOKUP($A453,Bat!$A$4:$BD$2323,L$1,FALSE),VLOOKUP($A453,Pit!$A$4:$AZ$2261,L$2,FALSE))</f>
        <v>4</v>
      </c>
      <c r="M453" s="16">
        <f>IF($C453="B",VLOOKUP($A453,Bat!$A$4:$BD$2323,M$1,FALSE),VLOOKUP($A453,Pit!$A$4:$AZ$2261,M$2,FALSE))</f>
        <v>4</v>
      </c>
      <c r="N453" s="16">
        <f>IF($C453="B",VLOOKUP($A453,Bat!$A$4:$BD$2323,N$1,FALSE),VLOOKUP($A453,Pit!$A$4:$AZ$2261,N$2,FALSE))</f>
        <v>4</v>
      </c>
      <c r="O453" s="16" t="str">
        <f>IF($C453="B",VLOOKUP($A453,Bat!$A$4:$BD$2323,O$1,FALSE),VLOOKUP($A453,Pit!$A$4:$AZ$2261,O$2,FALSE))</f>
        <v>91-93 Mph</v>
      </c>
      <c r="P453" s="17">
        <f>IF($C453="B",VLOOKUP($A453,Bat!$A$4:$BD$2323,P$1,FALSE),VLOOKUP($A453,Pit!$A$4:$AZ$2261,P$2,FALSE))</f>
        <v>6</v>
      </c>
      <c r="Q453" s="18">
        <f>IF($C453="B",VLOOKUP($A453,Bat!$A$4:$BD$2323,Q$1,FALSE),VLOOKUP($A453,Pit!$A$4:$AZ$2261,Q$2,FALSE))</f>
        <v>24.182123752381564</v>
      </c>
      <c r="R453" s="19">
        <f>IF($C453="B",VLOOKUP($A453,Bat!$A$4:$BD$2323,R$1,FALSE),VLOOKUP($A453,Pit!$A$4:$AZ$2261,R$2,FALSE))</f>
        <v>-0.77315390256022154</v>
      </c>
      <c r="S453" s="20" t="str">
        <f>IF($C453="B",VLOOKUP($A453,Bat!$A$4:$BD$2323,S$1,FALSE),VLOOKUP($A453,Pit!$A$4:$AZ$2261,S$2,FALSE))</f>
        <v>Slot</v>
      </c>
      <c r="T453" s="17" t="str">
        <f>IF(S453="Slot","",VLOOKUP(IF($C453="B",VLOOKUP($A453,Bat!$A$4:$AT$2323,T$1,FALSE),VLOOKUP($A453,Pit!$A$4:$BD$2261,T$2,FALSE)),COND!$A$34:$B$40,2,FALSE))</f>
        <v/>
      </c>
      <c r="U453" s="21">
        <f>IF($C453="B",VLOOKUP($A453,Bat!$A$4:$AR$1287,44,FALSE),VLOOKUP($A453,Pit!$A$4:$BB$1239,54,FALSE))</f>
        <v>0</v>
      </c>
      <c r="W453" s="21">
        <f t="shared" ref="W453:W516" si="30">IF(OR(U453=999,AND(S453&gt;$S$3,S453&lt;&gt;"Slot")),"",U453)</f>
        <v>0</v>
      </c>
      <c r="X453" s="22" t="e">
        <f t="shared" ref="X453:X516" si="31">RANK(R453,$R$5:$R$1469)</f>
        <v>#N/A</v>
      </c>
      <c r="Y453" s="16" t="str">
        <f>IF(ISERROR(VLOOKUP($E453&amp;$F453,Results!$A$2:$G$413,Y$1,FALSE)),"",VLOOKUP($E453&amp;$F453,Results!$A$2:$G$413,Y$1,FALSE))</f>
        <v/>
      </c>
      <c r="Z453" s="16" t="str">
        <f>IF(ISERROR(VLOOKUP($E453&amp;$F453,Results!$A$2:$G$413,Z$1,FALSE)),"",VLOOKUP($E453&amp;$F453,Results!$A$2:$G$413,Z$1,FALSE))</f>
        <v/>
      </c>
      <c r="AA453" s="16" t="str">
        <f>IF(ISERROR(VLOOKUP($E453&amp;$F453,Results!$A$2:$G$413,AA$1,FALSE)),"",VLOOKUP($E453&amp;$F453,Results!$A$2:$G$413,AA$1,FALSE))</f>
        <v/>
      </c>
      <c r="AB453" s="16" t="str">
        <f>IF(ISERROR(VLOOKUP($E453&amp;$F453,Results!$A$2:$G$413,AB$1,FALSE)),"",VLOOKUP($E453&amp;$F453,Results!$A$2:$G$413,AB$1,FALSE))</f>
        <v/>
      </c>
      <c r="AC453" s="16"/>
      <c r="AD453" s="20" t="str">
        <f>IF(ISERROR(VLOOKUP($AB453&amp;"-"&amp;$F453,Bonuses!$B$1:$G$1000,4,FALSE)),"",INT(VLOOKUP($AB453&amp;"-"&amp;$F453,Bonuses!$B$1:$G$1000,4,FALSE)))</f>
        <v/>
      </c>
      <c r="AE453" s="16" t="str">
        <f>IF(ISERROR(VLOOKUP($AB453&amp;"-"&amp;$F453,Bonuses!$B$1:$G$1000,5,FALSE)),"",IF(VLOOKUP($AB453&amp;"-"&amp;$F453,Bonuses!$B$1:$G$1000,5,FALSE)="","",VLOOKUP($AB453&amp;"-"&amp;$F453,Bonuses!$B$1:$G$1000,6,FALSE)&amp;" yrs, "&amp;VLOOKUP($AB453&amp;"-"&amp;$F453,Bonuses!$B$1:$G$1000,5,FALSE)))</f>
        <v/>
      </c>
    </row>
    <row r="454" spans="1:31" s="21" customFormat="1">
      <c r="A454" s="21" t="s">
        <v>615</v>
      </c>
      <c r="B454" s="21">
        <f t="shared" si="28"/>
        <v>1</v>
      </c>
      <c r="C454" s="21" t="str">
        <f t="shared" si="29"/>
        <v>P</v>
      </c>
      <c r="D454" s="17">
        <f>IF($C454="B",VLOOKUP($A454,Bat!$A$4:$BD$2323,D$1,FALSE),VLOOKUP($A454,Pit!$A$4:$AZ$2261,D$2,FALSE))</f>
        <v>8085</v>
      </c>
      <c r="E454" s="16" t="str">
        <f>IF($C454="B",VLOOKUP($A454,Bat!$A$4:$BD$2323,E$1,FALSE),VLOOKUP($A454,Pit!$A$4:$AZ$2261,E$2,FALSE))</f>
        <v>MR</v>
      </c>
      <c r="F454" s="16" t="str">
        <f>IF($C454="B",VLOOKUP($A454,Bat!$A$4:$BD$2323,F$1,FALSE),VLOOKUP($A454,Pit!$A$4:$AZ$2261,F$2,FALSE))</f>
        <v>Matt Barnes</v>
      </c>
      <c r="G454" s="16">
        <f>IF($C454="B",VLOOKUP($A454,Bat!$A$4:$BD$2323,G$1,FALSE),VLOOKUP($A454,Pit!$A$4:$AZ$2261,G$2,FALSE))</f>
        <v>21</v>
      </c>
      <c r="H454" s="16" t="str">
        <f>IF($C454="B",VLOOKUP($A454,Bat!$A$4:$BD$2323,H$1,FALSE),VLOOKUP($A454,Pit!$A$4:$AZ$2261,H$2,FALSE))</f>
        <v>L</v>
      </c>
      <c r="I454" s="16" t="str">
        <f>IF($C454="B",VLOOKUP($A454,Bat!$A$4:$BD$2323,I$1,FALSE),VLOOKUP($A454,Pit!$A$4:$AZ$2261,I$2,FALSE))</f>
        <v>R</v>
      </c>
      <c r="J454" s="16" t="str">
        <f>IF($C454="B",VLOOKUP($A454,Bat!$A$4:$BD$2323,J$1,FALSE),VLOOKUP($A454,Pit!$A$4:$AZ$2261,J$2,FALSE))</f>
        <v>Very Low</v>
      </c>
      <c r="K454" s="17" t="str">
        <f>IF($C454="B",VLOOKUP($A454,Bat!$A$4:$BD$2323,K$1,FALSE),VLOOKUP($A454,Pit!$A$4:$AZ$2261,K$2,FALSE))</f>
        <v>Very Low</v>
      </c>
      <c r="L454" s="16">
        <f>IF($C454="B",VLOOKUP($A454,Bat!$A$4:$BD$2323,L$1,FALSE),VLOOKUP($A454,Pit!$A$4:$AZ$2261,L$2,FALSE))</f>
        <v>4</v>
      </c>
      <c r="M454" s="16">
        <f>IF($C454="B",VLOOKUP($A454,Bat!$A$4:$BD$2323,M$1,FALSE),VLOOKUP($A454,Pit!$A$4:$AZ$2261,M$2,FALSE))</f>
        <v>4</v>
      </c>
      <c r="N454" s="16">
        <f>IF($C454="B",VLOOKUP($A454,Bat!$A$4:$BD$2323,N$1,FALSE),VLOOKUP($A454,Pit!$A$4:$AZ$2261,N$2,FALSE))</f>
        <v>5</v>
      </c>
      <c r="O454" s="16" t="str">
        <f>IF($C454="B",VLOOKUP($A454,Bat!$A$4:$BD$2323,O$1,FALSE),VLOOKUP($A454,Pit!$A$4:$AZ$2261,O$2,FALSE))</f>
        <v>90-92 Mph</v>
      </c>
      <c r="P454" s="17">
        <f>IF($C454="B",VLOOKUP($A454,Bat!$A$4:$BD$2323,P$1,FALSE),VLOOKUP($A454,Pit!$A$4:$AZ$2261,P$2,FALSE))</f>
        <v>8</v>
      </c>
      <c r="Q454" s="18">
        <f>IF($C454="B",VLOOKUP($A454,Bat!$A$4:$BD$2323,Q$1,FALSE),VLOOKUP($A454,Pit!$A$4:$AZ$2261,Q$2,FALSE))</f>
        <v>22.376540821351043</v>
      </c>
      <c r="R454" s="19">
        <f>IF($C454="B",VLOOKUP($A454,Bat!$A$4:$BD$2323,R$1,FALSE),VLOOKUP($A454,Pit!$A$4:$AZ$2261,R$2,FALSE))</f>
        <v>-0.91649288481204438</v>
      </c>
      <c r="S454" s="20" t="str">
        <f>IF($C454="B",VLOOKUP($A454,Bat!$A$4:$BD$2323,S$1,FALSE),VLOOKUP($A454,Pit!$A$4:$AZ$2261,S$2,FALSE))</f>
        <v>Slot</v>
      </c>
      <c r="T454" s="17" t="str">
        <f>IF(S454="Slot","",VLOOKUP(IF($C454="B",VLOOKUP($A454,Bat!$A$4:$AT$2323,T$1,FALSE),VLOOKUP($A454,Pit!$A$4:$BD$2261,T$2,FALSE)),COND!$A$34:$B$40,2,FALSE))</f>
        <v/>
      </c>
      <c r="U454" s="21">
        <f>IF($C454="B",VLOOKUP($A454,Bat!$A$4:$AR$1287,44,FALSE),VLOOKUP($A454,Pit!$A$4:$BB$1239,54,FALSE))</f>
        <v>0</v>
      </c>
      <c r="W454" s="21">
        <f t="shared" si="30"/>
        <v>0</v>
      </c>
      <c r="X454" s="22" t="e">
        <f t="shared" si="31"/>
        <v>#N/A</v>
      </c>
      <c r="Y454" s="16" t="str">
        <f>IF(ISERROR(VLOOKUP($E454&amp;$F454,Results!$A$2:$G$413,Y$1,FALSE)),"",VLOOKUP($E454&amp;$F454,Results!$A$2:$G$413,Y$1,FALSE))</f>
        <v/>
      </c>
      <c r="Z454" s="16" t="str">
        <f>IF(ISERROR(VLOOKUP($E454&amp;$F454,Results!$A$2:$G$413,Z$1,FALSE)),"",VLOOKUP($E454&amp;$F454,Results!$A$2:$G$413,Z$1,FALSE))</f>
        <v/>
      </c>
      <c r="AA454" s="16" t="str">
        <f>IF(ISERROR(VLOOKUP($E454&amp;$F454,Results!$A$2:$G$413,AA$1,FALSE)),"",VLOOKUP($E454&amp;$F454,Results!$A$2:$G$413,AA$1,FALSE))</f>
        <v/>
      </c>
      <c r="AB454" s="16" t="str">
        <f>IF(ISERROR(VLOOKUP($E454&amp;$F454,Results!$A$2:$G$413,AB$1,FALSE)),"",VLOOKUP($E454&amp;$F454,Results!$A$2:$G$413,AB$1,FALSE))</f>
        <v/>
      </c>
      <c r="AC454" s="16"/>
      <c r="AD454" s="20" t="str">
        <f>IF(ISERROR(VLOOKUP($AB454&amp;"-"&amp;$F454,Bonuses!$B$1:$G$1000,4,FALSE)),"",INT(VLOOKUP($AB454&amp;"-"&amp;$F454,Bonuses!$B$1:$G$1000,4,FALSE)))</f>
        <v/>
      </c>
      <c r="AE454" s="16" t="str">
        <f>IF(ISERROR(VLOOKUP($AB454&amp;"-"&amp;$F454,Bonuses!$B$1:$G$1000,5,FALSE)),"",IF(VLOOKUP($AB454&amp;"-"&amp;$F454,Bonuses!$B$1:$G$1000,5,FALSE)="","",VLOOKUP($AB454&amp;"-"&amp;$F454,Bonuses!$B$1:$G$1000,6,FALSE)&amp;" yrs, "&amp;VLOOKUP($AB454&amp;"-"&amp;$F454,Bonuses!$B$1:$G$1000,5,FALSE)))</f>
        <v/>
      </c>
    </row>
    <row r="455" spans="1:31" s="21" customFormat="1">
      <c r="A455" s="21" t="s">
        <v>583</v>
      </c>
      <c r="B455" s="21">
        <f t="shared" si="28"/>
        <v>1</v>
      </c>
      <c r="C455" s="21" t="str">
        <f t="shared" si="29"/>
        <v>P</v>
      </c>
      <c r="D455" s="17">
        <f>IF($C455="B",VLOOKUP($A455,Bat!$A$4:$BD$2323,D$1,FALSE),VLOOKUP($A455,Pit!$A$4:$AZ$2261,D$2,FALSE))</f>
        <v>13855</v>
      </c>
      <c r="E455" s="16" t="str">
        <f>IF($C455="B",VLOOKUP($A455,Bat!$A$4:$BD$2323,E$1,FALSE),VLOOKUP($A455,Pit!$A$4:$AZ$2261,E$2,FALSE))</f>
        <v>MR</v>
      </c>
      <c r="F455" s="16" t="str">
        <f>IF($C455="B",VLOOKUP($A455,Bat!$A$4:$BD$2323,F$1,FALSE),VLOOKUP($A455,Pit!$A$4:$AZ$2261,F$2,FALSE))</f>
        <v>Doug Spears</v>
      </c>
      <c r="G455" s="16">
        <f>IF($C455="B",VLOOKUP($A455,Bat!$A$4:$BD$2323,G$1,FALSE),VLOOKUP($A455,Pit!$A$4:$AZ$2261,G$2,FALSE))</f>
        <v>18</v>
      </c>
      <c r="H455" s="16" t="str">
        <f>IF($C455="B",VLOOKUP($A455,Bat!$A$4:$BD$2323,H$1,FALSE),VLOOKUP($A455,Pit!$A$4:$AZ$2261,H$2,FALSE))</f>
        <v>L</v>
      </c>
      <c r="I455" s="16" t="str">
        <f>IF($C455="B",VLOOKUP($A455,Bat!$A$4:$BD$2323,I$1,FALSE),VLOOKUP($A455,Pit!$A$4:$AZ$2261,I$2,FALSE))</f>
        <v>L</v>
      </c>
      <c r="J455" s="16" t="str">
        <f>IF($C455="B",VLOOKUP($A455,Bat!$A$4:$BD$2323,J$1,FALSE),VLOOKUP($A455,Pit!$A$4:$AZ$2261,J$2,FALSE))</f>
        <v>Low</v>
      </c>
      <c r="K455" s="17" t="str">
        <f>IF($C455="B",VLOOKUP($A455,Bat!$A$4:$BD$2323,K$1,FALSE),VLOOKUP($A455,Pit!$A$4:$AZ$2261,K$2,FALSE))</f>
        <v>Very High</v>
      </c>
      <c r="L455" s="16">
        <f>IF($C455="B",VLOOKUP($A455,Bat!$A$4:$BD$2323,L$1,FALSE),VLOOKUP($A455,Pit!$A$4:$AZ$2261,L$2,FALSE))</f>
        <v>3</v>
      </c>
      <c r="M455" s="16">
        <f>IF($C455="B",VLOOKUP($A455,Bat!$A$4:$BD$2323,M$1,FALSE),VLOOKUP($A455,Pit!$A$4:$AZ$2261,M$2,FALSE))</f>
        <v>3</v>
      </c>
      <c r="N455" s="16">
        <f>IF($C455="B",VLOOKUP($A455,Bat!$A$4:$BD$2323,N$1,FALSE),VLOOKUP($A455,Pit!$A$4:$AZ$2261,N$2,FALSE))</f>
        <v>5</v>
      </c>
      <c r="O455" s="16" t="str">
        <f>IF($C455="B",VLOOKUP($A455,Bat!$A$4:$BD$2323,O$1,FALSE),VLOOKUP($A455,Pit!$A$4:$AZ$2261,O$2,FALSE))</f>
        <v>82-84 Mph</v>
      </c>
      <c r="P455" s="17">
        <f>IF($C455="B",VLOOKUP($A455,Bat!$A$4:$BD$2323,P$1,FALSE),VLOOKUP($A455,Pit!$A$4:$AZ$2261,P$2,FALSE))</f>
        <v>5</v>
      </c>
      <c r="Q455" s="18">
        <f>IF($C455="B",VLOOKUP($A455,Bat!$A$4:$BD$2323,Q$1,FALSE),VLOOKUP($A455,Pit!$A$4:$AZ$2261,Q$2,FALSE))</f>
        <v>25.212191274267816</v>
      </c>
      <c r="R455" s="19">
        <f>IF($C455="B",VLOOKUP($A455,Bat!$A$4:$BD$2323,R$1,FALSE),VLOOKUP($A455,Pit!$A$4:$AZ$2261,R$2,FALSE))</f>
        <v>-0.69138040564664405</v>
      </c>
      <c r="S455" s="20" t="str">
        <f>IF($C455="B",VLOOKUP($A455,Bat!$A$4:$BD$2323,S$1,FALSE),VLOOKUP($A455,Pit!$A$4:$AZ$2261,S$2,FALSE))</f>
        <v>Slot</v>
      </c>
      <c r="T455" s="17" t="str">
        <f>IF(S455="Slot","",VLOOKUP(IF($C455="B",VLOOKUP($A455,Bat!$A$4:$AT$2323,T$1,FALSE),VLOOKUP($A455,Pit!$A$4:$BD$2261,T$2,FALSE)),COND!$A$34:$B$40,2,FALSE))</f>
        <v/>
      </c>
      <c r="U455" s="21">
        <f>IF($C455="B",VLOOKUP($A455,Bat!$A$4:$AR$1287,44,FALSE),VLOOKUP($A455,Pit!$A$4:$BB$1239,54,FALSE))</f>
        <v>0</v>
      </c>
      <c r="W455" s="21">
        <f t="shared" si="30"/>
        <v>0</v>
      </c>
      <c r="X455" s="22" t="e">
        <f t="shared" si="31"/>
        <v>#N/A</v>
      </c>
      <c r="Y455" s="16" t="str">
        <f>IF(ISERROR(VLOOKUP($E455&amp;$F455,Results!$A$2:$G$413,Y$1,FALSE)),"",VLOOKUP($E455&amp;$F455,Results!$A$2:$G$413,Y$1,FALSE))</f>
        <v/>
      </c>
      <c r="Z455" s="16" t="str">
        <f>IF(ISERROR(VLOOKUP($E455&amp;$F455,Results!$A$2:$G$413,Z$1,FALSE)),"",VLOOKUP($E455&amp;$F455,Results!$A$2:$G$413,Z$1,FALSE))</f>
        <v/>
      </c>
      <c r="AA455" s="16" t="str">
        <f>IF(ISERROR(VLOOKUP($E455&amp;$F455,Results!$A$2:$G$413,AA$1,FALSE)),"",VLOOKUP($E455&amp;$F455,Results!$A$2:$G$413,AA$1,FALSE))</f>
        <v/>
      </c>
      <c r="AB455" s="16" t="str">
        <f>IF(ISERROR(VLOOKUP($E455&amp;$F455,Results!$A$2:$G$413,AB$1,FALSE)),"",VLOOKUP($E455&amp;$F455,Results!$A$2:$G$413,AB$1,FALSE))</f>
        <v/>
      </c>
      <c r="AC455" s="16"/>
      <c r="AD455" s="20" t="str">
        <f>IF(ISERROR(VLOOKUP($AB455&amp;"-"&amp;$F455,Bonuses!$B$1:$G$1000,4,FALSE)),"",INT(VLOOKUP($AB455&amp;"-"&amp;$F455,Bonuses!$B$1:$G$1000,4,FALSE)))</f>
        <v/>
      </c>
      <c r="AE455" s="16" t="str">
        <f>IF(ISERROR(VLOOKUP($AB455&amp;"-"&amp;$F455,Bonuses!$B$1:$G$1000,5,FALSE)),"",IF(VLOOKUP($AB455&amp;"-"&amp;$F455,Bonuses!$B$1:$G$1000,5,FALSE)="","",VLOOKUP($AB455&amp;"-"&amp;$F455,Bonuses!$B$1:$G$1000,6,FALSE)&amp;" yrs, "&amp;VLOOKUP($AB455&amp;"-"&amp;$F455,Bonuses!$B$1:$G$1000,5,FALSE)))</f>
        <v/>
      </c>
    </row>
    <row r="456" spans="1:31" s="21" customFormat="1">
      <c r="A456" s="21" t="s">
        <v>598</v>
      </c>
      <c r="B456" s="21">
        <f t="shared" si="28"/>
        <v>1</v>
      </c>
      <c r="C456" s="21" t="str">
        <f t="shared" si="29"/>
        <v>P</v>
      </c>
      <c r="D456" s="17">
        <f>IF($C456="B",VLOOKUP($A456,Bat!$A$4:$BD$2323,D$1,FALSE),VLOOKUP($A456,Pit!$A$4:$AZ$2261,D$2,FALSE))</f>
        <v>1836</v>
      </c>
      <c r="E456" s="16" t="str">
        <f>IF($C456="B",VLOOKUP($A456,Bat!$A$4:$BD$2323,E$1,FALSE),VLOOKUP($A456,Pit!$A$4:$AZ$2261,E$2,FALSE))</f>
        <v>MR</v>
      </c>
      <c r="F456" s="16" t="str">
        <f>IF($C456="B",VLOOKUP($A456,Bat!$A$4:$BD$2323,F$1,FALSE),VLOOKUP($A456,Pit!$A$4:$AZ$2261,F$2,FALSE))</f>
        <v>Carlton Morris</v>
      </c>
      <c r="G456" s="16">
        <f>IF($C456="B",VLOOKUP($A456,Bat!$A$4:$BD$2323,G$1,FALSE),VLOOKUP($A456,Pit!$A$4:$AZ$2261,G$2,FALSE))</f>
        <v>18</v>
      </c>
      <c r="H456" s="16" t="str">
        <f>IF($C456="B",VLOOKUP($A456,Bat!$A$4:$BD$2323,H$1,FALSE),VLOOKUP($A456,Pit!$A$4:$AZ$2261,H$2,FALSE))</f>
        <v>R</v>
      </c>
      <c r="I456" s="16" t="str">
        <f>IF($C456="B",VLOOKUP($A456,Bat!$A$4:$BD$2323,I$1,FALSE),VLOOKUP($A456,Pit!$A$4:$AZ$2261,I$2,FALSE))</f>
        <v>R</v>
      </c>
      <c r="J456" s="16" t="str">
        <f>IF($C456="B",VLOOKUP($A456,Bat!$A$4:$BD$2323,J$1,FALSE),VLOOKUP($A456,Pit!$A$4:$AZ$2261,J$2,FALSE))</f>
        <v>Low</v>
      </c>
      <c r="K456" s="17" t="str">
        <f>IF($C456="B",VLOOKUP($A456,Bat!$A$4:$BD$2323,K$1,FALSE),VLOOKUP($A456,Pit!$A$4:$AZ$2261,K$2,FALSE))</f>
        <v>Very Low</v>
      </c>
      <c r="L456" s="16">
        <f>IF($C456="B",VLOOKUP($A456,Bat!$A$4:$BD$2323,L$1,FALSE),VLOOKUP($A456,Pit!$A$4:$AZ$2261,L$2,FALSE))</f>
        <v>4</v>
      </c>
      <c r="M456" s="16">
        <f>IF($C456="B",VLOOKUP($A456,Bat!$A$4:$BD$2323,M$1,FALSE),VLOOKUP($A456,Pit!$A$4:$AZ$2261,M$2,FALSE))</f>
        <v>4</v>
      </c>
      <c r="N456" s="16">
        <f>IF($C456="B",VLOOKUP($A456,Bat!$A$4:$BD$2323,N$1,FALSE),VLOOKUP($A456,Pit!$A$4:$AZ$2261,N$2,FALSE))</f>
        <v>4</v>
      </c>
      <c r="O456" s="16" t="str">
        <f>IF($C456="B",VLOOKUP($A456,Bat!$A$4:$BD$2323,O$1,FALSE),VLOOKUP($A456,Pit!$A$4:$AZ$2261,O$2,FALSE))</f>
        <v>83-85 Mph</v>
      </c>
      <c r="P456" s="17">
        <f>IF($C456="B",VLOOKUP($A456,Bat!$A$4:$BD$2323,P$1,FALSE),VLOOKUP($A456,Pit!$A$4:$AZ$2261,P$2,FALSE))</f>
        <v>9</v>
      </c>
      <c r="Q456" s="18">
        <f>IF($C456="B",VLOOKUP($A456,Bat!$A$4:$BD$2323,Q$1,FALSE),VLOOKUP($A456,Pit!$A$4:$AZ$2261,Q$2,FALSE))</f>
        <v>23.360954409940561</v>
      </c>
      <c r="R456" s="19">
        <f>IF($C456="B",VLOOKUP($A456,Bat!$A$4:$BD$2323,R$1,FALSE),VLOOKUP($A456,Pit!$A$4:$AZ$2261,R$2,FALSE))</f>
        <v>-0.83834369571733369</v>
      </c>
      <c r="S456" s="20" t="str">
        <f>IF($C456="B",VLOOKUP($A456,Bat!$A$4:$BD$2323,S$1,FALSE),VLOOKUP($A456,Pit!$A$4:$AZ$2261,S$2,FALSE))</f>
        <v>Slot</v>
      </c>
      <c r="T456" s="17" t="str">
        <f>IF(S456="Slot","",VLOOKUP(IF($C456="B",VLOOKUP($A456,Bat!$A$4:$AT$2323,T$1,FALSE),VLOOKUP($A456,Pit!$A$4:$BD$2261,T$2,FALSE)),COND!$A$34:$B$40,2,FALSE))</f>
        <v/>
      </c>
      <c r="U456" s="21">
        <f>IF($C456="B",VLOOKUP($A456,Bat!$A$4:$AR$1287,44,FALSE),VLOOKUP($A456,Pit!$A$4:$BB$1239,54,FALSE))</f>
        <v>0</v>
      </c>
      <c r="W456" s="21">
        <f t="shared" si="30"/>
        <v>0</v>
      </c>
      <c r="X456" s="22" t="e">
        <f t="shared" si="31"/>
        <v>#N/A</v>
      </c>
      <c r="Y456" s="16" t="str">
        <f>IF(ISERROR(VLOOKUP($E456&amp;$F456,Results!$A$2:$G$413,Y$1,FALSE)),"",VLOOKUP($E456&amp;$F456,Results!$A$2:$G$413,Y$1,FALSE))</f>
        <v/>
      </c>
      <c r="Z456" s="16" t="str">
        <f>IF(ISERROR(VLOOKUP($E456&amp;$F456,Results!$A$2:$G$413,Z$1,FALSE)),"",VLOOKUP($E456&amp;$F456,Results!$A$2:$G$413,Z$1,FALSE))</f>
        <v/>
      </c>
      <c r="AA456" s="16" t="str">
        <f>IF(ISERROR(VLOOKUP($E456&amp;$F456,Results!$A$2:$G$413,AA$1,FALSE)),"",VLOOKUP($E456&amp;$F456,Results!$A$2:$G$413,AA$1,FALSE))</f>
        <v/>
      </c>
      <c r="AB456" s="16" t="str">
        <f>IF(ISERROR(VLOOKUP($E456&amp;$F456,Results!$A$2:$G$413,AB$1,FALSE)),"",VLOOKUP($E456&amp;$F456,Results!$A$2:$G$413,AB$1,FALSE))</f>
        <v/>
      </c>
      <c r="AC456" s="16"/>
      <c r="AD456" s="20" t="str">
        <f>IF(ISERROR(VLOOKUP($AB456&amp;"-"&amp;$F456,Bonuses!$B$1:$G$1000,4,FALSE)),"",INT(VLOOKUP($AB456&amp;"-"&amp;$F456,Bonuses!$B$1:$G$1000,4,FALSE)))</f>
        <v/>
      </c>
      <c r="AE456" s="16" t="str">
        <f>IF(ISERROR(VLOOKUP($AB456&amp;"-"&amp;$F456,Bonuses!$B$1:$G$1000,5,FALSE)),"",IF(VLOOKUP($AB456&amp;"-"&amp;$F456,Bonuses!$B$1:$G$1000,5,FALSE)="","",VLOOKUP($AB456&amp;"-"&amp;$F456,Bonuses!$B$1:$G$1000,6,FALSE)&amp;" yrs, "&amp;VLOOKUP($AB456&amp;"-"&amp;$F456,Bonuses!$B$1:$G$1000,5,FALSE)))</f>
        <v/>
      </c>
    </row>
    <row r="457" spans="1:31" s="21" customFormat="1">
      <c r="A457" s="21" t="s">
        <v>562</v>
      </c>
      <c r="B457" s="21">
        <f t="shared" si="28"/>
        <v>1</v>
      </c>
      <c r="C457" s="21" t="str">
        <f t="shared" si="29"/>
        <v>P</v>
      </c>
      <c r="D457" s="17">
        <f>IF($C457="B",VLOOKUP($A457,Bat!$A$4:$BD$2323,D$1,FALSE),VLOOKUP($A457,Pit!$A$4:$AZ$2261,D$2,FALSE))</f>
        <v>5942</v>
      </c>
      <c r="E457" s="16" t="str">
        <f>IF($C457="B",VLOOKUP($A457,Bat!$A$4:$BD$2323,E$1,FALSE),VLOOKUP($A457,Pit!$A$4:$AZ$2261,E$2,FALSE))</f>
        <v>MR</v>
      </c>
      <c r="F457" s="16" t="str">
        <f>IF($C457="B",VLOOKUP($A457,Bat!$A$4:$BD$2323,F$1,FALSE),VLOOKUP($A457,Pit!$A$4:$AZ$2261,F$2,FALSE))</f>
        <v>Alfred Thomas</v>
      </c>
      <c r="G457" s="16">
        <f>IF($C457="B",VLOOKUP($A457,Bat!$A$4:$BD$2323,G$1,FALSE),VLOOKUP($A457,Pit!$A$4:$AZ$2261,G$2,FALSE))</f>
        <v>21</v>
      </c>
      <c r="H457" s="16" t="str">
        <f>IF($C457="B",VLOOKUP($A457,Bat!$A$4:$BD$2323,H$1,FALSE),VLOOKUP($A457,Pit!$A$4:$AZ$2261,H$2,FALSE))</f>
        <v>L</v>
      </c>
      <c r="I457" s="16" t="str">
        <f>IF($C457="B",VLOOKUP($A457,Bat!$A$4:$BD$2323,I$1,FALSE),VLOOKUP($A457,Pit!$A$4:$AZ$2261,I$2,FALSE))</f>
        <v>L</v>
      </c>
      <c r="J457" s="16" t="str">
        <f>IF($C457="B",VLOOKUP($A457,Bat!$A$4:$BD$2323,J$1,FALSE),VLOOKUP($A457,Pit!$A$4:$AZ$2261,J$2,FALSE))</f>
        <v>Very Low</v>
      </c>
      <c r="K457" s="17" t="str">
        <f>IF($C457="B",VLOOKUP($A457,Bat!$A$4:$BD$2323,K$1,FALSE),VLOOKUP($A457,Pit!$A$4:$AZ$2261,K$2,FALSE))</f>
        <v>High</v>
      </c>
      <c r="L457" s="16">
        <f>IF($C457="B",VLOOKUP($A457,Bat!$A$4:$BD$2323,L$1,FALSE),VLOOKUP($A457,Pit!$A$4:$AZ$2261,L$2,FALSE))</f>
        <v>5</v>
      </c>
      <c r="M457" s="16">
        <f>IF($C457="B",VLOOKUP($A457,Bat!$A$4:$BD$2323,M$1,FALSE),VLOOKUP($A457,Pit!$A$4:$AZ$2261,M$2,FALSE))</f>
        <v>4</v>
      </c>
      <c r="N457" s="16">
        <f>IF($C457="B",VLOOKUP($A457,Bat!$A$4:$BD$2323,N$1,FALSE),VLOOKUP($A457,Pit!$A$4:$AZ$2261,N$2,FALSE))</f>
        <v>3</v>
      </c>
      <c r="O457" s="16" t="str">
        <f>IF($C457="B",VLOOKUP($A457,Bat!$A$4:$BD$2323,O$1,FALSE),VLOOKUP($A457,Pit!$A$4:$AZ$2261,O$2,FALSE))</f>
        <v>92-94 Mph</v>
      </c>
      <c r="P457" s="17">
        <f>IF($C457="B",VLOOKUP($A457,Bat!$A$4:$BD$2323,P$1,FALSE),VLOOKUP($A457,Pit!$A$4:$AZ$2261,P$2,FALSE))</f>
        <v>5</v>
      </c>
      <c r="Q457" s="18">
        <f>IF($C457="B",VLOOKUP($A457,Bat!$A$4:$BD$2323,Q$1,FALSE),VLOOKUP($A457,Pit!$A$4:$AZ$2261,Q$2,FALSE))</f>
        <v>24.257320860915137</v>
      </c>
      <c r="R457" s="19">
        <f>IF($C457="B",VLOOKUP($A457,Bat!$A$4:$BD$2323,R$1,FALSE),VLOOKUP($A457,Pit!$A$4:$AZ$2261,R$2,FALSE))</f>
        <v>-0.76718426426765629</v>
      </c>
      <c r="S457" s="20" t="str">
        <f>IF($C457="B",VLOOKUP($A457,Bat!$A$4:$BD$2323,S$1,FALSE),VLOOKUP($A457,Pit!$A$4:$AZ$2261,S$2,FALSE))</f>
        <v>Slot</v>
      </c>
      <c r="T457" s="17" t="str">
        <f>IF(S457="Slot","",VLOOKUP(IF($C457="B",VLOOKUP($A457,Bat!$A$4:$AT$2323,T$1,FALSE),VLOOKUP($A457,Pit!$A$4:$BD$2261,T$2,FALSE)),COND!$A$34:$B$40,2,FALSE))</f>
        <v/>
      </c>
      <c r="U457" s="21">
        <f>IF($C457="B",VLOOKUP($A457,Bat!$A$4:$AR$1287,44,FALSE),VLOOKUP($A457,Pit!$A$4:$BB$1239,54,FALSE))</f>
        <v>0</v>
      </c>
      <c r="W457" s="21">
        <f t="shared" si="30"/>
        <v>0</v>
      </c>
      <c r="X457" s="22" t="e">
        <f t="shared" si="31"/>
        <v>#N/A</v>
      </c>
      <c r="Y457" s="16" t="str">
        <f>IF(ISERROR(VLOOKUP($E457&amp;$F457,Results!$A$2:$G$413,Y$1,FALSE)),"",VLOOKUP($E457&amp;$F457,Results!$A$2:$G$413,Y$1,FALSE))</f>
        <v/>
      </c>
      <c r="Z457" s="16" t="str">
        <f>IF(ISERROR(VLOOKUP($E457&amp;$F457,Results!$A$2:$G$413,Z$1,FALSE)),"",VLOOKUP($E457&amp;$F457,Results!$A$2:$G$413,Z$1,FALSE))</f>
        <v/>
      </c>
      <c r="AA457" s="16" t="str">
        <f>IF(ISERROR(VLOOKUP($E457&amp;$F457,Results!$A$2:$G$413,AA$1,FALSE)),"",VLOOKUP($E457&amp;$F457,Results!$A$2:$G$413,AA$1,FALSE))</f>
        <v/>
      </c>
      <c r="AB457" s="16" t="str">
        <f>IF(ISERROR(VLOOKUP($E457&amp;$F457,Results!$A$2:$G$413,AB$1,FALSE)),"",VLOOKUP($E457&amp;$F457,Results!$A$2:$G$413,AB$1,FALSE))</f>
        <v/>
      </c>
      <c r="AC457" s="16"/>
      <c r="AD457" s="20" t="str">
        <f>IF(ISERROR(VLOOKUP($AB457&amp;"-"&amp;$F457,Bonuses!$B$1:$G$1000,4,FALSE)),"",INT(VLOOKUP($AB457&amp;"-"&amp;$F457,Bonuses!$B$1:$G$1000,4,FALSE)))</f>
        <v/>
      </c>
      <c r="AE457" s="16" t="str">
        <f>IF(ISERROR(VLOOKUP($AB457&amp;"-"&amp;$F457,Bonuses!$B$1:$G$1000,5,FALSE)),"",IF(VLOOKUP($AB457&amp;"-"&amp;$F457,Bonuses!$B$1:$G$1000,5,FALSE)="","",VLOOKUP($AB457&amp;"-"&amp;$F457,Bonuses!$B$1:$G$1000,6,FALSE)&amp;" yrs, "&amp;VLOOKUP($AB457&amp;"-"&amp;$F457,Bonuses!$B$1:$G$1000,5,FALSE)))</f>
        <v/>
      </c>
    </row>
    <row r="458" spans="1:31" s="21" customFormat="1">
      <c r="A458" s="21" t="s">
        <v>566</v>
      </c>
      <c r="B458" s="21">
        <f t="shared" si="28"/>
        <v>1</v>
      </c>
      <c r="C458" s="21" t="str">
        <f t="shared" si="29"/>
        <v>P</v>
      </c>
      <c r="D458" s="17">
        <f>IF($C458="B",VLOOKUP($A458,Bat!$A$4:$BD$2323,D$1,FALSE),VLOOKUP($A458,Pit!$A$4:$AZ$2261,D$2,FALSE))</f>
        <v>13804</v>
      </c>
      <c r="E458" s="16" t="str">
        <f>IF($C458="B",VLOOKUP($A458,Bat!$A$4:$BD$2323,E$1,FALSE),VLOOKUP($A458,Pit!$A$4:$AZ$2261,E$2,FALSE))</f>
        <v>CL</v>
      </c>
      <c r="F458" s="16" t="str">
        <f>IF($C458="B",VLOOKUP($A458,Bat!$A$4:$BD$2323,F$1,FALSE),VLOOKUP($A458,Pit!$A$4:$AZ$2261,F$2,FALSE))</f>
        <v>Jorge Romero</v>
      </c>
      <c r="G458" s="16">
        <f>IF($C458="B",VLOOKUP($A458,Bat!$A$4:$BD$2323,G$1,FALSE),VLOOKUP($A458,Pit!$A$4:$AZ$2261,G$2,FALSE))</f>
        <v>18</v>
      </c>
      <c r="H458" s="16" t="str">
        <f>IF($C458="B",VLOOKUP($A458,Bat!$A$4:$BD$2323,H$1,FALSE),VLOOKUP($A458,Pit!$A$4:$AZ$2261,H$2,FALSE))</f>
        <v>R</v>
      </c>
      <c r="I458" s="16" t="str">
        <f>IF($C458="B",VLOOKUP($A458,Bat!$A$4:$BD$2323,I$1,FALSE),VLOOKUP($A458,Pit!$A$4:$AZ$2261,I$2,FALSE))</f>
        <v>L</v>
      </c>
      <c r="J458" s="16" t="str">
        <f>IF($C458="B",VLOOKUP($A458,Bat!$A$4:$BD$2323,J$1,FALSE),VLOOKUP($A458,Pit!$A$4:$AZ$2261,J$2,FALSE))</f>
        <v>Very Low</v>
      </c>
      <c r="K458" s="17" t="str">
        <f>IF($C458="B",VLOOKUP($A458,Bat!$A$4:$BD$2323,K$1,FALSE),VLOOKUP($A458,Pit!$A$4:$AZ$2261,K$2,FALSE))</f>
        <v>Very High</v>
      </c>
      <c r="L458" s="16">
        <f>IF($C458="B",VLOOKUP($A458,Bat!$A$4:$BD$2323,L$1,FALSE),VLOOKUP($A458,Pit!$A$4:$AZ$2261,L$2,FALSE))</f>
        <v>4</v>
      </c>
      <c r="M458" s="16">
        <f>IF($C458="B",VLOOKUP($A458,Bat!$A$4:$BD$2323,M$1,FALSE),VLOOKUP($A458,Pit!$A$4:$AZ$2261,M$2,FALSE))</f>
        <v>4</v>
      </c>
      <c r="N458" s="16">
        <f>IF($C458="B",VLOOKUP($A458,Bat!$A$4:$BD$2323,N$1,FALSE),VLOOKUP($A458,Pit!$A$4:$AZ$2261,N$2,FALSE))</f>
        <v>4</v>
      </c>
      <c r="O458" s="16" t="str">
        <f>IF($C458="B",VLOOKUP($A458,Bat!$A$4:$BD$2323,O$1,FALSE),VLOOKUP($A458,Pit!$A$4:$AZ$2261,O$2,FALSE))</f>
        <v>91-93 Mph</v>
      </c>
      <c r="P458" s="17">
        <f>IF($C458="B",VLOOKUP($A458,Bat!$A$4:$BD$2323,P$1,FALSE),VLOOKUP($A458,Pit!$A$4:$AZ$2261,P$2,FALSE))</f>
        <v>8</v>
      </c>
      <c r="Q458" s="18">
        <f>IF($C458="B",VLOOKUP($A458,Bat!$A$4:$BD$2323,Q$1,FALSE),VLOOKUP($A458,Pit!$A$4:$AZ$2261,Q$2,FALSE))</f>
        <v>23.992727122156179</v>
      </c>
      <c r="R458" s="19">
        <f>IF($C458="B",VLOOKUP($A458,Bat!$A$4:$BD$2323,R$1,FALSE),VLOOKUP($A458,Pit!$A$4:$AZ$2261,R$2,FALSE))</f>
        <v>-0.78818944579219985</v>
      </c>
      <c r="S458" s="20" t="str">
        <f>IF($C458="B",VLOOKUP($A458,Bat!$A$4:$BD$2323,S$1,FALSE),VLOOKUP($A458,Pit!$A$4:$AZ$2261,S$2,FALSE))</f>
        <v>Slot</v>
      </c>
      <c r="T458" s="17" t="str">
        <f>IF(S458="Slot","",VLOOKUP(IF($C458="B",VLOOKUP($A458,Bat!$A$4:$AT$2323,T$1,FALSE),VLOOKUP($A458,Pit!$A$4:$BD$2261,T$2,FALSE)),COND!$A$34:$B$40,2,FALSE))</f>
        <v/>
      </c>
      <c r="U458" s="21">
        <f>IF($C458="B",VLOOKUP($A458,Bat!$A$4:$AR$1287,44,FALSE),VLOOKUP($A458,Pit!$A$4:$BB$1239,54,FALSE))</f>
        <v>0</v>
      </c>
      <c r="W458" s="21">
        <f t="shared" si="30"/>
        <v>0</v>
      </c>
      <c r="X458" s="22" t="e">
        <f t="shared" si="31"/>
        <v>#N/A</v>
      </c>
      <c r="Y458" s="16" t="str">
        <f>IF(ISERROR(VLOOKUP($E458&amp;$F458,Results!$A$2:$G$413,Y$1,FALSE)),"",VLOOKUP($E458&amp;$F458,Results!$A$2:$G$413,Y$1,FALSE))</f>
        <v/>
      </c>
      <c r="Z458" s="16" t="str">
        <f>IF(ISERROR(VLOOKUP($E458&amp;$F458,Results!$A$2:$G$413,Z$1,FALSE)),"",VLOOKUP($E458&amp;$F458,Results!$A$2:$G$413,Z$1,FALSE))</f>
        <v/>
      </c>
      <c r="AA458" s="16" t="str">
        <f>IF(ISERROR(VLOOKUP($E458&amp;$F458,Results!$A$2:$G$413,AA$1,FALSE)),"",VLOOKUP($E458&amp;$F458,Results!$A$2:$G$413,AA$1,FALSE))</f>
        <v/>
      </c>
      <c r="AB458" s="16" t="str">
        <f>IF(ISERROR(VLOOKUP($E458&amp;$F458,Results!$A$2:$G$413,AB$1,FALSE)),"",VLOOKUP($E458&amp;$F458,Results!$A$2:$G$413,AB$1,FALSE))</f>
        <v/>
      </c>
      <c r="AC458" s="16"/>
      <c r="AD458" s="20" t="str">
        <f>IF(ISERROR(VLOOKUP($AB458&amp;"-"&amp;$F458,Bonuses!$B$1:$G$1000,4,FALSE)),"",INT(VLOOKUP($AB458&amp;"-"&amp;$F458,Bonuses!$B$1:$G$1000,4,FALSE)))</f>
        <v/>
      </c>
      <c r="AE458" s="16" t="str">
        <f>IF(ISERROR(VLOOKUP($AB458&amp;"-"&amp;$F458,Bonuses!$B$1:$G$1000,5,FALSE)),"",IF(VLOOKUP($AB458&amp;"-"&amp;$F458,Bonuses!$B$1:$G$1000,5,FALSE)="","",VLOOKUP($AB458&amp;"-"&amp;$F458,Bonuses!$B$1:$G$1000,6,FALSE)&amp;" yrs, "&amp;VLOOKUP($AB458&amp;"-"&amp;$F458,Bonuses!$B$1:$G$1000,5,FALSE)))</f>
        <v/>
      </c>
    </row>
    <row r="459" spans="1:31" s="21" customFormat="1">
      <c r="A459" s="21" t="s">
        <v>612</v>
      </c>
      <c r="B459" s="21">
        <f t="shared" si="28"/>
        <v>1</v>
      </c>
      <c r="C459" s="21" t="str">
        <f t="shared" si="29"/>
        <v>P</v>
      </c>
      <c r="D459" s="17">
        <f>IF($C459="B",VLOOKUP($A459,Bat!$A$4:$BD$2323,D$1,FALSE),VLOOKUP($A459,Pit!$A$4:$AZ$2261,D$2,FALSE))</f>
        <v>13802</v>
      </c>
      <c r="E459" s="16" t="str">
        <f>IF($C459="B",VLOOKUP($A459,Bat!$A$4:$BD$2323,E$1,FALSE),VLOOKUP($A459,Pit!$A$4:$AZ$2261,E$2,FALSE))</f>
        <v>MR</v>
      </c>
      <c r="F459" s="16" t="str">
        <f>IF($C459="B",VLOOKUP($A459,Bat!$A$4:$BD$2323,F$1,FALSE),VLOOKUP($A459,Pit!$A$4:$AZ$2261,F$2,FALSE))</f>
        <v>Rick Wilson</v>
      </c>
      <c r="G459" s="16">
        <f>IF($C459="B",VLOOKUP($A459,Bat!$A$4:$BD$2323,G$1,FALSE),VLOOKUP($A459,Pit!$A$4:$AZ$2261,G$2,FALSE))</f>
        <v>18</v>
      </c>
      <c r="H459" s="16" t="str">
        <f>IF($C459="B",VLOOKUP($A459,Bat!$A$4:$BD$2323,H$1,FALSE),VLOOKUP($A459,Pit!$A$4:$AZ$2261,H$2,FALSE))</f>
        <v>R</v>
      </c>
      <c r="I459" s="16" t="str">
        <f>IF($C459="B",VLOOKUP($A459,Bat!$A$4:$BD$2323,I$1,FALSE),VLOOKUP($A459,Pit!$A$4:$AZ$2261,I$2,FALSE))</f>
        <v>R</v>
      </c>
      <c r="J459" s="16" t="str">
        <f>IF($C459="B",VLOOKUP($A459,Bat!$A$4:$BD$2323,J$1,FALSE),VLOOKUP($A459,Pit!$A$4:$AZ$2261,J$2,FALSE))</f>
        <v>Low</v>
      </c>
      <c r="K459" s="17" t="str">
        <f>IF($C459="B",VLOOKUP($A459,Bat!$A$4:$BD$2323,K$1,FALSE),VLOOKUP($A459,Pit!$A$4:$AZ$2261,K$2,FALSE))</f>
        <v>Very Low</v>
      </c>
      <c r="L459" s="16">
        <f>IF($C459="B",VLOOKUP($A459,Bat!$A$4:$BD$2323,L$1,FALSE),VLOOKUP($A459,Pit!$A$4:$AZ$2261,L$2,FALSE))</f>
        <v>3</v>
      </c>
      <c r="M459" s="16">
        <f>IF($C459="B",VLOOKUP($A459,Bat!$A$4:$BD$2323,M$1,FALSE),VLOOKUP($A459,Pit!$A$4:$AZ$2261,M$2,FALSE))</f>
        <v>5</v>
      </c>
      <c r="N459" s="16">
        <f>IF($C459="B",VLOOKUP($A459,Bat!$A$4:$BD$2323,N$1,FALSE),VLOOKUP($A459,Pit!$A$4:$AZ$2261,N$2,FALSE))</f>
        <v>4</v>
      </c>
      <c r="O459" s="16" t="str">
        <f>IF($C459="B",VLOOKUP($A459,Bat!$A$4:$BD$2323,O$1,FALSE),VLOOKUP($A459,Pit!$A$4:$AZ$2261,O$2,FALSE))</f>
        <v>82-84 Mph</v>
      </c>
      <c r="P459" s="17">
        <f>IF($C459="B",VLOOKUP($A459,Bat!$A$4:$BD$2323,P$1,FALSE),VLOOKUP($A459,Pit!$A$4:$AZ$2261,P$2,FALSE))</f>
        <v>6</v>
      </c>
      <c r="Q459" s="18">
        <f>IF($C459="B",VLOOKUP($A459,Bat!$A$4:$BD$2323,Q$1,FALSE),VLOOKUP($A459,Pit!$A$4:$AZ$2261,Q$2,FALSE))</f>
        <v>23.242307098575552</v>
      </c>
      <c r="R459" s="19">
        <f>IF($C459="B",VLOOKUP($A459,Bat!$A$4:$BD$2323,R$1,FALSE),VLOOKUP($A459,Pit!$A$4:$AZ$2261,R$2,FALSE))</f>
        <v>-0.8477626952912104</v>
      </c>
      <c r="S459" s="20" t="str">
        <f>IF($C459="B",VLOOKUP($A459,Bat!$A$4:$BD$2323,S$1,FALSE),VLOOKUP($A459,Pit!$A$4:$AZ$2261,S$2,FALSE))</f>
        <v>Slot</v>
      </c>
      <c r="T459" s="17" t="str">
        <f>IF(S459="Slot","",VLOOKUP(IF($C459="B",VLOOKUP($A459,Bat!$A$4:$AT$2323,T$1,FALSE),VLOOKUP($A459,Pit!$A$4:$BD$2261,T$2,FALSE)),COND!$A$34:$B$40,2,FALSE))</f>
        <v/>
      </c>
      <c r="U459" s="21">
        <f>IF($C459="B",VLOOKUP($A459,Bat!$A$4:$AR$1287,44,FALSE),VLOOKUP($A459,Pit!$A$4:$BB$1239,54,FALSE))</f>
        <v>0</v>
      </c>
      <c r="W459" s="21">
        <f t="shared" si="30"/>
        <v>0</v>
      </c>
      <c r="X459" s="22" t="e">
        <f t="shared" si="31"/>
        <v>#N/A</v>
      </c>
      <c r="Y459" s="16" t="str">
        <f>IF(ISERROR(VLOOKUP($E459&amp;$F459,Results!$A$2:$G$413,Y$1,FALSE)),"",VLOOKUP($E459&amp;$F459,Results!$A$2:$G$413,Y$1,FALSE))</f>
        <v/>
      </c>
      <c r="Z459" s="16" t="str">
        <f>IF(ISERROR(VLOOKUP($E459&amp;$F459,Results!$A$2:$G$413,Z$1,FALSE)),"",VLOOKUP($E459&amp;$F459,Results!$A$2:$G$413,Z$1,FALSE))</f>
        <v/>
      </c>
      <c r="AA459" s="16" t="str">
        <f>IF(ISERROR(VLOOKUP($E459&amp;$F459,Results!$A$2:$G$413,AA$1,FALSE)),"",VLOOKUP($E459&amp;$F459,Results!$A$2:$G$413,AA$1,FALSE))</f>
        <v/>
      </c>
      <c r="AB459" s="16" t="str">
        <f>IF(ISERROR(VLOOKUP($E459&amp;$F459,Results!$A$2:$G$413,AB$1,FALSE)),"",VLOOKUP($E459&amp;$F459,Results!$A$2:$G$413,AB$1,FALSE))</f>
        <v/>
      </c>
      <c r="AC459" s="16"/>
      <c r="AD459" s="20" t="str">
        <f>IF(ISERROR(VLOOKUP($AB459&amp;"-"&amp;$F459,Bonuses!$B$1:$G$1000,4,FALSE)),"",INT(VLOOKUP($AB459&amp;"-"&amp;$F459,Bonuses!$B$1:$G$1000,4,FALSE)))</f>
        <v/>
      </c>
      <c r="AE459" s="16" t="str">
        <f>IF(ISERROR(VLOOKUP($AB459&amp;"-"&amp;$F459,Bonuses!$B$1:$G$1000,5,FALSE)),"",IF(VLOOKUP($AB459&amp;"-"&amp;$F459,Bonuses!$B$1:$G$1000,5,FALSE)="","",VLOOKUP($AB459&amp;"-"&amp;$F459,Bonuses!$B$1:$G$1000,6,FALSE)&amp;" yrs, "&amp;VLOOKUP($AB459&amp;"-"&amp;$F459,Bonuses!$B$1:$G$1000,5,FALSE)))</f>
        <v/>
      </c>
    </row>
    <row r="460" spans="1:31" s="21" customFormat="1">
      <c r="A460" s="21" t="s">
        <v>721</v>
      </c>
      <c r="B460" s="21">
        <f t="shared" si="28"/>
        <v>1</v>
      </c>
      <c r="C460" s="21" t="str">
        <f t="shared" si="29"/>
        <v>P</v>
      </c>
      <c r="D460" s="17">
        <f>IF($C460="B",VLOOKUP($A460,Bat!$A$4:$BD$2323,D$1,FALSE),VLOOKUP($A460,Pit!$A$4:$AZ$2261,D$2,FALSE))</f>
        <v>4160</v>
      </c>
      <c r="E460" s="16" t="str">
        <f>IF($C460="B",VLOOKUP($A460,Bat!$A$4:$BD$2323,E$1,FALSE),VLOOKUP($A460,Pit!$A$4:$AZ$2261,E$2,FALSE))</f>
        <v>SP</v>
      </c>
      <c r="F460" s="16" t="str">
        <f>IF($C460="B",VLOOKUP($A460,Bat!$A$4:$BD$2323,F$1,FALSE),VLOOKUP($A460,Pit!$A$4:$AZ$2261,F$2,FALSE))</f>
        <v>William Gardner</v>
      </c>
      <c r="G460" s="16">
        <f>IF($C460="B",VLOOKUP($A460,Bat!$A$4:$BD$2323,G$1,FALSE),VLOOKUP($A460,Pit!$A$4:$AZ$2261,G$2,FALSE))</f>
        <v>21</v>
      </c>
      <c r="H460" s="16" t="str">
        <f>IF($C460="B",VLOOKUP($A460,Bat!$A$4:$BD$2323,H$1,FALSE),VLOOKUP($A460,Pit!$A$4:$AZ$2261,H$2,FALSE))</f>
        <v>S</v>
      </c>
      <c r="I460" s="16" t="str">
        <f>IF($C460="B",VLOOKUP($A460,Bat!$A$4:$BD$2323,I$1,FALSE),VLOOKUP($A460,Pit!$A$4:$AZ$2261,I$2,FALSE))</f>
        <v>R</v>
      </c>
      <c r="J460" s="16" t="str">
        <f>IF($C460="B",VLOOKUP($A460,Bat!$A$4:$BD$2323,J$1,FALSE),VLOOKUP($A460,Pit!$A$4:$AZ$2261,J$2,FALSE))</f>
        <v>Very Low</v>
      </c>
      <c r="K460" s="17" t="str">
        <f>IF($C460="B",VLOOKUP($A460,Bat!$A$4:$BD$2323,K$1,FALSE),VLOOKUP($A460,Pit!$A$4:$AZ$2261,K$2,FALSE))</f>
        <v>Normal</v>
      </c>
      <c r="L460" s="16">
        <f>IF($C460="B",VLOOKUP($A460,Bat!$A$4:$BD$2323,L$1,FALSE),VLOOKUP($A460,Pit!$A$4:$AZ$2261,L$2,FALSE))</f>
        <v>4</v>
      </c>
      <c r="M460" s="16">
        <f>IF($C460="B",VLOOKUP($A460,Bat!$A$4:$BD$2323,M$1,FALSE),VLOOKUP($A460,Pit!$A$4:$AZ$2261,M$2,FALSE))</f>
        <v>4</v>
      </c>
      <c r="N460" s="16">
        <f>IF($C460="B",VLOOKUP($A460,Bat!$A$4:$BD$2323,N$1,FALSE),VLOOKUP($A460,Pit!$A$4:$AZ$2261,N$2,FALSE))</f>
        <v>4</v>
      </c>
      <c r="O460" s="16" t="str">
        <f>IF($C460="B",VLOOKUP($A460,Bat!$A$4:$BD$2323,O$1,FALSE),VLOOKUP($A460,Pit!$A$4:$AZ$2261,O$2,FALSE))</f>
        <v>93-95 Mph</v>
      </c>
      <c r="P460" s="17">
        <f>IF($C460="B",VLOOKUP($A460,Bat!$A$4:$BD$2323,P$1,FALSE),VLOOKUP($A460,Pit!$A$4:$AZ$2261,P$2,FALSE))</f>
        <v>7</v>
      </c>
      <c r="Q460" s="18">
        <f>IF($C460="B",VLOOKUP($A460,Bat!$A$4:$BD$2323,Q$1,FALSE),VLOOKUP($A460,Pit!$A$4:$AZ$2261,Q$2,FALSE))</f>
        <v>23.471832021734464</v>
      </c>
      <c r="R460" s="19">
        <f>IF($C460="B",VLOOKUP($A460,Bat!$A$4:$BD$2323,R$1,FALSE),VLOOKUP($A460,Pit!$A$4:$AZ$2261,R$2,FALSE))</f>
        <v>-0.82954150571214802</v>
      </c>
      <c r="S460" s="20" t="str">
        <f>IF($C460="B",VLOOKUP($A460,Bat!$A$4:$BD$2323,S$1,FALSE),VLOOKUP($A460,Pit!$A$4:$AZ$2261,S$2,FALSE))</f>
        <v>Slot</v>
      </c>
      <c r="T460" s="17" t="str">
        <f>IF(S460="Slot","",VLOOKUP(IF($C460="B",VLOOKUP($A460,Bat!$A$4:$AT$2323,T$1,FALSE),VLOOKUP($A460,Pit!$A$4:$BD$2261,T$2,FALSE)),COND!$A$34:$B$40,2,FALSE))</f>
        <v/>
      </c>
      <c r="U460" s="21">
        <f>IF($C460="B",VLOOKUP($A460,Bat!$A$4:$AR$1287,44,FALSE),VLOOKUP($A460,Pit!$A$4:$BB$1239,54,FALSE))</f>
        <v>0</v>
      </c>
      <c r="W460" s="21">
        <f t="shared" si="30"/>
        <v>0</v>
      </c>
      <c r="X460" s="22" t="e">
        <f t="shared" si="31"/>
        <v>#N/A</v>
      </c>
      <c r="Y460" s="16" t="str">
        <f>IF(ISERROR(VLOOKUP($E460&amp;$F460,Results!$A$2:$G$413,Y$1,FALSE)),"",VLOOKUP($E460&amp;$F460,Results!$A$2:$G$413,Y$1,FALSE))</f>
        <v/>
      </c>
      <c r="Z460" s="16" t="str">
        <f>IF(ISERROR(VLOOKUP($E460&amp;$F460,Results!$A$2:$G$413,Z$1,FALSE)),"",VLOOKUP($E460&amp;$F460,Results!$A$2:$G$413,Z$1,FALSE))</f>
        <v/>
      </c>
      <c r="AA460" s="16" t="str">
        <f>IF(ISERROR(VLOOKUP($E460&amp;$F460,Results!$A$2:$G$413,AA$1,FALSE)),"",VLOOKUP($E460&amp;$F460,Results!$A$2:$G$413,AA$1,FALSE))</f>
        <v/>
      </c>
      <c r="AB460" s="16" t="str">
        <f>IF(ISERROR(VLOOKUP($E460&amp;$F460,Results!$A$2:$G$413,AB$1,FALSE)),"",VLOOKUP($E460&amp;$F460,Results!$A$2:$G$413,AB$1,FALSE))</f>
        <v/>
      </c>
      <c r="AC460" s="16"/>
      <c r="AD460" s="20" t="str">
        <f>IF(ISERROR(VLOOKUP($AB460&amp;"-"&amp;$F460,Bonuses!$B$1:$G$1000,4,FALSE)),"",INT(VLOOKUP($AB460&amp;"-"&amp;$F460,Bonuses!$B$1:$G$1000,4,FALSE)))</f>
        <v/>
      </c>
      <c r="AE460" s="16" t="str">
        <f>IF(ISERROR(VLOOKUP($AB460&amp;"-"&amp;$F460,Bonuses!$B$1:$G$1000,5,FALSE)),"",IF(VLOOKUP($AB460&amp;"-"&amp;$F460,Bonuses!$B$1:$G$1000,5,FALSE)="","",VLOOKUP($AB460&amp;"-"&amp;$F460,Bonuses!$B$1:$G$1000,6,FALSE)&amp;" yrs, "&amp;VLOOKUP($AB460&amp;"-"&amp;$F460,Bonuses!$B$1:$G$1000,5,FALSE)))</f>
        <v/>
      </c>
    </row>
    <row r="461" spans="1:31" s="21" customFormat="1">
      <c r="A461" s="21" t="s">
        <v>570</v>
      </c>
      <c r="B461" s="21">
        <f t="shared" si="28"/>
        <v>1</v>
      </c>
      <c r="C461" s="21" t="str">
        <f t="shared" si="29"/>
        <v>P</v>
      </c>
      <c r="D461" s="17">
        <f>IF($C461="B",VLOOKUP($A461,Bat!$A$4:$BD$2323,D$1,FALSE),VLOOKUP($A461,Pit!$A$4:$AZ$2261,D$2,FALSE))</f>
        <v>1813</v>
      </c>
      <c r="E461" s="16" t="str">
        <f>IF($C461="B",VLOOKUP($A461,Bat!$A$4:$BD$2323,E$1,FALSE),VLOOKUP($A461,Pit!$A$4:$AZ$2261,E$2,FALSE))</f>
        <v>SP</v>
      </c>
      <c r="F461" s="16" t="str">
        <f>IF($C461="B",VLOOKUP($A461,Bat!$A$4:$BD$2323,F$1,FALSE),VLOOKUP($A461,Pit!$A$4:$AZ$2261,F$2,FALSE))</f>
        <v>Fred Thomas</v>
      </c>
      <c r="G461" s="16">
        <f>IF($C461="B",VLOOKUP($A461,Bat!$A$4:$BD$2323,G$1,FALSE),VLOOKUP($A461,Pit!$A$4:$AZ$2261,G$2,FALSE))</f>
        <v>23</v>
      </c>
      <c r="H461" s="16" t="str">
        <f>IF($C461="B",VLOOKUP($A461,Bat!$A$4:$BD$2323,H$1,FALSE),VLOOKUP($A461,Pit!$A$4:$AZ$2261,H$2,FALSE))</f>
        <v>L</v>
      </c>
      <c r="I461" s="16" t="str">
        <f>IF($C461="B",VLOOKUP($A461,Bat!$A$4:$BD$2323,I$1,FALSE),VLOOKUP($A461,Pit!$A$4:$AZ$2261,I$2,FALSE))</f>
        <v>L</v>
      </c>
      <c r="J461" s="16" t="str">
        <f>IF($C461="B",VLOOKUP($A461,Bat!$A$4:$BD$2323,J$1,FALSE),VLOOKUP($A461,Pit!$A$4:$AZ$2261,J$2,FALSE))</f>
        <v>Normal</v>
      </c>
      <c r="K461" s="17" t="str">
        <f>IF($C461="B",VLOOKUP($A461,Bat!$A$4:$BD$2323,K$1,FALSE),VLOOKUP($A461,Pit!$A$4:$AZ$2261,K$2,FALSE))</f>
        <v>Low</v>
      </c>
      <c r="L461" s="16">
        <f>IF($C461="B",VLOOKUP($A461,Bat!$A$4:$BD$2323,L$1,FALSE),VLOOKUP($A461,Pit!$A$4:$AZ$2261,L$2,FALSE))</f>
        <v>4</v>
      </c>
      <c r="M461" s="16">
        <f>IF($C461="B",VLOOKUP($A461,Bat!$A$4:$BD$2323,M$1,FALSE),VLOOKUP($A461,Pit!$A$4:$AZ$2261,M$2,FALSE))</f>
        <v>5</v>
      </c>
      <c r="N461" s="16">
        <f>IF($C461="B",VLOOKUP($A461,Bat!$A$4:$BD$2323,N$1,FALSE),VLOOKUP($A461,Pit!$A$4:$AZ$2261,N$2,FALSE))</f>
        <v>3</v>
      </c>
      <c r="O461" s="16" t="str">
        <f>IF($C461="B",VLOOKUP($A461,Bat!$A$4:$BD$2323,O$1,FALSE),VLOOKUP($A461,Pit!$A$4:$AZ$2261,O$2,FALSE))</f>
        <v>90-92 Mph</v>
      </c>
      <c r="P461" s="17">
        <f>IF($C461="B",VLOOKUP($A461,Bat!$A$4:$BD$2323,P$1,FALSE),VLOOKUP($A461,Pit!$A$4:$AZ$2261,P$2,FALSE))</f>
        <v>6</v>
      </c>
      <c r="Q461" s="18">
        <f>IF($C461="B",VLOOKUP($A461,Bat!$A$4:$BD$2323,Q$1,FALSE),VLOOKUP($A461,Pit!$A$4:$AZ$2261,Q$2,FALSE))</f>
        <v>24.515043695093045</v>
      </c>
      <c r="R461" s="19">
        <f>IF($C461="B",VLOOKUP($A461,Bat!$A$4:$BD$2323,R$1,FALSE),VLOOKUP($A461,Pit!$A$4:$AZ$2261,R$2,FALSE))</f>
        <v>-0.74672454008703804</v>
      </c>
      <c r="S461" s="20">
        <f>IF($C461="B",VLOOKUP($A461,Bat!$A$4:$BD$2323,S$1,FALSE),VLOOKUP($A461,Pit!$A$4:$AZ$2261,S$2,FALSE))</f>
        <v>3000000</v>
      </c>
      <c r="T461" s="17" t="str">
        <f>IF(S461="Slot","",VLOOKUP(IF($C461="B",VLOOKUP($A461,Bat!$A$4:$AT$2323,T$1,FALSE),VLOOKUP($A461,Pit!$A$4:$BD$2261,T$2,FALSE)),COND!$A$34:$B$40,2,FALSE))</f>
        <v>EH</v>
      </c>
      <c r="U461" s="21">
        <f>IF($C461="B",VLOOKUP($A461,Bat!$A$4:$AR$1287,44,FALSE),VLOOKUP($A461,Pit!$A$4:$BB$1239,54,FALSE))</f>
        <v>0</v>
      </c>
      <c r="W461" s="21">
        <f t="shared" si="30"/>
        <v>0</v>
      </c>
      <c r="X461" s="22" t="e">
        <f t="shared" si="31"/>
        <v>#N/A</v>
      </c>
      <c r="Y461" s="16" t="str">
        <f>IF(ISERROR(VLOOKUP($E461&amp;$F461,Results!$A$2:$G$413,Y$1,FALSE)),"",VLOOKUP($E461&amp;$F461,Results!$A$2:$G$413,Y$1,FALSE))</f>
        <v/>
      </c>
      <c r="Z461" s="16" t="str">
        <f>IF(ISERROR(VLOOKUP($E461&amp;$F461,Results!$A$2:$G$413,Z$1,FALSE)),"",VLOOKUP($E461&amp;$F461,Results!$A$2:$G$413,Z$1,FALSE))</f>
        <v/>
      </c>
      <c r="AA461" s="16" t="str">
        <f>IF(ISERROR(VLOOKUP($E461&amp;$F461,Results!$A$2:$G$413,AA$1,FALSE)),"",VLOOKUP($E461&amp;$F461,Results!$A$2:$G$413,AA$1,FALSE))</f>
        <v/>
      </c>
      <c r="AB461" s="16" t="str">
        <f>IF(ISERROR(VLOOKUP($E461&amp;$F461,Results!$A$2:$G$413,AB$1,FALSE)),"",VLOOKUP($E461&amp;$F461,Results!$A$2:$G$413,AB$1,FALSE))</f>
        <v/>
      </c>
      <c r="AC461" s="16"/>
      <c r="AD461" s="20" t="str">
        <f>IF(ISERROR(VLOOKUP($AB461&amp;"-"&amp;$F461,Bonuses!$B$1:$G$1000,4,FALSE)),"",INT(VLOOKUP($AB461&amp;"-"&amp;$F461,Bonuses!$B$1:$G$1000,4,FALSE)))</f>
        <v/>
      </c>
      <c r="AE461" s="16" t="str">
        <f>IF(ISERROR(VLOOKUP($AB461&amp;"-"&amp;$F461,Bonuses!$B$1:$G$1000,5,FALSE)),"",IF(VLOOKUP($AB461&amp;"-"&amp;$F461,Bonuses!$B$1:$G$1000,5,FALSE)="","",VLOOKUP($AB461&amp;"-"&amp;$F461,Bonuses!$B$1:$G$1000,6,FALSE)&amp;" yrs, "&amp;VLOOKUP($AB461&amp;"-"&amp;$F461,Bonuses!$B$1:$G$1000,5,FALSE)))</f>
        <v/>
      </c>
    </row>
    <row r="462" spans="1:31" s="21" customFormat="1">
      <c r="A462" s="21" t="s">
        <v>561</v>
      </c>
      <c r="B462" s="21">
        <f t="shared" si="28"/>
        <v>1</v>
      </c>
      <c r="C462" s="21" t="str">
        <f t="shared" si="29"/>
        <v>P</v>
      </c>
      <c r="D462" s="17">
        <f>IF($C462="B",VLOOKUP($A462,Bat!$A$4:$BD$2323,D$1,FALSE),VLOOKUP($A462,Pit!$A$4:$AZ$2261,D$2,FALSE))</f>
        <v>13769</v>
      </c>
      <c r="E462" s="16" t="str">
        <f>IF($C462="B",VLOOKUP($A462,Bat!$A$4:$BD$2323,E$1,FALSE),VLOOKUP($A462,Pit!$A$4:$AZ$2261,E$2,FALSE))</f>
        <v>MR</v>
      </c>
      <c r="F462" s="16" t="str">
        <f>IF($C462="B",VLOOKUP($A462,Bat!$A$4:$BD$2323,F$1,FALSE),VLOOKUP($A462,Pit!$A$4:$AZ$2261,F$2,FALSE))</f>
        <v>Steve Sheffield</v>
      </c>
      <c r="G462" s="16">
        <f>IF($C462="B",VLOOKUP($A462,Bat!$A$4:$BD$2323,G$1,FALSE),VLOOKUP($A462,Pit!$A$4:$AZ$2261,G$2,FALSE))</f>
        <v>18</v>
      </c>
      <c r="H462" s="16" t="str">
        <f>IF($C462="B",VLOOKUP($A462,Bat!$A$4:$BD$2323,H$1,FALSE),VLOOKUP($A462,Pit!$A$4:$AZ$2261,H$2,FALSE))</f>
        <v>L</v>
      </c>
      <c r="I462" s="16" t="str">
        <f>IF($C462="B",VLOOKUP($A462,Bat!$A$4:$BD$2323,I$1,FALSE),VLOOKUP($A462,Pit!$A$4:$AZ$2261,I$2,FALSE))</f>
        <v>L</v>
      </c>
      <c r="J462" s="16" t="str">
        <f>IF($C462="B",VLOOKUP($A462,Bat!$A$4:$BD$2323,J$1,FALSE),VLOOKUP($A462,Pit!$A$4:$AZ$2261,J$2,FALSE))</f>
        <v>Very Low</v>
      </c>
      <c r="K462" s="17" t="str">
        <f>IF($C462="B",VLOOKUP($A462,Bat!$A$4:$BD$2323,K$1,FALSE),VLOOKUP($A462,Pit!$A$4:$AZ$2261,K$2,FALSE))</f>
        <v>Normal</v>
      </c>
      <c r="L462" s="16">
        <f>IF($C462="B",VLOOKUP($A462,Bat!$A$4:$BD$2323,L$1,FALSE),VLOOKUP($A462,Pit!$A$4:$AZ$2261,L$2,FALSE))</f>
        <v>4</v>
      </c>
      <c r="M462" s="16">
        <f>IF($C462="B",VLOOKUP($A462,Bat!$A$4:$BD$2323,M$1,FALSE),VLOOKUP($A462,Pit!$A$4:$AZ$2261,M$2,FALSE))</f>
        <v>4</v>
      </c>
      <c r="N462" s="16">
        <f>IF($C462="B",VLOOKUP($A462,Bat!$A$4:$BD$2323,N$1,FALSE),VLOOKUP($A462,Pit!$A$4:$AZ$2261,N$2,FALSE))</f>
        <v>4</v>
      </c>
      <c r="O462" s="16" t="str">
        <f>IF($C462="B",VLOOKUP($A462,Bat!$A$4:$BD$2323,O$1,FALSE),VLOOKUP($A462,Pit!$A$4:$AZ$2261,O$2,FALSE))</f>
        <v>89-90 Mph</v>
      </c>
      <c r="P462" s="17">
        <f>IF($C462="B",VLOOKUP($A462,Bat!$A$4:$BD$2323,P$1,FALSE),VLOOKUP($A462,Pit!$A$4:$AZ$2261,P$2,FALSE))</f>
        <v>8</v>
      </c>
      <c r="Q462" s="18">
        <f>IF($C462="B",VLOOKUP($A462,Bat!$A$4:$BD$2323,Q$1,FALSE),VLOOKUP($A462,Pit!$A$4:$AZ$2261,Q$2,FALSE))</f>
        <v>23.442727122156178</v>
      </c>
      <c r="R462" s="19">
        <f>IF($C462="B",VLOOKUP($A462,Bat!$A$4:$BD$2323,R$1,FALSE),VLOOKUP($A462,Pit!$A$4:$AZ$2261,R$2,FALSE))</f>
        <v>-0.83185204299758408</v>
      </c>
      <c r="S462" s="20">
        <f>IF($C462="B",VLOOKUP($A462,Bat!$A$4:$BD$2323,S$1,FALSE),VLOOKUP($A462,Pit!$A$4:$AZ$2261,S$2,FALSE))</f>
        <v>1900000</v>
      </c>
      <c r="T462" s="17" t="str">
        <f>IF(S462="Slot","",VLOOKUP(IF($C462="B",VLOOKUP($A462,Bat!$A$4:$AT$2323,T$1,FALSE),VLOOKUP($A462,Pit!$A$4:$BD$2261,T$2,FALSE)),COND!$A$34:$B$40,2,FALSE))</f>
        <v>EH</v>
      </c>
      <c r="U462" s="21">
        <f>IF($C462="B",VLOOKUP($A462,Bat!$A$4:$AR$1287,44,FALSE),VLOOKUP($A462,Pit!$A$4:$BB$1239,54,FALSE))</f>
        <v>0</v>
      </c>
      <c r="W462" s="21">
        <f t="shared" si="30"/>
        <v>0</v>
      </c>
      <c r="X462" s="22" t="e">
        <f t="shared" si="31"/>
        <v>#N/A</v>
      </c>
      <c r="Y462" s="16" t="str">
        <f>IF(ISERROR(VLOOKUP($E462&amp;$F462,Results!$A$2:$G$413,Y$1,FALSE)),"",VLOOKUP($E462&amp;$F462,Results!$A$2:$G$413,Y$1,FALSE))</f>
        <v/>
      </c>
      <c r="Z462" s="16" t="str">
        <f>IF(ISERROR(VLOOKUP($E462&amp;$F462,Results!$A$2:$G$413,Z$1,FALSE)),"",VLOOKUP($E462&amp;$F462,Results!$A$2:$G$413,Z$1,FALSE))</f>
        <v/>
      </c>
      <c r="AA462" s="16" t="str">
        <f>IF(ISERROR(VLOOKUP($E462&amp;$F462,Results!$A$2:$G$413,AA$1,FALSE)),"",VLOOKUP($E462&amp;$F462,Results!$A$2:$G$413,AA$1,FALSE))</f>
        <v/>
      </c>
      <c r="AB462" s="16" t="str">
        <f>IF(ISERROR(VLOOKUP($E462&amp;$F462,Results!$A$2:$G$413,AB$1,FALSE)),"",VLOOKUP($E462&amp;$F462,Results!$A$2:$G$413,AB$1,FALSE))</f>
        <v/>
      </c>
      <c r="AC462" s="16"/>
      <c r="AD462" s="20" t="str">
        <f>IF(ISERROR(VLOOKUP($AB462&amp;"-"&amp;$F462,Bonuses!$B$1:$G$1000,4,FALSE)),"",INT(VLOOKUP($AB462&amp;"-"&amp;$F462,Bonuses!$B$1:$G$1000,4,FALSE)))</f>
        <v/>
      </c>
      <c r="AE462" s="16" t="str">
        <f>IF(ISERROR(VLOOKUP($AB462&amp;"-"&amp;$F462,Bonuses!$B$1:$G$1000,5,FALSE)),"",IF(VLOOKUP($AB462&amp;"-"&amp;$F462,Bonuses!$B$1:$G$1000,5,FALSE)="","",VLOOKUP($AB462&amp;"-"&amp;$F462,Bonuses!$B$1:$G$1000,6,FALSE)&amp;" yrs, "&amp;VLOOKUP($AB462&amp;"-"&amp;$F462,Bonuses!$B$1:$G$1000,5,FALSE)))</f>
        <v/>
      </c>
    </row>
    <row r="463" spans="1:31" s="21" customFormat="1">
      <c r="A463" s="21" t="s">
        <v>590</v>
      </c>
      <c r="B463" s="21">
        <f t="shared" si="28"/>
        <v>1</v>
      </c>
      <c r="C463" s="21" t="str">
        <f t="shared" si="29"/>
        <v>P</v>
      </c>
      <c r="D463" s="17">
        <f>IF($C463="B",VLOOKUP($A463,Bat!$A$4:$BD$2323,D$1,FALSE),VLOOKUP($A463,Pit!$A$4:$AZ$2261,D$2,FALSE))</f>
        <v>3003</v>
      </c>
      <c r="E463" s="16" t="str">
        <f>IF($C463="B",VLOOKUP($A463,Bat!$A$4:$BD$2323,E$1,FALSE),VLOOKUP($A463,Pit!$A$4:$AZ$2261,E$2,FALSE))</f>
        <v>MR</v>
      </c>
      <c r="F463" s="16" t="str">
        <f>IF($C463="B",VLOOKUP($A463,Bat!$A$4:$BD$2323,F$1,FALSE),VLOOKUP($A463,Pit!$A$4:$AZ$2261,F$2,FALSE))</f>
        <v>Rob Lee</v>
      </c>
      <c r="G463" s="16">
        <f>IF($C463="B",VLOOKUP($A463,Bat!$A$4:$BD$2323,G$1,FALSE),VLOOKUP($A463,Pit!$A$4:$AZ$2261,G$2,FALSE))</f>
        <v>21</v>
      </c>
      <c r="H463" s="16" t="str">
        <f>IF($C463="B",VLOOKUP($A463,Bat!$A$4:$BD$2323,H$1,FALSE),VLOOKUP($A463,Pit!$A$4:$AZ$2261,H$2,FALSE))</f>
        <v>L</v>
      </c>
      <c r="I463" s="16" t="str">
        <f>IF($C463="B",VLOOKUP($A463,Bat!$A$4:$BD$2323,I$1,FALSE),VLOOKUP($A463,Pit!$A$4:$AZ$2261,I$2,FALSE))</f>
        <v>L</v>
      </c>
      <c r="J463" s="16" t="str">
        <f>IF($C463="B",VLOOKUP($A463,Bat!$A$4:$BD$2323,J$1,FALSE),VLOOKUP($A463,Pit!$A$4:$AZ$2261,J$2,FALSE))</f>
        <v>Low</v>
      </c>
      <c r="K463" s="17" t="str">
        <f>IF($C463="B",VLOOKUP($A463,Bat!$A$4:$BD$2323,K$1,FALSE),VLOOKUP($A463,Pit!$A$4:$AZ$2261,K$2,FALSE))</f>
        <v>Normal</v>
      </c>
      <c r="L463" s="16">
        <f>IF($C463="B",VLOOKUP($A463,Bat!$A$4:$BD$2323,L$1,FALSE),VLOOKUP($A463,Pit!$A$4:$AZ$2261,L$2,FALSE))</f>
        <v>5</v>
      </c>
      <c r="M463" s="16">
        <f>IF($C463="B",VLOOKUP($A463,Bat!$A$4:$BD$2323,M$1,FALSE),VLOOKUP($A463,Pit!$A$4:$AZ$2261,M$2,FALSE))</f>
        <v>3</v>
      </c>
      <c r="N463" s="16">
        <f>IF($C463="B",VLOOKUP($A463,Bat!$A$4:$BD$2323,N$1,FALSE),VLOOKUP($A463,Pit!$A$4:$AZ$2261,N$2,FALSE))</f>
        <v>4</v>
      </c>
      <c r="O463" s="16" t="str">
        <f>IF($C463="B",VLOOKUP($A463,Bat!$A$4:$BD$2323,O$1,FALSE),VLOOKUP($A463,Pit!$A$4:$AZ$2261,O$2,FALSE))</f>
        <v>90-92 Mph</v>
      </c>
      <c r="P463" s="17">
        <f>IF($C463="B",VLOOKUP($A463,Bat!$A$4:$BD$2323,P$1,FALSE),VLOOKUP($A463,Pit!$A$4:$AZ$2261,P$2,FALSE))</f>
        <v>1</v>
      </c>
      <c r="Q463" s="18">
        <f>IF($C463="B",VLOOKUP($A463,Bat!$A$4:$BD$2323,Q$1,FALSE),VLOOKUP($A463,Pit!$A$4:$AZ$2261,Q$2,FALSE))</f>
        <v>24.158164904293674</v>
      </c>
      <c r="R463" s="19">
        <f>IF($C463="B",VLOOKUP($A463,Bat!$A$4:$BD$2323,R$1,FALSE),VLOOKUP($A463,Pit!$A$4:$AZ$2261,R$2,FALSE))</f>
        <v>-0.77505591262125162</v>
      </c>
      <c r="S463" s="20" t="str">
        <f>IF($C463="B",VLOOKUP($A463,Bat!$A$4:$BD$2323,S$1,FALSE),VLOOKUP($A463,Pit!$A$4:$AZ$2261,S$2,FALSE))</f>
        <v>Slot</v>
      </c>
      <c r="T463" s="17" t="str">
        <f>IF(S463="Slot","",VLOOKUP(IF($C463="B",VLOOKUP($A463,Bat!$A$4:$AT$2323,T$1,FALSE),VLOOKUP($A463,Pit!$A$4:$BD$2261,T$2,FALSE)),COND!$A$34:$B$40,2,FALSE))</f>
        <v/>
      </c>
      <c r="U463" s="21">
        <f>IF($C463="B",VLOOKUP($A463,Bat!$A$4:$AR$1287,44,FALSE),VLOOKUP($A463,Pit!$A$4:$BB$1239,54,FALSE))</f>
        <v>0</v>
      </c>
      <c r="W463" s="21">
        <f t="shared" si="30"/>
        <v>0</v>
      </c>
      <c r="X463" s="22" t="e">
        <f t="shared" si="31"/>
        <v>#N/A</v>
      </c>
      <c r="Y463" s="16" t="str">
        <f>IF(ISERROR(VLOOKUP($E463&amp;$F463,Results!$A$2:$G$413,Y$1,FALSE)),"",VLOOKUP($E463&amp;$F463,Results!$A$2:$G$413,Y$1,FALSE))</f>
        <v/>
      </c>
      <c r="Z463" s="16" t="str">
        <f>IF(ISERROR(VLOOKUP($E463&amp;$F463,Results!$A$2:$G$413,Z$1,FALSE)),"",VLOOKUP($E463&amp;$F463,Results!$A$2:$G$413,Z$1,FALSE))</f>
        <v/>
      </c>
      <c r="AA463" s="16" t="str">
        <f>IF(ISERROR(VLOOKUP($E463&amp;$F463,Results!$A$2:$G$413,AA$1,FALSE)),"",VLOOKUP($E463&amp;$F463,Results!$A$2:$G$413,AA$1,FALSE))</f>
        <v/>
      </c>
      <c r="AB463" s="16" t="str">
        <f>IF(ISERROR(VLOOKUP($E463&amp;$F463,Results!$A$2:$G$413,AB$1,FALSE)),"",VLOOKUP($E463&amp;$F463,Results!$A$2:$G$413,AB$1,FALSE))</f>
        <v/>
      </c>
      <c r="AC463" s="16"/>
      <c r="AD463" s="20" t="str">
        <f>IF(ISERROR(VLOOKUP($AB463&amp;"-"&amp;$F463,Bonuses!$B$1:$G$1000,4,FALSE)),"",INT(VLOOKUP($AB463&amp;"-"&amp;$F463,Bonuses!$B$1:$G$1000,4,FALSE)))</f>
        <v/>
      </c>
      <c r="AE463" s="16" t="str">
        <f>IF(ISERROR(VLOOKUP($AB463&amp;"-"&amp;$F463,Bonuses!$B$1:$G$1000,5,FALSE)),"",IF(VLOOKUP($AB463&amp;"-"&amp;$F463,Bonuses!$B$1:$G$1000,5,FALSE)="","",VLOOKUP($AB463&amp;"-"&amp;$F463,Bonuses!$B$1:$G$1000,6,FALSE)&amp;" yrs, "&amp;VLOOKUP($AB463&amp;"-"&amp;$F463,Bonuses!$B$1:$G$1000,5,FALSE)))</f>
        <v/>
      </c>
    </row>
    <row r="464" spans="1:31" s="21" customFormat="1">
      <c r="A464" s="21" t="s">
        <v>584</v>
      </c>
      <c r="B464" s="21">
        <f t="shared" si="28"/>
        <v>1</v>
      </c>
      <c r="C464" s="21" t="str">
        <f t="shared" si="29"/>
        <v>P</v>
      </c>
      <c r="D464" s="17">
        <f>IF($C464="B",VLOOKUP($A464,Bat!$A$4:$BD$2323,D$1,FALSE),VLOOKUP($A464,Pit!$A$4:$AZ$2261,D$2,FALSE))</f>
        <v>211</v>
      </c>
      <c r="E464" s="16" t="str">
        <f>IF($C464="B",VLOOKUP($A464,Bat!$A$4:$BD$2323,E$1,FALSE),VLOOKUP($A464,Pit!$A$4:$AZ$2261,E$2,FALSE))</f>
        <v>SP</v>
      </c>
      <c r="F464" s="16" t="str">
        <f>IF($C464="B",VLOOKUP($A464,Bat!$A$4:$BD$2323,F$1,FALSE),VLOOKUP($A464,Pit!$A$4:$AZ$2261,F$2,FALSE))</f>
        <v>José Bautista</v>
      </c>
      <c r="G464" s="16">
        <f>IF($C464="B",VLOOKUP($A464,Bat!$A$4:$BD$2323,G$1,FALSE),VLOOKUP($A464,Pit!$A$4:$AZ$2261,G$2,FALSE))</f>
        <v>18</v>
      </c>
      <c r="H464" s="16" t="str">
        <f>IF($C464="B",VLOOKUP($A464,Bat!$A$4:$BD$2323,H$1,FALSE),VLOOKUP($A464,Pit!$A$4:$AZ$2261,H$2,FALSE))</f>
        <v>S</v>
      </c>
      <c r="I464" s="16" t="str">
        <f>IF($C464="B",VLOOKUP($A464,Bat!$A$4:$BD$2323,I$1,FALSE),VLOOKUP($A464,Pit!$A$4:$AZ$2261,I$2,FALSE))</f>
        <v>R</v>
      </c>
      <c r="J464" s="16" t="str">
        <f>IF($C464="B",VLOOKUP($A464,Bat!$A$4:$BD$2323,J$1,FALSE),VLOOKUP($A464,Pit!$A$4:$AZ$2261,J$2,FALSE))</f>
        <v>Very Low</v>
      </c>
      <c r="K464" s="17" t="str">
        <f>IF($C464="B",VLOOKUP($A464,Bat!$A$4:$BD$2323,K$1,FALSE),VLOOKUP($A464,Pit!$A$4:$AZ$2261,K$2,FALSE))</f>
        <v>Normal</v>
      </c>
      <c r="L464" s="16">
        <f>IF($C464="B",VLOOKUP($A464,Bat!$A$4:$BD$2323,L$1,FALSE),VLOOKUP($A464,Pit!$A$4:$AZ$2261,L$2,FALSE))</f>
        <v>4</v>
      </c>
      <c r="M464" s="16">
        <f>IF($C464="B",VLOOKUP($A464,Bat!$A$4:$BD$2323,M$1,FALSE),VLOOKUP($A464,Pit!$A$4:$AZ$2261,M$2,FALSE))</f>
        <v>4</v>
      </c>
      <c r="N464" s="16">
        <f>IF($C464="B",VLOOKUP($A464,Bat!$A$4:$BD$2323,N$1,FALSE),VLOOKUP($A464,Pit!$A$4:$AZ$2261,N$2,FALSE))</f>
        <v>4</v>
      </c>
      <c r="O464" s="16" t="str">
        <f>IF($C464="B",VLOOKUP($A464,Bat!$A$4:$BD$2323,O$1,FALSE),VLOOKUP($A464,Pit!$A$4:$AZ$2261,O$2,FALSE))</f>
        <v>89-90 Mph</v>
      </c>
      <c r="P464" s="17">
        <f>IF($C464="B",VLOOKUP($A464,Bat!$A$4:$BD$2323,P$1,FALSE),VLOOKUP($A464,Pit!$A$4:$AZ$2261,P$2,FALSE))</f>
        <v>6</v>
      </c>
      <c r="Q464" s="18">
        <f>IF($C464="B",VLOOKUP($A464,Bat!$A$4:$BD$2323,Q$1,FALSE),VLOOKUP($A464,Pit!$A$4:$AZ$2261,Q$2,FALSE))</f>
        <v>23.094158944102276</v>
      </c>
      <c r="R464" s="19">
        <f>IF($C464="B",VLOOKUP($A464,Bat!$A$4:$BD$2323,R$1,FALSE),VLOOKUP($A464,Pit!$A$4:$AZ$2261,R$2,FALSE))</f>
        <v>-0.8595236647375516</v>
      </c>
      <c r="S464" s="20" t="str">
        <f>IF($C464="B",VLOOKUP($A464,Bat!$A$4:$BD$2323,S$1,FALSE),VLOOKUP($A464,Pit!$A$4:$AZ$2261,S$2,FALSE))</f>
        <v>Slot</v>
      </c>
      <c r="T464" s="17" t="str">
        <f>IF(S464="Slot","",VLOOKUP(IF($C464="B",VLOOKUP($A464,Bat!$A$4:$AT$2323,T$1,FALSE),VLOOKUP($A464,Pit!$A$4:$BD$2261,T$2,FALSE)),COND!$A$34:$B$40,2,FALSE))</f>
        <v/>
      </c>
      <c r="U464" s="21">
        <f>IF($C464="B",VLOOKUP($A464,Bat!$A$4:$AR$1287,44,FALSE),VLOOKUP($A464,Pit!$A$4:$BB$1239,54,FALSE))</f>
        <v>0</v>
      </c>
      <c r="W464" s="21">
        <f t="shared" si="30"/>
        <v>0</v>
      </c>
      <c r="X464" s="22" t="e">
        <f t="shared" si="31"/>
        <v>#N/A</v>
      </c>
      <c r="Y464" s="16" t="str">
        <f>IF(ISERROR(VLOOKUP($E464&amp;$F464,Results!$A$2:$G$413,Y$1,FALSE)),"",VLOOKUP($E464&amp;$F464,Results!$A$2:$G$413,Y$1,FALSE))</f>
        <v/>
      </c>
      <c r="Z464" s="16" t="str">
        <f>IF(ISERROR(VLOOKUP($E464&amp;$F464,Results!$A$2:$G$413,Z$1,FALSE)),"",VLOOKUP($E464&amp;$F464,Results!$A$2:$G$413,Z$1,FALSE))</f>
        <v/>
      </c>
      <c r="AA464" s="16" t="str">
        <f>IF(ISERROR(VLOOKUP($E464&amp;$F464,Results!$A$2:$G$413,AA$1,FALSE)),"",VLOOKUP($E464&amp;$F464,Results!$A$2:$G$413,AA$1,FALSE))</f>
        <v/>
      </c>
      <c r="AB464" s="16" t="str">
        <f>IF(ISERROR(VLOOKUP($E464&amp;$F464,Results!$A$2:$G$413,AB$1,FALSE)),"",VLOOKUP($E464&amp;$F464,Results!$A$2:$G$413,AB$1,FALSE))</f>
        <v/>
      </c>
      <c r="AC464" s="16"/>
      <c r="AD464" s="20" t="str">
        <f>IF(ISERROR(VLOOKUP($AB464&amp;"-"&amp;$F464,Bonuses!$B$1:$G$1000,4,FALSE)),"",INT(VLOOKUP($AB464&amp;"-"&amp;$F464,Bonuses!$B$1:$G$1000,4,FALSE)))</f>
        <v/>
      </c>
      <c r="AE464" s="16" t="str">
        <f>IF(ISERROR(VLOOKUP($AB464&amp;"-"&amp;$F464,Bonuses!$B$1:$G$1000,5,FALSE)),"",IF(VLOOKUP($AB464&amp;"-"&amp;$F464,Bonuses!$B$1:$G$1000,5,FALSE)="","",VLOOKUP($AB464&amp;"-"&amp;$F464,Bonuses!$B$1:$G$1000,6,FALSE)&amp;" yrs, "&amp;VLOOKUP($AB464&amp;"-"&amp;$F464,Bonuses!$B$1:$G$1000,5,FALSE)))</f>
        <v/>
      </c>
    </row>
    <row r="465" spans="1:31" s="21" customFormat="1">
      <c r="A465" s="21" t="s">
        <v>593</v>
      </c>
      <c r="B465" s="21">
        <f t="shared" si="28"/>
        <v>1</v>
      </c>
      <c r="C465" s="21" t="str">
        <f t="shared" si="29"/>
        <v>P</v>
      </c>
      <c r="D465" s="17">
        <f>IF($C465="B",VLOOKUP($A465,Bat!$A$4:$BD$2323,D$1,FALSE),VLOOKUP($A465,Pit!$A$4:$AZ$2261,D$2,FALSE))</f>
        <v>5805</v>
      </c>
      <c r="E465" s="16" t="str">
        <f>IF($C465="B",VLOOKUP($A465,Bat!$A$4:$BD$2323,E$1,FALSE),VLOOKUP($A465,Pit!$A$4:$AZ$2261,E$2,FALSE))</f>
        <v>MR</v>
      </c>
      <c r="F465" s="16" t="str">
        <f>IF($C465="B",VLOOKUP($A465,Bat!$A$4:$BD$2323,F$1,FALSE),VLOOKUP($A465,Pit!$A$4:$AZ$2261,F$2,FALSE))</f>
        <v>Mike Landry</v>
      </c>
      <c r="G465" s="16">
        <f>IF($C465="B",VLOOKUP($A465,Bat!$A$4:$BD$2323,G$1,FALSE),VLOOKUP($A465,Pit!$A$4:$AZ$2261,G$2,FALSE))</f>
        <v>21</v>
      </c>
      <c r="H465" s="16" t="str">
        <f>IF($C465="B",VLOOKUP($A465,Bat!$A$4:$BD$2323,H$1,FALSE),VLOOKUP($A465,Pit!$A$4:$AZ$2261,H$2,FALSE))</f>
        <v>L</v>
      </c>
      <c r="I465" s="16" t="str">
        <f>IF($C465="B",VLOOKUP($A465,Bat!$A$4:$BD$2323,I$1,FALSE),VLOOKUP($A465,Pit!$A$4:$AZ$2261,I$2,FALSE))</f>
        <v>L</v>
      </c>
      <c r="J465" s="16" t="str">
        <f>IF($C465="B",VLOOKUP($A465,Bat!$A$4:$BD$2323,J$1,FALSE),VLOOKUP($A465,Pit!$A$4:$AZ$2261,J$2,FALSE))</f>
        <v>Very Low</v>
      </c>
      <c r="K465" s="17" t="str">
        <f>IF($C465="B",VLOOKUP($A465,Bat!$A$4:$BD$2323,K$1,FALSE),VLOOKUP($A465,Pit!$A$4:$AZ$2261,K$2,FALSE))</f>
        <v>Low</v>
      </c>
      <c r="L465" s="16">
        <f>IF($C465="B",VLOOKUP($A465,Bat!$A$4:$BD$2323,L$1,FALSE),VLOOKUP($A465,Pit!$A$4:$AZ$2261,L$2,FALSE))</f>
        <v>4</v>
      </c>
      <c r="M465" s="16">
        <f>IF($C465="B",VLOOKUP($A465,Bat!$A$4:$BD$2323,M$1,FALSE),VLOOKUP($A465,Pit!$A$4:$AZ$2261,M$2,FALSE))</f>
        <v>4</v>
      </c>
      <c r="N465" s="16">
        <f>IF($C465="B",VLOOKUP($A465,Bat!$A$4:$BD$2323,N$1,FALSE),VLOOKUP($A465,Pit!$A$4:$AZ$2261,N$2,FALSE))</f>
        <v>4</v>
      </c>
      <c r="O465" s="16" t="str">
        <f>IF($C465="B",VLOOKUP($A465,Bat!$A$4:$BD$2323,O$1,FALSE),VLOOKUP($A465,Pit!$A$4:$AZ$2261,O$2,FALSE))</f>
        <v>86-88 Mph</v>
      </c>
      <c r="P465" s="17">
        <f>IF($C465="B",VLOOKUP($A465,Bat!$A$4:$BD$2323,P$1,FALSE),VLOOKUP($A465,Pit!$A$4:$AZ$2261,P$2,FALSE))</f>
        <v>8</v>
      </c>
      <c r="Q465" s="18">
        <f>IF($C465="B",VLOOKUP($A465,Bat!$A$4:$BD$2323,Q$1,FALSE),VLOOKUP($A465,Pit!$A$4:$AZ$2261,Q$2,FALSE))</f>
        <v>22.569573469361856</v>
      </c>
      <c r="R465" s="19">
        <f>IF($C465="B",VLOOKUP($A465,Bat!$A$4:$BD$2323,R$1,FALSE),VLOOKUP($A465,Pit!$A$4:$AZ$2261,R$2,FALSE))</f>
        <v>-0.90116869070734462</v>
      </c>
      <c r="S465" s="20" t="str">
        <f>IF($C465="B",VLOOKUP($A465,Bat!$A$4:$BD$2323,S$1,FALSE),VLOOKUP($A465,Pit!$A$4:$AZ$2261,S$2,FALSE))</f>
        <v>Slot</v>
      </c>
      <c r="T465" s="17" t="str">
        <f>IF(S465="Slot","",VLOOKUP(IF($C465="B",VLOOKUP($A465,Bat!$A$4:$AT$2323,T$1,FALSE),VLOOKUP($A465,Pit!$A$4:$BD$2261,T$2,FALSE)),COND!$A$34:$B$40,2,FALSE))</f>
        <v/>
      </c>
      <c r="U465" s="21">
        <f>IF($C465="B",VLOOKUP($A465,Bat!$A$4:$AR$1287,44,FALSE),VLOOKUP($A465,Pit!$A$4:$BB$1239,54,FALSE))</f>
        <v>0</v>
      </c>
      <c r="W465" s="21">
        <f t="shared" si="30"/>
        <v>0</v>
      </c>
      <c r="X465" s="22" t="e">
        <f t="shared" si="31"/>
        <v>#N/A</v>
      </c>
      <c r="Y465" s="16" t="str">
        <f>IF(ISERROR(VLOOKUP($E465&amp;$F465,Results!$A$2:$G$413,Y$1,FALSE)),"",VLOOKUP($E465&amp;$F465,Results!$A$2:$G$413,Y$1,FALSE))</f>
        <v/>
      </c>
      <c r="Z465" s="16" t="str">
        <f>IF(ISERROR(VLOOKUP($E465&amp;$F465,Results!$A$2:$G$413,Z$1,FALSE)),"",VLOOKUP($E465&amp;$F465,Results!$A$2:$G$413,Z$1,FALSE))</f>
        <v/>
      </c>
      <c r="AA465" s="16" t="str">
        <f>IF(ISERROR(VLOOKUP($E465&amp;$F465,Results!$A$2:$G$413,AA$1,FALSE)),"",VLOOKUP($E465&amp;$F465,Results!$A$2:$G$413,AA$1,FALSE))</f>
        <v/>
      </c>
      <c r="AB465" s="16" t="str">
        <f>IF(ISERROR(VLOOKUP($E465&amp;$F465,Results!$A$2:$G$413,AB$1,FALSE)),"",VLOOKUP($E465&amp;$F465,Results!$A$2:$G$413,AB$1,FALSE))</f>
        <v/>
      </c>
      <c r="AC465" s="16"/>
      <c r="AD465" s="20" t="str">
        <f>IF(ISERROR(VLOOKUP($AB465&amp;"-"&amp;$F465,Bonuses!$B$1:$G$1000,4,FALSE)),"",INT(VLOOKUP($AB465&amp;"-"&amp;$F465,Bonuses!$B$1:$G$1000,4,FALSE)))</f>
        <v/>
      </c>
      <c r="AE465" s="16" t="str">
        <f>IF(ISERROR(VLOOKUP($AB465&amp;"-"&amp;$F465,Bonuses!$B$1:$G$1000,5,FALSE)),"",IF(VLOOKUP($AB465&amp;"-"&amp;$F465,Bonuses!$B$1:$G$1000,5,FALSE)="","",VLOOKUP($AB465&amp;"-"&amp;$F465,Bonuses!$B$1:$G$1000,6,FALSE)&amp;" yrs, "&amp;VLOOKUP($AB465&amp;"-"&amp;$F465,Bonuses!$B$1:$G$1000,5,FALSE)))</f>
        <v/>
      </c>
    </row>
    <row r="466" spans="1:31" s="21" customFormat="1">
      <c r="A466" s="21" t="s">
        <v>587</v>
      </c>
      <c r="B466" s="21">
        <f t="shared" si="28"/>
        <v>1</v>
      </c>
      <c r="C466" s="21" t="str">
        <f t="shared" si="29"/>
        <v>P</v>
      </c>
      <c r="D466" s="17">
        <f>IF($C466="B",VLOOKUP($A466,Bat!$A$4:$BD$2323,D$1,FALSE),VLOOKUP($A466,Pit!$A$4:$AZ$2261,D$2,FALSE))</f>
        <v>13850</v>
      </c>
      <c r="E466" s="16" t="str">
        <f>IF($C466="B",VLOOKUP($A466,Bat!$A$4:$BD$2323,E$1,FALSE),VLOOKUP($A466,Pit!$A$4:$AZ$2261,E$2,FALSE))</f>
        <v>SP</v>
      </c>
      <c r="F466" s="16" t="str">
        <f>IF($C466="B",VLOOKUP($A466,Bat!$A$4:$BD$2323,F$1,FALSE),VLOOKUP($A466,Pit!$A$4:$AZ$2261,F$2,FALSE))</f>
        <v>Bob Larsen</v>
      </c>
      <c r="G466" s="16">
        <f>IF($C466="B",VLOOKUP($A466,Bat!$A$4:$BD$2323,G$1,FALSE),VLOOKUP($A466,Pit!$A$4:$AZ$2261,G$2,FALSE))</f>
        <v>18</v>
      </c>
      <c r="H466" s="16" t="str">
        <f>IF($C466="B",VLOOKUP($A466,Bat!$A$4:$BD$2323,H$1,FALSE),VLOOKUP($A466,Pit!$A$4:$AZ$2261,H$2,FALSE))</f>
        <v>R</v>
      </c>
      <c r="I466" s="16" t="str">
        <f>IF($C466="B",VLOOKUP($A466,Bat!$A$4:$BD$2323,I$1,FALSE),VLOOKUP($A466,Pit!$A$4:$AZ$2261,I$2,FALSE))</f>
        <v>R</v>
      </c>
      <c r="J466" s="16" t="str">
        <f>IF($C466="B",VLOOKUP($A466,Bat!$A$4:$BD$2323,J$1,FALSE),VLOOKUP($A466,Pit!$A$4:$AZ$2261,J$2,FALSE))</f>
        <v>Low</v>
      </c>
      <c r="K466" s="17" t="str">
        <f>IF($C466="B",VLOOKUP($A466,Bat!$A$4:$BD$2323,K$1,FALSE),VLOOKUP($A466,Pit!$A$4:$AZ$2261,K$2,FALSE))</f>
        <v>Normal</v>
      </c>
      <c r="L466" s="16">
        <f>IF($C466="B",VLOOKUP($A466,Bat!$A$4:$BD$2323,L$1,FALSE),VLOOKUP($A466,Pit!$A$4:$AZ$2261,L$2,FALSE))</f>
        <v>4</v>
      </c>
      <c r="M466" s="16">
        <f>IF($C466="B",VLOOKUP($A466,Bat!$A$4:$BD$2323,M$1,FALSE),VLOOKUP($A466,Pit!$A$4:$AZ$2261,M$2,FALSE))</f>
        <v>4</v>
      </c>
      <c r="N466" s="16">
        <f>IF($C466="B",VLOOKUP($A466,Bat!$A$4:$BD$2323,N$1,FALSE),VLOOKUP($A466,Pit!$A$4:$AZ$2261,N$2,FALSE))</f>
        <v>4</v>
      </c>
      <c r="O466" s="16" t="str">
        <f>IF($C466="B",VLOOKUP($A466,Bat!$A$4:$BD$2323,O$1,FALSE),VLOOKUP($A466,Pit!$A$4:$AZ$2261,O$2,FALSE))</f>
        <v>90-92 Mph</v>
      </c>
      <c r="P466" s="17">
        <f>IF($C466="B",VLOOKUP($A466,Bat!$A$4:$BD$2323,P$1,FALSE),VLOOKUP($A466,Pit!$A$4:$AZ$2261,P$2,FALSE))</f>
        <v>3</v>
      </c>
      <c r="Q466" s="18">
        <f>IF($C466="B",VLOOKUP($A466,Bat!$A$4:$BD$2323,Q$1,FALSE),VLOOKUP($A466,Pit!$A$4:$AZ$2261,Q$2,FALSE))</f>
        <v>23.970590766048371</v>
      </c>
      <c r="R466" s="19">
        <f>IF($C466="B",VLOOKUP($A466,Bat!$A$4:$BD$2323,R$1,FALSE),VLOOKUP($A466,Pit!$A$4:$AZ$2261,R$2,FALSE))</f>
        <v>-0.78994677452007289</v>
      </c>
      <c r="S466" s="20">
        <f>IF($C466="B",VLOOKUP($A466,Bat!$A$4:$BD$2323,S$1,FALSE),VLOOKUP($A466,Pit!$A$4:$AZ$2261,S$2,FALSE))</f>
        <v>2100000</v>
      </c>
      <c r="T466" s="17" t="str">
        <f>IF(S466="Slot","",VLOOKUP(IF($C466="B",VLOOKUP($A466,Bat!$A$4:$AT$2323,T$1,FALSE),VLOOKUP($A466,Pit!$A$4:$BD$2261,T$2,FALSE)),COND!$A$34:$B$40,2,FALSE))</f>
        <v>EH</v>
      </c>
      <c r="U466" s="21">
        <f>IF($C466="B",VLOOKUP($A466,Bat!$A$4:$AR$1287,44,FALSE),VLOOKUP($A466,Pit!$A$4:$BB$1239,54,FALSE))</f>
        <v>0</v>
      </c>
      <c r="W466" s="21">
        <f t="shared" si="30"/>
        <v>0</v>
      </c>
      <c r="X466" s="22" t="e">
        <f t="shared" si="31"/>
        <v>#N/A</v>
      </c>
      <c r="Y466" s="16" t="str">
        <f>IF(ISERROR(VLOOKUP($E466&amp;$F466,Results!$A$2:$G$413,Y$1,FALSE)),"",VLOOKUP($E466&amp;$F466,Results!$A$2:$G$413,Y$1,FALSE))</f>
        <v/>
      </c>
      <c r="Z466" s="16" t="str">
        <f>IF(ISERROR(VLOOKUP($E466&amp;$F466,Results!$A$2:$G$413,Z$1,FALSE)),"",VLOOKUP($E466&amp;$F466,Results!$A$2:$G$413,Z$1,FALSE))</f>
        <v/>
      </c>
      <c r="AA466" s="16" t="str">
        <f>IF(ISERROR(VLOOKUP($E466&amp;$F466,Results!$A$2:$G$413,AA$1,FALSE)),"",VLOOKUP($E466&amp;$F466,Results!$A$2:$G$413,AA$1,FALSE))</f>
        <v/>
      </c>
      <c r="AB466" s="16" t="str">
        <f>IF(ISERROR(VLOOKUP($E466&amp;$F466,Results!$A$2:$G$413,AB$1,FALSE)),"",VLOOKUP($E466&amp;$F466,Results!$A$2:$G$413,AB$1,FALSE))</f>
        <v/>
      </c>
      <c r="AC466" s="16"/>
      <c r="AD466" s="20" t="str">
        <f>IF(ISERROR(VLOOKUP($AB466&amp;"-"&amp;$F466,Bonuses!$B$1:$G$1000,4,FALSE)),"",INT(VLOOKUP($AB466&amp;"-"&amp;$F466,Bonuses!$B$1:$G$1000,4,FALSE)))</f>
        <v/>
      </c>
      <c r="AE466" s="16" t="str">
        <f>IF(ISERROR(VLOOKUP($AB466&amp;"-"&amp;$F466,Bonuses!$B$1:$G$1000,5,FALSE)),"",IF(VLOOKUP($AB466&amp;"-"&amp;$F466,Bonuses!$B$1:$G$1000,5,FALSE)="","",VLOOKUP($AB466&amp;"-"&amp;$F466,Bonuses!$B$1:$G$1000,6,FALSE)&amp;" yrs, "&amp;VLOOKUP($AB466&amp;"-"&amp;$F466,Bonuses!$B$1:$G$1000,5,FALSE)))</f>
        <v/>
      </c>
    </row>
    <row r="467" spans="1:31" s="21" customFormat="1">
      <c r="A467" s="21" t="s">
        <v>591</v>
      </c>
      <c r="B467" s="21">
        <f t="shared" si="28"/>
        <v>1</v>
      </c>
      <c r="C467" s="21" t="str">
        <f t="shared" si="29"/>
        <v>P</v>
      </c>
      <c r="D467" s="17">
        <f>IF($C467="B",VLOOKUP($A467,Bat!$A$4:$BD$2323,D$1,FALSE),VLOOKUP($A467,Pit!$A$4:$AZ$2261,D$2,FALSE))</f>
        <v>4159</v>
      </c>
      <c r="E467" s="16" t="str">
        <f>IF($C467="B",VLOOKUP($A467,Bat!$A$4:$BD$2323,E$1,FALSE),VLOOKUP($A467,Pit!$A$4:$AZ$2261,E$2,FALSE))</f>
        <v>MR</v>
      </c>
      <c r="F467" s="16" t="str">
        <f>IF($C467="B",VLOOKUP($A467,Bat!$A$4:$BD$2323,F$1,FALSE),VLOOKUP($A467,Pit!$A$4:$AZ$2261,F$2,FALSE))</f>
        <v>Brooks Bates</v>
      </c>
      <c r="G467" s="16">
        <f>IF($C467="B",VLOOKUP($A467,Bat!$A$4:$BD$2323,G$1,FALSE),VLOOKUP($A467,Pit!$A$4:$AZ$2261,G$2,FALSE))</f>
        <v>21</v>
      </c>
      <c r="H467" s="16" t="str">
        <f>IF($C467="B",VLOOKUP($A467,Bat!$A$4:$BD$2323,H$1,FALSE),VLOOKUP($A467,Pit!$A$4:$AZ$2261,H$2,FALSE))</f>
        <v>R</v>
      </c>
      <c r="I467" s="16" t="str">
        <f>IF($C467="B",VLOOKUP($A467,Bat!$A$4:$BD$2323,I$1,FALSE),VLOOKUP($A467,Pit!$A$4:$AZ$2261,I$2,FALSE))</f>
        <v>R</v>
      </c>
      <c r="J467" s="16" t="str">
        <f>IF($C467="B",VLOOKUP($A467,Bat!$A$4:$BD$2323,J$1,FALSE),VLOOKUP($A467,Pit!$A$4:$AZ$2261,J$2,FALSE))</f>
        <v>Low</v>
      </c>
      <c r="K467" s="17" t="str">
        <f>IF($C467="B",VLOOKUP($A467,Bat!$A$4:$BD$2323,K$1,FALSE),VLOOKUP($A467,Pit!$A$4:$AZ$2261,K$2,FALSE))</f>
        <v>Low</v>
      </c>
      <c r="L467" s="16">
        <f>IF($C467="B",VLOOKUP($A467,Bat!$A$4:$BD$2323,L$1,FALSE),VLOOKUP($A467,Pit!$A$4:$AZ$2261,L$2,FALSE))</f>
        <v>4</v>
      </c>
      <c r="M467" s="16">
        <f>IF($C467="B",VLOOKUP($A467,Bat!$A$4:$BD$2323,M$1,FALSE),VLOOKUP($A467,Pit!$A$4:$AZ$2261,M$2,FALSE))</f>
        <v>4</v>
      </c>
      <c r="N467" s="16">
        <f>IF($C467="B",VLOOKUP($A467,Bat!$A$4:$BD$2323,N$1,FALSE),VLOOKUP($A467,Pit!$A$4:$AZ$2261,N$2,FALSE))</f>
        <v>4</v>
      </c>
      <c r="O467" s="16" t="str">
        <f>IF($C467="B",VLOOKUP($A467,Bat!$A$4:$BD$2323,O$1,FALSE),VLOOKUP($A467,Pit!$A$4:$AZ$2261,O$2,FALSE))</f>
        <v>92-94 Mph</v>
      </c>
      <c r="P467" s="17">
        <f>IF($C467="B",VLOOKUP($A467,Bat!$A$4:$BD$2323,P$1,FALSE),VLOOKUP($A467,Pit!$A$4:$AZ$2261,P$2,FALSE))</f>
        <v>3</v>
      </c>
      <c r="Q467" s="18">
        <f>IF($C467="B",VLOOKUP($A467,Bat!$A$4:$BD$2323,Q$1,FALSE),VLOOKUP($A467,Pit!$A$4:$AZ$2261,Q$2,FALSE))</f>
        <v>23.340614376912136</v>
      </c>
      <c r="R467" s="19">
        <f>IF($C467="B",VLOOKUP($A467,Bat!$A$4:$BD$2323,R$1,FALSE),VLOOKUP($A467,Pit!$A$4:$AZ$2261,R$2,FALSE))</f>
        <v>-0.8399584205705416</v>
      </c>
      <c r="S467" s="20" t="str">
        <f>IF($C467="B",VLOOKUP($A467,Bat!$A$4:$BD$2323,S$1,FALSE),VLOOKUP($A467,Pit!$A$4:$AZ$2261,S$2,FALSE))</f>
        <v>Slot</v>
      </c>
      <c r="T467" s="17" t="str">
        <f>IF(S467="Slot","",VLOOKUP(IF($C467="B",VLOOKUP($A467,Bat!$A$4:$AT$2323,T$1,FALSE),VLOOKUP($A467,Pit!$A$4:$BD$2261,T$2,FALSE)),COND!$A$34:$B$40,2,FALSE))</f>
        <v/>
      </c>
      <c r="U467" s="21">
        <f>IF($C467="B",VLOOKUP($A467,Bat!$A$4:$AR$1287,44,FALSE),VLOOKUP($A467,Pit!$A$4:$BB$1239,54,FALSE))</f>
        <v>0</v>
      </c>
      <c r="W467" s="21">
        <f t="shared" si="30"/>
        <v>0</v>
      </c>
      <c r="X467" s="22" t="e">
        <f t="shared" si="31"/>
        <v>#N/A</v>
      </c>
      <c r="Y467" s="16" t="str">
        <f>IF(ISERROR(VLOOKUP($E467&amp;$F467,Results!$A$2:$G$413,Y$1,FALSE)),"",VLOOKUP($E467&amp;$F467,Results!$A$2:$G$413,Y$1,FALSE))</f>
        <v/>
      </c>
      <c r="Z467" s="16" t="str">
        <f>IF(ISERROR(VLOOKUP($E467&amp;$F467,Results!$A$2:$G$413,Z$1,FALSE)),"",VLOOKUP($E467&amp;$F467,Results!$A$2:$G$413,Z$1,FALSE))</f>
        <v/>
      </c>
      <c r="AA467" s="16" t="str">
        <f>IF(ISERROR(VLOOKUP($E467&amp;$F467,Results!$A$2:$G$413,AA$1,FALSE)),"",VLOOKUP($E467&amp;$F467,Results!$A$2:$G$413,AA$1,FALSE))</f>
        <v/>
      </c>
      <c r="AB467" s="16" t="str">
        <f>IF(ISERROR(VLOOKUP($E467&amp;$F467,Results!$A$2:$G$413,AB$1,FALSE)),"",VLOOKUP($E467&amp;$F467,Results!$A$2:$G$413,AB$1,FALSE))</f>
        <v/>
      </c>
      <c r="AC467" s="16"/>
      <c r="AD467" s="20" t="str">
        <f>IF(ISERROR(VLOOKUP($AB467&amp;"-"&amp;$F467,Bonuses!$B$1:$G$1000,4,FALSE)),"",INT(VLOOKUP($AB467&amp;"-"&amp;$F467,Bonuses!$B$1:$G$1000,4,FALSE)))</f>
        <v/>
      </c>
      <c r="AE467" s="16" t="str">
        <f>IF(ISERROR(VLOOKUP($AB467&amp;"-"&amp;$F467,Bonuses!$B$1:$G$1000,5,FALSE)),"",IF(VLOOKUP($AB467&amp;"-"&amp;$F467,Bonuses!$B$1:$G$1000,5,FALSE)="","",VLOOKUP($AB467&amp;"-"&amp;$F467,Bonuses!$B$1:$G$1000,6,FALSE)&amp;" yrs, "&amp;VLOOKUP($AB467&amp;"-"&amp;$F467,Bonuses!$B$1:$G$1000,5,FALSE)))</f>
        <v/>
      </c>
    </row>
    <row r="468" spans="1:31" s="21" customFormat="1">
      <c r="A468" s="21" t="s">
        <v>589</v>
      </c>
      <c r="B468" s="21">
        <f t="shared" si="28"/>
        <v>1</v>
      </c>
      <c r="C468" s="21" t="str">
        <f t="shared" si="29"/>
        <v>P</v>
      </c>
      <c r="D468" s="17">
        <f>IF($C468="B",VLOOKUP($A468,Bat!$A$4:$BD$2323,D$1,FALSE),VLOOKUP($A468,Pit!$A$4:$AZ$2261,D$2,FALSE))</f>
        <v>13789</v>
      </c>
      <c r="E468" s="16" t="str">
        <f>IF($C468="B",VLOOKUP($A468,Bat!$A$4:$BD$2323,E$1,FALSE),VLOOKUP($A468,Pit!$A$4:$AZ$2261,E$2,FALSE))</f>
        <v>MR</v>
      </c>
      <c r="F468" s="16" t="str">
        <f>IF($C468="B",VLOOKUP($A468,Bat!$A$4:$BD$2323,F$1,FALSE),VLOOKUP($A468,Pit!$A$4:$AZ$2261,F$2,FALSE))</f>
        <v>Juan Medina</v>
      </c>
      <c r="G468" s="16">
        <f>IF($C468="B",VLOOKUP($A468,Bat!$A$4:$BD$2323,G$1,FALSE),VLOOKUP($A468,Pit!$A$4:$AZ$2261,G$2,FALSE))</f>
        <v>18</v>
      </c>
      <c r="H468" s="16" t="str">
        <f>IF($C468="B",VLOOKUP($A468,Bat!$A$4:$BD$2323,H$1,FALSE),VLOOKUP($A468,Pit!$A$4:$AZ$2261,H$2,FALSE))</f>
        <v>L</v>
      </c>
      <c r="I468" s="16" t="str">
        <f>IF($C468="B",VLOOKUP($A468,Bat!$A$4:$BD$2323,I$1,FALSE),VLOOKUP($A468,Pit!$A$4:$AZ$2261,I$2,FALSE))</f>
        <v>L</v>
      </c>
      <c r="J468" s="16" t="str">
        <f>IF($C468="B",VLOOKUP($A468,Bat!$A$4:$BD$2323,J$1,FALSE),VLOOKUP($A468,Pit!$A$4:$AZ$2261,J$2,FALSE))</f>
        <v>Normal</v>
      </c>
      <c r="K468" s="17" t="str">
        <f>IF($C468="B",VLOOKUP($A468,Bat!$A$4:$BD$2323,K$1,FALSE),VLOOKUP($A468,Pit!$A$4:$AZ$2261,K$2,FALSE))</f>
        <v>Normal</v>
      </c>
      <c r="L468" s="16">
        <f>IF($C468="B",VLOOKUP($A468,Bat!$A$4:$BD$2323,L$1,FALSE),VLOOKUP($A468,Pit!$A$4:$AZ$2261,L$2,FALSE))</f>
        <v>3</v>
      </c>
      <c r="M468" s="16">
        <f>IF($C468="B",VLOOKUP($A468,Bat!$A$4:$BD$2323,M$1,FALSE),VLOOKUP($A468,Pit!$A$4:$AZ$2261,M$2,FALSE))</f>
        <v>4</v>
      </c>
      <c r="N468" s="16">
        <f>IF($C468="B",VLOOKUP($A468,Bat!$A$4:$BD$2323,N$1,FALSE),VLOOKUP($A468,Pit!$A$4:$AZ$2261,N$2,FALSE))</f>
        <v>4</v>
      </c>
      <c r="O468" s="16" t="str">
        <f>IF($C468="B",VLOOKUP($A468,Bat!$A$4:$BD$2323,O$1,FALSE),VLOOKUP($A468,Pit!$A$4:$AZ$2261,O$2,FALSE))</f>
        <v>82-84 Mph</v>
      </c>
      <c r="P468" s="17">
        <f>IF($C468="B",VLOOKUP($A468,Bat!$A$4:$BD$2323,P$1,FALSE),VLOOKUP($A468,Pit!$A$4:$AZ$2261,P$2,FALSE))</f>
        <v>7</v>
      </c>
      <c r="Q468" s="18">
        <f>IF($C468="B",VLOOKUP($A468,Bat!$A$4:$BD$2323,Q$1,FALSE),VLOOKUP($A468,Pit!$A$4:$AZ$2261,Q$2,FALSE))</f>
        <v>23.933468012010245</v>
      </c>
      <c r="R468" s="19">
        <f>IF($C468="B",VLOOKUP($A468,Bat!$A$4:$BD$2323,R$1,FALSE),VLOOKUP($A468,Pit!$A$4:$AZ$2261,R$2,FALSE))</f>
        <v>-0.79289382153229337</v>
      </c>
      <c r="S468" s="20" t="str">
        <f>IF($C468="B",VLOOKUP($A468,Bat!$A$4:$BD$2323,S$1,FALSE),VLOOKUP($A468,Pit!$A$4:$AZ$2261,S$2,FALSE))</f>
        <v>Slot</v>
      </c>
      <c r="T468" s="17" t="str">
        <f>IF(S468="Slot","",VLOOKUP(IF($C468="B",VLOOKUP($A468,Bat!$A$4:$AT$2323,T$1,FALSE),VLOOKUP($A468,Pit!$A$4:$BD$2261,T$2,FALSE)),COND!$A$34:$B$40,2,FALSE))</f>
        <v/>
      </c>
      <c r="U468" s="21">
        <f>IF($C468="B",VLOOKUP($A468,Bat!$A$4:$AR$1287,44,FALSE),VLOOKUP($A468,Pit!$A$4:$BB$1239,54,FALSE))</f>
        <v>0</v>
      </c>
      <c r="W468" s="21">
        <f t="shared" si="30"/>
        <v>0</v>
      </c>
      <c r="X468" s="22" t="e">
        <f t="shared" si="31"/>
        <v>#N/A</v>
      </c>
      <c r="Y468" s="16" t="str">
        <f>IF(ISERROR(VLOOKUP($E468&amp;$F468,Results!$A$2:$G$413,Y$1,FALSE)),"",VLOOKUP($E468&amp;$F468,Results!$A$2:$G$413,Y$1,FALSE))</f>
        <v/>
      </c>
      <c r="Z468" s="16" t="str">
        <f>IF(ISERROR(VLOOKUP($E468&amp;$F468,Results!$A$2:$G$413,Z$1,FALSE)),"",VLOOKUP($E468&amp;$F468,Results!$A$2:$G$413,Z$1,FALSE))</f>
        <v/>
      </c>
      <c r="AA468" s="16" t="str">
        <f>IF(ISERROR(VLOOKUP($E468&amp;$F468,Results!$A$2:$G$413,AA$1,FALSE)),"",VLOOKUP($E468&amp;$F468,Results!$A$2:$G$413,AA$1,FALSE))</f>
        <v/>
      </c>
      <c r="AB468" s="16" t="str">
        <f>IF(ISERROR(VLOOKUP($E468&amp;$F468,Results!$A$2:$G$413,AB$1,FALSE)),"",VLOOKUP($E468&amp;$F468,Results!$A$2:$G$413,AB$1,FALSE))</f>
        <v/>
      </c>
      <c r="AC468" s="16"/>
      <c r="AD468" s="20" t="str">
        <f>IF(ISERROR(VLOOKUP($AB468&amp;"-"&amp;$F468,Bonuses!$B$1:$G$1000,4,FALSE)),"",INT(VLOOKUP($AB468&amp;"-"&amp;$F468,Bonuses!$B$1:$G$1000,4,FALSE)))</f>
        <v/>
      </c>
      <c r="AE468" s="16" t="str">
        <f>IF(ISERROR(VLOOKUP($AB468&amp;"-"&amp;$F468,Bonuses!$B$1:$G$1000,5,FALSE)),"",IF(VLOOKUP($AB468&amp;"-"&amp;$F468,Bonuses!$B$1:$G$1000,5,FALSE)="","",VLOOKUP($AB468&amp;"-"&amp;$F468,Bonuses!$B$1:$G$1000,6,FALSE)&amp;" yrs, "&amp;VLOOKUP($AB468&amp;"-"&amp;$F468,Bonuses!$B$1:$G$1000,5,FALSE)))</f>
        <v/>
      </c>
    </row>
    <row r="469" spans="1:31" s="21" customFormat="1">
      <c r="A469" s="21" t="s">
        <v>688</v>
      </c>
      <c r="B469" s="21">
        <f t="shared" si="28"/>
        <v>1</v>
      </c>
      <c r="C469" s="21" t="str">
        <f t="shared" si="29"/>
        <v>P</v>
      </c>
      <c r="D469" s="17">
        <f>IF($C469="B",VLOOKUP($A469,Bat!$A$4:$BD$2323,D$1,FALSE),VLOOKUP($A469,Pit!$A$4:$AZ$2261,D$2,FALSE))</f>
        <v>2675</v>
      </c>
      <c r="E469" s="16" t="str">
        <f>IF($C469="B",VLOOKUP($A469,Bat!$A$4:$BD$2323,E$1,FALSE),VLOOKUP($A469,Pit!$A$4:$AZ$2261,E$2,FALSE))</f>
        <v>MR</v>
      </c>
      <c r="F469" s="16" t="str">
        <f>IF($C469="B",VLOOKUP($A469,Bat!$A$4:$BD$2323,F$1,FALSE),VLOOKUP($A469,Pit!$A$4:$AZ$2261,F$2,FALSE))</f>
        <v>Jeff Nolan</v>
      </c>
      <c r="G469" s="16">
        <f>IF($C469="B",VLOOKUP($A469,Bat!$A$4:$BD$2323,G$1,FALSE),VLOOKUP($A469,Pit!$A$4:$AZ$2261,G$2,FALSE))</f>
        <v>21</v>
      </c>
      <c r="H469" s="16" t="str">
        <f>IF($C469="B",VLOOKUP($A469,Bat!$A$4:$BD$2323,H$1,FALSE),VLOOKUP($A469,Pit!$A$4:$AZ$2261,H$2,FALSE))</f>
        <v>L</v>
      </c>
      <c r="I469" s="16" t="str">
        <f>IF($C469="B",VLOOKUP($A469,Bat!$A$4:$BD$2323,I$1,FALSE),VLOOKUP($A469,Pit!$A$4:$AZ$2261,I$2,FALSE))</f>
        <v>R</v>
      </c>
      <c r="J469" s="16" t="str">
        <f>IF($C469="B",VLOOKUP($A469,Bat!$A$4:$BD$2323,J$1,FALSE),VLOOKUP($A469,Pit!$A$4:$AZ$2261,J$2,FALSE))</f>
        <v>High</v>
      </c>
      <c r="K469" s="17" t="str">
        <f>IF($C469="B",VLOOKUP($A469,Bat!$A$4:$BD$2323,K$1,FALSE),VLOOKUP($A469,Pit!$A$4:$AZ$2261,K$2,FALSE))</f>
        <v>High</v>
      </c>
      <c r="L469" s="16">
        <f>IF($C469="B",VLOOKUP($A469,Bat!$A$4:$BD$2323,L$1,FALSE),VLOOKUP($A469,Pit!$A$4:$AZ$2261,L$2,FALSE))</f>
        <v>4</v>
      </c>
      <c r="M469" s="16">
        <f>IF($C469="B",VLOOKUP($A469,Bat!$A$4:$BD$2323,M$1,FALSE),VLOOKUP($A469,Pit!$A$4:$AZ$2261,M$2,FALSE))</f>
        <v>3</v>
      </c>
      <c r="N469" s="16">
        <f>IF($C469="B",VLOOKUP($A469,Bat!$A$4:$BD$2323,N$1,FALSE),VLOOKUP($A469,Pit!$A$4:$AZ$2261,N$2,FALSE))</f>
        <v>4</v>
      </c>
      <c r="O469" s="16" t="str">
        <f>IF($C469="B",VLOOKUP($A469,Bat!$A$4:$BD$2323,O$1,FALSE),VLOOKUP($A469,Pit!$A$4:$AZ$2261,O$2,FALSE))</f>
        <v>94-96 Mph</v>
      </c>
      <c r="P469" s="17">
        <f>IF($C469="B",VLOOKUP($A469,Bat!$A$4:$BD$2323,P$1,FALSE),VLOOKUP($A469,Pit!$A$4:$AZ$2261,P$2,FALSE))</f>
        <v>6</v>
      </c>
      <c r="Q469" s="18">
        <f>IF($C469="B",VLOOKUP($A469,Bat!$A$4:$BD$2323,Q$1,FALSE),VLOOKUP($A469,Pit!$A$4:$AZ$2261,Q$2,FALSE))</f>
        <v>24.828306178210184</v>
      </c>
      <c r="R469" s="19">
        <f>IF($C469="B",VLOOKUP($A469,Bat!$A$4:$BD$2323,R$1,FALSE),VLOOKUP($A469,Pit!$A$4:$AZ$2261,R$2,FALSE))</f>
        <v>-0.72185571532357973</v>
      </c>
      <c r="S469" s="20" t="str">
        <f>IF($C469="B",VLOOKUP($A469,Bat!$A$4:$BD$2323,S$1,FALSE),VLOOKUP($A469,Pit!$A$4:$AZ$2261,S$2,FALSE))</f>
        <v>Slot</v>
      </c>
      <c r="T469" s="17" t="str">
        <f>IF(S469="Slot","",VLOOKUP(IF($C469="B",VLOOKUP($A469,Bat!$A$4:$AT$2323,T$1,FALSE),VLOOKUP($A469,Pit!$A$4:$BD$2261,T$2,FALSE)),COND!$A$34:$B$40,2,FALSE))</f>
        <v/>
      </c>
      <c r="U469" s="21">
        <f>IF($C469="B",VLOOKUP($A469,Bat!$A$4:$AR$1287,44,FALSE),VLOOKUP($A469,Pit!$A$4:$BB$1239,54,FALSE))</f>
        <v>0</v>
      </c>
      <c r="W469" s="21">
        <f t="shared" si="30"/>
        <v>0</v>
      </c>
      <c r="X469" s="22" t="e">
        <f t="shared" si="31"/>
        <v>#N/A</v>
      </c>
      <c r="Y469" s="16" t="str">
        <f>IF(ISERROR(VLOOKUP($E469&amp;$F469,Results!$A$2:$G$413,Y$1,FALSE)),"",VLOOKUP($E469&amp;$F469,Results!$A$2:$G$413,Y$1,FALSE))</f>
        <v/>
      </c>
      <c r="Z469" s="16" t="str">
        <f>IF(ISERROR(VLOOKUP($E469&amp;$F469,Results!$A$2:$G$413,Z$1,FALSE)),"",VLOOKUP($E469&amp;$F469,Results!$A$2:$G$413,Z$1,FALSE))</f>
        <v/>
      </c>
      <c r="AA469" s="16" t="str">
        <f>IF(ISERROR(VLOOKUP($E469&amp;$F469,Results!$A$2:$G$413,AA$1,FALSE)),"",VLOOKUP($E469&amp;$F469,Results!$A$2:$G$413,AA$1,FALSE))</f>
        <v/>
      </c>
      <c r="AB469" s="16" t="str">
        <f>IF(ISERROR(VLOOKUP($E469&amp;$F469,Results!$A$2:$G$413,AB$1,FALSE)),"",VLOOKUP($E469&amp;$F469,Results!$A$2:$G$413,AB$1,FALSE))</f>
        <v/>
      </c>
      <c r="AC469" s="16"/>
      <c r="AD469" s="20" t="str">
        <f>IF(ISERROR(VLOOKUP($AB469&amp;"-"&amp;$F469,Bonuses!$B$1:$G$1000,4,FALSE)),"",INT(VLOOKUP($AB469&amp;"-"&amp;$F469,Bonuses!$B$1:$G$1000,4,FALSE)))</f>
        <v/>
      </c>
      <c r="AE469" s="16" t="str">
        <f>IF(ISERROR(VLOOKUP($AB469&amp;"-"&amp;$F469,Bonuses!$B$1:$G$1000,5,FALSE)),"",IF(VLOOKUP($AB469&amp;"-"&amp;$F469,Bonuses!$B$1:$G$1000,5,FALSE)="","",VLOOKUP($AB469&amp;"-"&amp;$F469,Bonuses!$B$1:$G$1000,6,FALSE)&amp;" yrs, "&amp;VLOOKUP($AB469&amp;"-"&amp;$F469,Bonuses!$B$1:$G$1000,5,FALSE)))</f>
        <v/>
      </c>
    </row>
    <row r="470" spans="1:31" s="21" customFormat="1">
      <c r="A470" s="21" t="s">
        <v>575</v>
      </c>
      <c r="B470" s="21">
        <f t="shared" si="28"/>
        <v>1</v>
      </c>
      <c r="C470" s="21" t="str">
        <f t="shared" si="29"/>
        <v>P</v>
      </c>
      <c r="D470" s="17">
        <f>IF($C470="B",VLOOKUP($A470,Bat!$A$4:$BD$2323,D$1,FALSE),VLOOKUP($A470,Pit!$A$4:$AZ$2261,D$2,FALSE))</f>
        <v>2135</v>
      </c>
      <c r="E470" s="16" t="str">
        <f>IF($C470="B",VLOOKUP($A470,Bat!$A$4:$BD$2323,E$1,FALSE),VLOOKUP($A470,Pit!$A$4:$AZ$2261,E$2,FALSE))</f>
        <v>MR</v>
      </c>
      <c r="F470" s="16" t="str">
        <f>IF($C470="B",VLOOKUP($A470,Bat!$A$4:$BD$2323,F$1,FALSE),VLOOKUP($A470,Pit!$A$4:$AZ$2261,F$2,FALSE))</f>
        <v>Dave Bass</v>
      </c>
      <c r="G470" s="16">
        <f>IF($C470="B",VLOOKUP($A470,Bat!$A$4:$BD$2323,G$1,FALSE),VLOOKUP($A470,Pit!$A$4:$AZ$2261,G$2,FALSE))</f>
        <v>21</v>
      </c>
      <c r="H470" s="16" t="str">
        <f>IF($C470="B",VLOOKUP($A470,Bat!$A$4:$BD$2323,H$1,FALSE),VLOOKUP($A470,Pit!$A$4:$AZ$2261,H$2,FALSE))</f>
        <v>L</v>
      </c>
      <c r="I470" s="16" t="str">
        <f>IF($C470="B",VLOOKUP($A470,Bat!$A$4:$BD$2323,I$1,FALSE),VLOOKUP($A470,Pit!$A$4:$AZ$2261,I$2,FALSE))</f>
        <v>L</v>
      </c>
      <c r="J470" s="16" t="str">
        <f>IF($C470="B",VLOOKUP($A470,Bat!$A$4:$BD$2323,J$1,FALSE),VLOOKUP($A470,Pit!$A$4:$AZ$2261,J$2,FALSE))</f>
        <v>Very Low</v>
      </c>
      <c r="K470" s="17" t="str">
        <f>IF($C470="B",VLOOKUP($A470,Bat!$A$4:$BD$2323,K$1,FALSE),VLOOKUP($A470,Pit!$A$4:$AZ$2261,K$2,FALSE))</f>
        <v>Normal</v>
      </c>
      <c r="L470" s="16">
        <f>IF($C470="B",VLOOKUP($A470,Bat!$A$4:$BD$2323,L$1,FALSE),VLOOKUP($A470,Pit!$A$4:$AZ$2261,L$2,FALSE))</f>
        <v>5</v>
      </c>
      <c r="M470" s="16">
        <f>IF($C470="B",VLOOKUP($A470,Bat!$A$4:$BD$2323,M$1,FALSE),VLOOKUP($A470,Pit!$A$4:$AZ$2261,M$2,FALSE))</f>
        <v>3</v>
      </c>
      <c r="N470" s="16">
        <f>IF($C470="B",VLOOKUP($A470,Bat!$A$4:$BD$2323,N$1,FALSE),VLOOKUP($A470,Pit!$A$4:$AZ$2261,N$2,FALSE))</f>
        <v>4</v>
      </c>
      <c r="O470" s="16" t="str">
        <f>IF($C470="B",VLOOKUP($A470,Bat!$A$4:$BD$2323,O$1,FALSE),VLOOKUP($A470,Pit!$A$4:$AZ$2261,O$2,FALSE))</f>
        <v>95-97 Mph</v>
      </c>
      <c r="P470" s="17">
        <f>IF($C470="B",VLOOKUP($A470,Bat!$A$4:$BD$2323,P$1,FALSE),VLOOKUP($A470,Pit!$A$4:$AZ$2261,P$2,FALSE))</f>
        <v>4</v>
      </c>
      <c r="Q470" s="18">
        <f>IF($C470="B",VLOOKUP($A470,Bat!$A$4:$BD$2323,Q$1,FALSE),VLOOKUP($A470,Pit!$A$4:$AZ$2261,Q$2,FALSE))</f>
        <v>22.315851568747938</v>
      </c>
      <c r="R470" s="19">
        <f>IF($C470="B",VLOOKUP($A470,Bat!$A$4:$BD$2323,R$1,FALSE),VLOOKUP($A470,Pit!$A$4:$AZ$2261,R$2,FALSE))</f>
        <v>-0.92131079461405374</v>
      </c>
      <c r="S470" s="20" t="str">
        <f>IF($C470="B",VLOOKUP($A470,Bat!$A$4:$BD$2323,S$1,FALSE),VLOOKUP($A470,Pit!$A$4:$AZ$2261,S$2,FALSE))</f>
        <v>Slot</v>
      </c>
      <c r="T470" s="17" t="str">
        <f>IF(S470="Slot","",VLOOKUP(IF($C470="B",VLOOKUP($A470,Bat!$A$4:$AT$2323,T$1,FALSE),VLOOKUP($A470,Pit!$A$4:$BD$2261,T$2,FALSE)),COND!$A$34:$B$40,2,FALSE))</f>
        <v/>
      </c>
      <c r="U470" s="21">
        <f>IF($C470="B",VLOOKUP($A470,Bat!$A$4:$AR$1287,44,FALSE),VLOOKUP($A470,Pit!$A$4:$BB$1239,54,FALSE))</f>
        <v>0</v>
      </c>
      <c r="W470" s="21">
        <f t="shared" si="30"/>
        <v>0</v>
      </c>
      <c r="X470" s="22" t="e">
        <f t="shared" si="31"/>
        <v>#N/A</v>
      </c>
      <c r="Y470" s="16" t="str">
        <f>IF(ISERROR(VLOOKUP($E470&amp;$F470,Results!$A$2:$G$413,Y$1,FALSE)),"",VLOOKUP($E470&amp;$F470,Results!$A$2:$G$413,Y$1,FALSE))</f>
        <v/>
      </c>
      <c r="Z470" s="16" t="str">
        <f>IF(ISERROR(VLOOKUP($E470&amp;$F470,Results!$A$2:$G$413,Z$1,FALSE)),"",VLOOKUP($E470&amp;$F470,Results!$A$2:$G$413,Z$1,FALSE))</f>
        <v/>
      </c>
      <c r="AA470" s="16" t="str">
        <f>IF(ISERROR(VLOOKUP($E470&amp;$F470,Results!$A$2:$G$413,AA$1,FALSE)),"",VLOOKUP($E470&amp;$F470,Results!$A$2:$G$413,AA$1,FALSE))</f>
        <v/>
      </c>
      <c r="AB470" s="16" t="str">
        <f>IF(ISERROR(VLOOKUP($E470&amp;$F470,Results!$A$2:$G$413,AB$1,FALSE)),"",VLOOKUP($E470&amp;$F470,Results!$A$2:$G$413,AB$1,FALSE))</f>
        <v/>
      </c>
      <c r="AC470" s="16"/>
      <c r="AD470" s="20" t="str">
        <f>IF(ISERROR(VLOOKUP($AB470&amp;"-"&amp;$F470,Bonuses!$B$1:$G$1000,4,FALSE)),"",INT(VLOOKUP($AB470&amp;"-"&amp;$F470,Bonuses!$B$1:$G$1000,4,FALSE)))</f>
        <v/>
      </c>
      <c r="AE470" s="16" t="str">
        <f>IF(ISERROR(VLOOKUP($AB470&amp;"-"&amp;$F470,Bonuses!$B$1:$G$1000,5,FALSE)),"",IF(VLOOKUP($AB470&amp;"-"&amp;$F470,Bonuses!$B$1:$G$1000,5,FALSE)="","",VLOOKUP($AB470&amp;"-"&amp;$F470,Bonuses!$B$1:$G$1000,6,FALSE)&amp;" yrs, "&amp;VLOOKUP($AB470&amp;"-"&amp;$F470,Bonuses!$B$1:$G$1000,5,FALSE)))</f>
        <v/>
      </c>
    </row>
    <row r="471" spans="1:31" s="21" customFormat="1">
      <c r="A471" s="21" t="s">
        <v>624</v>
      </c>
      <c r="B471" s="21">
        <f t="shared" si="28"/>
        <v>1</v>
      </c>
      <c r="C471" s="21" t="str">
        <f t="shared" si="29"/>
        <v>P</v>
      </c>
      <c r="D471" s="17">
        <f>IF($C471="B",VLOOKUP($A471,Bat!$A$4:$BD$2323,D$1,FALSE),VLOOKUP($A471,Pit!$A$4:$AZ$2261,D$2,FALSE))</f>
        <v>13834</v>
      </c>
      <c r="E471" s="16" t="str">
        <f>IF($C471="B",VLOOKUP($A471,Bat!$A$4:$BD$2323,E$1,FALSE),VLOOKUP($A471,Pit!$A$4:$AZ$2261,E$2,FALSE))</f>
        <v>MR</v>
      </c>
      <c r="F471" s="16" t="str">
        <f>IF($C471="B",VLOOKUP($A471,Bat!$A$4:$BD$2323,F$1,FALSE),VLOOKUP($A471,Pit!$A$4:$AZ$2261,F$2,FALSE))</f>
        <v>Dennis Wright</v>
      </c>
      <c r="G471" s="16">
        <f>IF($C471="B",VLOOKUP($A471,Bat!$A$4:$BD$2323,G$1,FALSE),VLOOKUP($A471,Pit!$A$4:$AZ$2261,G$2,FALSE))</f>
        <v>18</v>
      </c>
      <c r="H471" s="16" t="str">
        <f>IF($C471="B",VLOOKUP($A471,Bat!$A$4:$BD$2323,H$1,FALSE),VLOOKUP($A471,Pit!$A$4:$AZ$2261,H$2,FALSE))</f>
        <v>R</v>
      </c>
      <c r="I471" s="16" t="str">
        <f>IF($C471="B",VLOOKUP($A471,Bat!$A$4:$BD$2323,I$1,FALSE),VLOOKUP($A471,Pit!$A$4:$AZ$2261,I$2,FALSE))</f>
        <v>R</v>
      </c>
      <c r="J471" s="16" t="str">
        <f>IF($C471="B",VLOOKUP($A471,Bat!$A$4:$BD$2323,J$1,FALSE),VLOOKUP($A471,Pit!$A$4:$AZ$2261,J$2,FALSE))</f>
        <v>Very Low</v>
      </c>
      <c r="K471" s="17" t="str">
        <f>IF($C471="B",VLOOKUP($A471,Bat!$A$4:$BD$2323,K$1,FALSE),VLOOKUP($A471,Pit!$A$4:$AZ$2261,K$2,FALSE))</f>
        <v>Normal</v>
      </c>
      <c r="L471" s="16">
        <f>IF($C471="B",VLOOKUP($A471,Bat!$A$4:$BD$2323,L$1,FALSE),VLOOKUP($A471,Pit!$A$4:$AZ$2261,L$2,FALSE))</f>
        <v>4</v>
      </c>
      <c r="M471" s="16">
        <f>IF($C471="B",VLOOKUP($A471,Bat!$A$4:$BD$2323,M$1,FALSE),VLOOKUP($A471,Pit!$A$4:$AZ$2261,M$2,FALSE))</f>
        <v>4</v>
      </c>
      <c r="N471" s="16">
        <f>IF($C471="B",VLOOKUP($A471,Bat!$A$4:$BD$2323,N$1,FALSE),VLOOKUP($A471,Pit!$A$4:$AZ$2261,N$2,FALSE))</f>
        <v>4</v>
      </c>
      <c r="O471" s="16" t="str">
        <f>IF($C471="B",VLOOKUP($A471,Bat!$A$4:$BD$2323,O$1,FALSE),VLOOKUP($A471,Pit!$A$4:$AZ$2261,O$2,FALSE))</f>
        <v>82-84 Mph</v>
      </c>
      <c r="P471" s="17">
        <f>IF($C471="B",VLOOKUP($A471,Bat!$A$4:$BD$2323,P$1,FALSE),VLOOKUP($A471,Pit!$A$4:$AZ$2261,P$2,FALSE))</f>
        <v>3</v>
      </c>
      <c r="Q471" s="18">
        <f>IF($C471="B",VLOOKUP($A471,Bat!$A$4:$BD$2323,Q$1,FALSE),VLOOKUP($A471,Pit!$A$4:$AZ$2261,Q$2,FALSE))</f>
        <v>22.17812742893766</v>
      </c>
      <c r="R471" s="19">
        <f>IF($C471="B",VLOOKUP($A471,Bat!$A$4:$BD$2323,R$1,FALSE),VLOOKUP($A471,Pit!$A$4:$AZ$2261,R$2,FALSE))</f>
        <v>-0.9322442375994977</v>
      </c>
      <c r="S471" s="20" t="str">
        <f>IF($C471="B",VLOOKUP($A471,Bat!$A$4:$BD$2323,S$1,FALSE),VLOOKUP($A471,Pit!$A$4:$AZ$2261,S$2,FALSE))</f>
        <v>Slot</v>
      </c>
      <c r="T471" s="17" t="str">
        <f>IF(S471="Slot","",VLOOKUP(IF($C471="B",VLOOKUP($A471,Bat!$A$4:$AT$2323,T$1,FALSE),VLOOKUP($A471,Pit!$A$4:$BD$2261,T$2,FALSE)),COND!$A$34:$B$40,2,FALSE))</f>
        <v/>
      </c>
      <c r="U471" s="21">
        <f>IF($C471="B",VLOOKUP($A471,Bat!$A$4:$AR$1287,44,FALSE),VLOOKUP($A471,Pit!$A$4:$BB$1239,54,FALSE))</f>
        <v>0</v>
      </c>
      <c r="W471" s="21">
        <f t="shared" si="30"/>
        <v>0</v>
      </c>
      <c r="X471" s="22" t="e">
        <f t="shared" si="31"/>
        <v>#N/A</v>
      </c>
      <c r="Y471" s="16" t="str">
        <f>IF(ISERROR(VLOOKUP($E471&amp;$F471,Results!$A$2:$G$413,Y$1,FALSE)),"",VLOOKUP($E471&amp;$F471,Results!$A$2:$G$413,Y$1,FALSE))</f>
        <v/>
      </c>
      <c r="Z471" s="16" t="str">
        <f>IF(ISERROR(VLOOKUP($E471&amp;$F471,Results!$A$2:$G$413,Z$1,FALSE)),"",VLOOKUP($E471&amp;$F471,Results!$A$2:$G$413,Z$1,FALSE))</f>
        <v/>
      </c>
      <c r="AA471" s="16" t="str">
        <f>IF(ISERROR(VLOOKUP($E471&amp;$F471,Results!$A$2:$G$413,AA$1,FALSE)),"",VLOOKUP($E471&amp;$F471,Results!$A$2:$G$413,AA$1,FALSE))</f>
        <v/>
      </c>
      <c r="AB471" s="16" t="str">
        <f>IF(ISERROR(VLOOKUP($E471&amp;$F471,Results!$A$2:$G$413,AB$1,FALSE)),"",VLOOKUP($E471&amp;$F471,Results!$A$2:$G$413,AB$1,FALSE))</f>
        <v/>
      </c>
      <c r="AC471" s="16"/>
      <c r="AD471" s="20" t="str">
        <f>IF(ISERROR(VLOOKUP($AB471&amp;"-"&amp;$F471,Bonuses!$B$1:$G$1000,4,FALSE)),"",INT(VLOOKUP($AB471&amp;"-"&amp;$F471,Bonuses!$B$1:$G$1000,4,FALSE)))</f>
        <v/>
      </c>
      <c r="AE471" s="16" t="str">
        <f>IF(ISERROR(VLOOKUP($AB471&amp;"-"&amp;$F471,Bonuses!$B$1:$G$1000,5,FALSE)),"",IF(VLOOKUP($AB471&amp;"-"&amp;$F471,Bonuses!$B$1:$G$1000,5,FALSE)="","",VLOOKUP($AB471&amp;"-"&amp;$F471,Bonuses!$B$1:$G$1000,6,FALSE)&amp;" yrs, "&amp;VLOOKUP($AB471&amp;"-"&amp;$F471,Bonuses!$B$1:$G$1000,5,FALSE)))</f>
        <v/>
      </c>
    </row>
    <row r="472" spans="1:31" s="21" customFormat="1">
      <c r="A472" s="21" t="s">
        <v>596</v>
      </c>
      <c r="B472" s="21">
        <f t="shared" si="28"/>
        <v>1</v>
      </c>
      <c r="C472" s="21" t="str">
        <f t="shared" si="29"/>
        <v>P</v>
      </c>
      <c r="D472" s="17">
        <f>IF($C472="B",VLOOKUP($A472,Bat!$A$4:$BD$2323,D$1,FALSE),VLOOKUP($A472,Pit!$A$4:$AZ$2261,D$2,FALSE))</f>
        <v>13842</v>
      </c>
      <c r="E472" s="16" t="str">
        <f>IF($C472="B",VLOOKUP($A472,Bat!$A$4:$BD$2323,E$1,FALSE),VLOOKUP($A472,Pit!$A$4:$AZ$2261,E$2,FALSE))</f>
        <v>MR</v>
      </c>
      <c r="F472" s="16" t="str">
        <f>IF($C472="B",VLOOKUP($A472,Bat!$A$4:$BD$2323,F$1,FALSE),VLOOKUP($A472,Pit!$A$4:$AZ$2261,F$2,FALSE))</f>
        <v>Darwin Miller</v>
      </c>
      <c r="G472" s="16">
        <f>IF($C472="B",VLOOKUP($A472,Bat!$A$4:$BD$2323,G$1,FALSE),VLOOKUP($A472,Pit!$A$4:$AZ$2261,G$2,FALSE))</f>
        <v>18</v>
      </c>
      <c r="H472" s="16" t="str">
        <f>IF($C472="B",VLOOKUP($A472,Bat!$A$4:$BD$2323,H$1,FALSE),VLOOKUP($A472,Pit!$A$4:$AZ$2261,H$2,FALSE))</f>
        <v>R</v>
      </c>
      <c r="I472" s="16" t="str">
        <f>IF($C472="B",VLOOKUP($A472,Bat!$A$4:$BD$2323,I$1,FALSE),VLOOKUP($A472,Pit!$A$4:$AZ$2261,I$2,FALSE))</f>
        <v>L</v>
      </c>
      <c r="J472" s="16" t="str">
        <f>IF($C472="B",VLOOKUP($A472,Bat!$A$4:$BD$2323,J$1,FALSE),VLOOKUP($A472,Pit!$A$4:$AZ$2261,J$2,FALSE))</f>
        <v>Low</v>
      </c>
      <c r="K472" s="17" t="str">
        <f>IF($C472="B",VLOOKUP($A472,Bat!$A$4:$BD$2323,K$1,FALSE),VLOOKUP($A472,Pit!$A$4:$AZ$2261,K$2,FALSE))</f>
        <v>Normal</v>
      </c>
      <c r="L472" s="16">
        <f>IF($C472="B",VLOOKUP($A472,Bat!$A$4:$BD$2323,L$1,FALSE),VLOOKUP($A472,Pit!$A$4:$AZ$2261,L$2,FALSE))</f>
        <v>3</v>
      </c>
      <c r="M472" s="16">
        <f>IF($C472="B",VLOOKUP($A472,Bat!$A$4:$BD$2323,M$1,FALSE),VLOOKUP($A472,Pit!$A$4:$AZ$2261,M$2,FALSE))</f>
        <v>4</v>
      </c>
      <c r="N472" s="16">
        <f>IF($C472="B",VLOOKUP($A472,Bat!$A$4:$BD$2323,N$1,FALSE),VLOOKUP($A472,Pit!$A$4:$AZ$2261,N$2,FALSE))</f>
        <v>4</v>
      </c>
      <c r="O472" s="16" t="str">
        <f>IF($C472="B",VLOOKUP($A472,Bat!$A$4:$BD$2323,O$1,FALSE),VLOOKUP($A472,Pit!$A$4:$AZ$2261,O$2,FALSE))</f>
        <v>82-84 Mph</v>
      </c>
      <c r="P472" s="17">
        <f>IF($C472="B",VLOOKUP($A472,Bat!$A$4:$BD$2323,P$1,FALSE),VLOOKUP($A472,Pit!$A$4:$AZ$2261,P$2,FALSE))</f>
        <v>7</v>
      </c>
      <c r="Q472" s="18">
        <f>IF($C472="B",VLOOKUP($A472,Bat!$A$4:$BD$2323,Q$1,FALSE),VLOOKUP($A472,Pit!$A$4:$AZ$2261,Q$2,FALSE))</f>
        <v>23.183468012010245</v>
      </c>
      <c r="R472" s="19">
        <f>IF($C472="B",VLOOKUP($A472,Bat!$A$4:$BD$2323,R$1,FALSE),VLOOKUP($A472,Pit!$A$4:$AZ$2261,R$2,FALSE))</f>
        <v>-0.85243372681236262</v>
      </c>
      <c r="S472" s="20" t="str">
        <f>IF($C472="B",VLOOKUP($A472,Bat!$A$4:$BD$2323,S$1,FALSE),VLOOKUP($A472,Pit!$A$4:$AZ$2261,S$2,FALSE))</f>
        <v>Slot</v>
      </c>
      <c r="T472" s="17" t="str">
        <f>IF(S472="Slot","",VLOOKUP(IF($C472="B",VLOOKUP($A472,Bat!$A$4:$AT$2323,T$1,FALSE),VLOOKUP($A472,Pit!$A$4:$BD$2261,T$2,FALSE)),COND!$A$34:$B$40,2,FALSE))</f>
        <v/>
      </c>
      <c r="U472" s="21">
        <f>IF($C472="B",VLOOKUP($A472,Bat!$A$4:$AR$1287,44,FALSE),VLOOKUP($A472,Pit!$A$4:$BB$1239,54,FALSE))</f>
        <v>0</v>
      </c>
      <c r="W472" s="21">
        <f t="shared" si="30"/>
        <v>0</v>
      </c>
      <c r="X472" s="22" t="e">
        <f t="shared" si="31"/>
        <v>#N/A</v>
      </c>
      <c r="Y472" s="16" t="str">
        <f>IF(ISERROR(VLOOKUP($E472&amp;$F472,Results!$A$2:$G$413,Y$1,FALSE)),"",VLOOKUP($E472&amp;$F472,Results!$A$2:$G$413,Y$1,FALSE))</f>
        <v/>
      </c>
      <c r="Z472" s="16" t="str">
        <f>IF(ISERROR(VLOOKUP($E472&amp;$F472,Results!$A$2:$G$413,Z$1,FALSE)),"",VLOOKUP($E472&amp;$F472,Results!$A$2:$G$413,Z$1,FALSE))</f>
        <v/>
      </c>
      <c r="AA472" s="16" t="str">
        <f>IF(ISERROR(VLOOKUP($E472&amp;$F472,Results!$A$2:$G$413,AA$1,FALSE)),"",VLOOKUP($E472&amp;$F472,Results!$A$2:$G$413,AA$1,FALSE))</f>
        <v/>
      </c>
      <c r="AB472" s="16" t="str">
        <f>IF(ISERROR(VLOOKUP($E472&amp;$F472,Results!$A$2:$G$413,AB$1,FALSE)),"",VLOOKUP($E472&amp;$F472,Results!$A$2:$G$413,AB$1,FALSE))</f>
        <v/>
      </c>
      <c r="AC472" s="16"/>
      <c r="AD472" s="20" t="str">
        <f>IF(ISERROR(VLOOKUP($AB472&amp;"-"&amp;$F472,Bonuses!$B$1:$G$1000,4,FALSE)),"",INT(VLOOKUP($AB472&amp;"-"&amp;$F472,Bonuses!$B$1:$G$1000,4,FALSE)))</f>
        <v/>
      </c>
      <c r="AE472" s="16" t="str">
        <f>IF(ISERROR(VLOOKUP($AB472&amp;"-"&amp;$F472,Bonuses!$B$1:$G$1000,5,FALSE)),"",IF(VLOOKUP($AB472&amp;"-"&amp;$F472,Bonuses!$B$1:$G$1000,5,FALSE)="","",VLOOKUP($AB472&amp;"-"&amp;$F472,Bonuses!$B$1:$G$1000,6,FALSE)&amp;" yrs, "&amp;VLOOKUP($AB472&amp;"-"&amp;$F472,Bonuses!$B$1:$G$1000,5,FALSE)))</f>
        <v/>
      </c>
    </row>
    <row r="473" spans="1:31" s="21" customFormat="1">
      <c r="A473" s="21" t="s">
        <v>601</v>
      </c>
      <c r="B473" s="21">
        <f t="shared" si="28"/>
        <v>1</v>
      </c>
      <c r="C473" s="21" t="str">
        <f t="shared" si="29"/>
        <v>P</v>
      </c>
      <c r="D473" s="17">
        <f>IF($C473="B",VLOOKUP($A473,Bat!$A$4:$BD$2323,D$1,FALSE),VLOOKUP($A473,Pit!$A$4:$AZ$2261,D$2,FALSE))</f>
        <v>4099</v>
      </c>
      <c r="E473" s="16" t="str">
        <f>IF($C473="B",VLOOKUP($A473,Bat!$A$4:$BD$2323,E$1,FALSE),VLOOKUP($A473,Pit!$A$4:$AZ$2261,E$2,FALSE))</f>
        <v>MR</v>
      </c>
      <c r="F473" s="16" t="str">
        <f>IF($C473="B",VLOOKUP($A473,Bat!$A$4:$BD$2323,F$1,FALSE),VLOOKUP($A473,Pit!$A$4:$AZ$2261,F$2,FALSE))</f>
        <v>Keith McAuley</v>
      </c>
      <c r="G473" s="16">
        <f>IF($C473="B",VLOOKUP($A473,Bat!$A$4:$BD$2323,G$1,FALSE),VLOOKUP($A473,Pit!$A$4:$AZ$2261,G$2,FALSE))</f>
        <v>21</v>
      </c>
      <c r="H473" s="16" t="str">
        <f>IF($C473="B",VLOOKUP($A473,Bat!$A$4:$BD$2323,H$1,FALSE),VLOOKUP($A473,Pit!$A$4:$AZ$2261,H$2,FALSE))</f>
        <v>R</v>
      </c>
      <c r="I473" s="16" t="str">
        <f>IF($C473="B",VLOOKUP($A473,Bat!$A$4:$BD$2323,I$1,FALSE),VLOOKUP($A473,Pit!$A$4:$AZ$2261,I$2,FALSE))</f>
        <v>R</v>
      </c>
      <c r="J473" s="16" t="str">
        <f>IF($C473="B",VLOOKUP($A473,Bat!$A$4:$BD$2323,J$1,FALSE),VLOOKUP($A473,Pit!$A$4:$AZ$2261,J$2,FALSE))</f>
        <v>Normal</v>
      </c>
      <c r="K473" s="17" t="str">
        <f>IF($C473="B",VLOOKUP($A473,Bat!$A$4:$BD$2323,K$1,FALSE),VLOOKUP($A473,Pit!$A$4:$AZ$2261,K$2,FALSE))</f>
        <v>Very High</v>
      </c>
      <c r="L473" s="16">
        <f>IF($C473="B",VLOOKUP($A473,Bat!$A$4:$BD$2323,L$1,FALSE),VLOOKUP($A473,Pit!$A$4:$AZ$2261,L$2,FALSE))</f>
        <v>4</v>
      </c>
      <c r="M473" s="16">
        <f>IF($C473="B",VLOOKUP($A473,Bat!$A$4:$BD$2323,M$1,FALSE),VLOOKUP($A473,Pit!$A$4:$AZ$2261,M$2,FALSE))</f>
        <v>5</v>
      </c>
      <c r="N473" s="16">
        <f>IF($C473="B",VLOOKUP($A473,Bat!$A$4:$BD$2323,N$1,FALSE),VLOOKUP($A473,Pit!$A$4:$AZ$2261,N$2,FALSE))</f>
        <v>3</v>
      </c>
      <c r="O473" s="16" t="str">
        <f>IF($C473="B",VLOOKUP($A473,Bat!$A$4:$BD$2323,O$1,FALSE),VLOOKUP($A473,Pit!$A$4:$AZ$2261,O$2,FALSE))</f>
        <v>90-92 Mph</v>
      </c>
      <c r="P473" s="17">
        <f>IF($C473="B",VLOOKUP($A473,Bat!$A$4:$BD$2323,P$1,FALSE),VLOOKUP($A473,Pit!$A$4:$AZ$2261,P$2,FALSE))</f>
        <v>5</v>
      </c>
      <c r="Q473" s="18">
        <f>IF($C473="B",VLOOKUP($A473,Bat!$A$4:$BD$2323,Q$1,FALSE),VLOOKUP($A473,Pit!$A$4:$AZ$2261,Q$2,FALSE))</f>
        <v>23.818400369416352</v>
      </c>
      <c r="R473" s="19">
        <f>IF($C473="B",VLOOKUP($A473,Bat!$A$4:$BD$2323,R$1,FALSE),VLOOKUP($A473,Pit!$A$4:$AZ$2261,R$2,FALSE))</f>
        <v>-0.8020286435867483</v>
      </c>
      <c r="S473" s="20" t="str">
        <f>IF($C473="B",VLOOKUP($A473,Bat!$A$4:$BD$2323,S$1,FALSE),VLOOKUP($A473,Pit!$A$4:$AZ$2261,S$2,FALSE))</f>
        <v>Slot</v>
      </c>
      <c r="T473" s="17" t="str">
        <f>IF(S473="Slot","",VLOOKUP(IF($C473="B",VLOOKUP($A473,Bat!$A$4:$AT$2323,T$1,FALSE),VLOOKUP($A473,Pit!$A$4:$BD$2261,T$2,FALSE)),COND!$A$34:$B$40,2,FALSE))</f>
        <v/>
      </c>
      <c r="U473" s="21">
        <f>IF($C473="B",VLOOKUP($A473,Bat!$A$4:$AR$1287,44,FALSE),VLOOKUP($A473,Pit!$A$4:$BB$1239,54,FALSE))</f>
        <v>0</v>
      </c>
      <c r="W473" s="21">
        <f t="shared" si="30"/>
        <v>0</v>
      </c>
      <c r="X473" s="22" t="e">
        <f t="shared" si="31"/>
        <v>#N/A</v>
      </c>
      <c r="Y473" s="16" t="str">
        <f>IF(ISERROR(VLOOKUP($E473&amp;$F473,Results!$A$2:$G$413,Y$1,FALSE)),"",VLOOKUP($E473&amp;$F473,Results!$A$2:$G$413,Y$1,FALSE))</f>
        <v/>
      </c>
      <c r="Z473" s="16" t="str">
        <f>IF(ISERROR(VLOOKUP($E473&amp;$F473,Results!$A$2:$G$413,Z$1,FALSE)),"",VLOOKUP($E473&amp;$F473,Results!$A$2:$G$413,Z$1,FALSE))</f>
        <v/>
      </c>
      <c r="AA473" s="16" t="str">
        <f>IF(ISERROR(VLOOKUP($E473&amp;$F473,Results!$A$2:$G$413,AA$1,FALSE)),"",VLOOKUP($E473&amp;$F473,Results!$A$2:$G$413,AA$1,FALSE))</f>
        <v/>
      </c>
      <c r="AB473" s="16" t="str">
        <f>IF(ISERROR(VLOOKUP($E473&amp;$F473,Results!$A$2:$G$413,AB$1,FALSE)),"",VLOOKUP($E473&amp;$F473,Results!$A$2:$G$413,AB$1,FALSE))</f>
        <v/>
      </c>
      <c r="AC473" s="16"/>
      <c r="AD473" s="20" t="str">
        <f>IF(ISERROR(VLOOKUP($AB473&amp;"-"&amp;$F473,Bonuses!$B$1:$G$1000,4,FALSE)),"",INT(VLOOKUP($AB473&amp;"-"&amp;$F473,Bonuses!$B$1:$G$1000,4,FALSE)))</f>
        <v/>
      </c>
      <c r="AE473" s="16" t="str">
        <f>IF(ISERROR(VLOOKUP($AB473&amp;"-"&amp;$F473,Bonuses!$B$1:$G$1000,5,FALSE)),"",IF(VLOOKUP($AB473&amp;"-"&amp;$F473,Bonuses!$B$1:$G$1000,5,FALSE)="","",VLOOKUP($AB473&amp;"-"&amp;$F473,Bonuses!$B$1:$G$1000,6,FALSE)&amp;" yrs, "&amp;VLOOKUP($AB473&amp;"-"&amp;$F473,Bonuses!$B$1:$G$1000,5,FALSE)))</f>
        <v/>
      </c>
    </row>
    <row r="474" spans="1:31" s="21" customFormat="1">
      <c r="A474" s="21" t="s">
        <v>610</v>
      </c>
      <c r="B474" s="21">
        <f t="shared" si="28"/>
        <v>1</v>
      </c>
      <c r="C474" s="21" t="str">
        <f t="shared" si="29"/>
        <v>P</v>
      </c>
      <c r="D474" s="17">
        <f>IF($C474="B",VLOOKUP($A474,Bat!$A$4:$BD$2323,D$1,FALSE),VLOOKUP($A474,Pit!$A$4:$AZ$2261,D$2,FALSE))</f>
        <v>13793</v>
      </c>
      <c r="E474" s="16" t="str">
        <f>IF($C474="B",VLOOKUP($A474,Bat!$A$4:$BD$2323,E$1,FALSE),VLOOKUP($A474,Pit!$A$4:$AZ$2261,E$2,FALSE))</f>
        <v>MR</v>
      </c>
      <c r="F474" s="16" t="str">
        <f>IF($C474="B",VLOOKUP($A474,Bat!$A$4:$BD$2323,F$1,FALSE),VLOOKUP($A474,Pit!$A$4:$AZ$2261,F$2,FALSE))</f>
        <v>Miguel Hernández</v>
      </c>
      <c r="G474" s="16">
        <f>IF($C474="B",VLOOKUP($A474,Bat!$A$4:$BD$2323,G$1,FALSE),VLOOKUP($A474,Pit!$A$4:$AZ$2261,G$2,FALSE))</f>
        <v>18</v>
      </c>
      <c r="H474" s="16" t="str">
        <f>IF($C474="B",VLOOKUP($A474,Bat!$A$4:$BD$2323,H$1,FALSE),VLOOKUP($A474,Pit!$A$4:$AZ$2261,H$2,FALSE))</f>
        <v>L</v>
      </c>
      <c r="I474" s="16" t="str">
        <f>IF($C474="B",VLOOKUP($A474,Bat!$A$4:$BD$2323,I$1,FALSE),VLOOKUP($A474,Pit!$A$4:$AZ$2261,I$2,FALSE))</f>
        <v>L</v>
      </c>
      <c r="J474" s="16" t="str">
        <f>IF($C474="B",VLOOKUP($A474,Bat!$A$4:$BD$2323,J$1,FALSE),VLOOKUP($A474,Pit!$A$4:$AZ$2261,J$2,FALSE))</f>
        <v>Very High</v>
      </c>
      <c r="K474" s="17" t="str">
        <f>IF($C474="B",VLOOKUP($A474,Bat!$A$4:$BD$2323,K$1,FALSE),VLOOKUP($A474,Pit!$A$4:$AZ$2261,K$2,FALSE))</f>
        <v>Low</v>
      </c>
      <c r="L474" s="16">
        <f>IF($C474="B",VLOOKUP($A474,Bat!$A$4:$BD$2323,L$1,FALSE),VLOOKUP($A474,Pit!$A$4:$AZ$2261,L$2,FALSE))</f>
        <v>3</v>
      </c>
      <c r="M474" s="16">
        <f>IF($C474="B",VLOOKUP($A474,Bat!$A$4:$BD$2323,M$1,FALSE),VLOOKUP($A474,Pit!$A$4:$AZ$2261,M$2,FALSE))</f>
        <v>3</v>
      </c>
      <c r="N474" s="16">
        <f>IF($C474="B",VLOOKUP($A474,Bat!$A$4:$BD$2323,N$1,FALSE),VLOOKUP($A474,Pit!$A$4:$AZ$2261,N$2,FALSE))</f>
        <v>5</v>
      </c>
      <c r="O474" s="16" t="str">
        <f>IF($C474="B",VLOOKUP($A474,Bat!$A$4:$BD$2323,O$1,FALSE),VLOOKUP($A474,Pit!$A$4:$AZ$2261,O$2,FALSE))</f>
        <v>82-84 Mph</v>
      </c>
      <c r="P474" s="17">
        <f>IF($C474="B",VLOOKUP($A474,Bat!$A$4:$BD$2323,P$1,FALSE),VLOOKUP($A474,Pit!$A$4:$AZ$2261,P$2,FALSE))</f>
        <v>4</v>
      </c>
      <c r="Q474" s="18">
        <f>IF($C474="B",VLOOKUP($A474,Bat!$A$4:$BD$2323,Q$1,FALSE),VLOOKUP($A474,Pit!$A$4:$AZ$2261,Q$2,FALSE))</f>
        <v>23.362487310634769</v>
      </c>
      <c r="R474" s="19">
        <f>IF($C474="B",VLOOKUP($A474,Bat!$A$4:$BD$2323,R$1,FALSE),VLOOKUP($A474,Pit!$A$4:$AZ$2261,R$2,FALSE))</f>
        <v>-0.83822200403448444</v>
      </c>
      <c r="S474" s="20" t="str">
        <f>IF($C474="B",VLOOKUP($A474,Bat!$A$4:$BD$2323,S$1,FALSE),VLOOKUP($A474,Pit!$A$4:$AZ$2261,S$2,FALSE))</f>
        <v>Slot</v>
      </c>
      <c r="T474" s="17" t="str">
        <f>IF(S474="Slot","",VLOOKUP(IF($C474="B",VLOOKUP($A474,Bat!$A$4:$AT$2323,T$1,FALSE),VLOOKUP($A474,Pit!$A$4:$BD$2261,T$2,FALSE)),COND!$A$34:$B$40,2,FALSE))</f>
        <v/>
      </c>
      <c r="U474" s="21">
        <f>IF($C474="B",VLOOKUP($A474,Bat!$A$4:$AR$1287,44,FALSE),VLOOKUP($A474,Pit!$A$4:$BB$1239,54,FALSE))</f>
        <v>0</v>
      </c>
      <c r="W474" s="21">
        <f t="shared" si="30"/>
        <v>0</v>
      </c>
      <c r="X474" s="22" t="e">
        <f t="shared" si="31"/>
        <v>#N/A</v>
      </c>
      <c r="Y474" s="16" t="str">
        <f>IF(ISERROR(VLOOKUP($E474&amp;$F474,Results!$A$2:$G$413,Y$1,FALSE)),"",VLOOKUP($E474&amp;$F474,Results!$A$2:$G$413,Y$1,FALSE))</f>
        <v/>
      </c>
      <c r="Z474" s="16" t="str">
        <f>IF(ISERROR(VLOOKUP($E474&amp;$F474,Results!$A$2:$G$413,Z$1,FALSE)),"",VLOOKUP($E474&amp;$F474,Results!$A$2:$G$413,Z$1,FALSE))</f>
        <v/>
      </c>
      <c r="AA474" s="16" t="str">
        <f>IF(ISERROR(VLOOKUP($E474&amp;$F474,Results!$A$2:$G$413,AA$1,FALSE)),"",VLOOKUP($E474&amp;$F474,Results!$A$2:$G$413,AA$1,FALSE))</f>
        <v/>
      </c>
      <c r="AB474" s="16" t="str">
        <f>IF(ISERROR(VLOOKUP($E474&amp;$F474,Results!$A$2:$G$413,AB$1,FALSE)),"",VLOOKUP($E474&amp;$F474,Results!$A$2:$G$413,AB$1,FALSE))</f>
        <v/>
      </c>
      <c r="AC474" s="16"/>
      <c r="AD474" s="20" t="str">
        <f>IF(ISERROR(VLOOKUP($AB474&amp;"-"&amp;$F474,Bonuses!$B$1:$G$1000,4,FALSE)),"",INT(VLOOKUP($AB474&amp;"-"&amp;$F474,Bonuses!$B$1:$G$1000,4,FALSE)))</f>
        <v/>
      </c>
      <c r="AE474" s="16" t="str">
        <f>IF(ISERROR(VLOOKUP($AB474&amp;"-"&amp;$F474,Bonuses!$B$1:$G$1000,5,FALSE)),"",IF(VLOOKUP($AB474&amp;"-"&amp;$F474,Bonuses!$B$1:$G$1000,5,FALSE)="","",VLOOKUP($AB474&amp;"-"&amp;$F474,Bonuses!$B$1:$G$1000,6,FALSE)&amp;" yrs, "&amp;VLOOKUP($AB474&amp;"-"&amp;$F474,Bonuses!$B$1:$G$1000,5,FALSE)))</f>
        <v/>
      </c>
    </row>
    <row r="475" spans="1:31" s="21" customFormat="1">
      <c r="A475" s="21" t="s">
        <v>600</v>
      </c>
      <c r="B475" s="21">
        <f t="shared" si="28"/>
        <v>1</v>
      </c>
      <c r="C475" s="21" t="str">
        <f t="shared" si="29"/>
        <v>P</v>
      </c>
      <c r="D475" s="17">
        <f>IF($C475="B",VLOOKUP($A475,Bat!$A$4:$BD$2323,D$1,FALSE),VLOOKUP($A475,Pit!$A$4:$AZ$2261,D$2,FALSE))</f>
        <v>674</v>
      </c>
      <c r="E475" s="16" t="str">
        <f>IF($C475="B",VLOOKUP($A475,Bat!$A$4:$BD$2323,E$1,FALSE),VLOOKUP($A475,Pit!$A$4:$AZ$2261,E$2,FALSE))</f>
        <v>MR</v>
      </c>
      <c r="F475" s="16" t="str">
        <f>IF($C475="B",VLOOKUP($A475,Bat!$A$4:$BD$2323,F$1,FALSE),VLOOKUP($A475,Pit!$A$4:$AZ$2261,F$2,FALSE))</f>
        <v>Álex Ramos</v>
      </c>
      <c r="G475" s="16">
        <f>IF($C475="B",VLOOKUP($A475,Bat!$A$4:$BD$2323,G$1,FALSE),VLOOKUP($A475,Pit!$A$4:$AZ$2261,G$2,FALSE))</f>
        <v>18</v>
      </c>
      <c r="H475" s="16" t="str">
        <f>IF($C475="B",VLOOKUP($A475,Bat!$A$4:$BD$2323,H$1,FALSE),VLOOKUP($A475,Pit!$A$4:$AZ$2261,H$2,FALSE))</f>
        <v>R</v>
      </c>
      <c r="I475" s="16" t="str">
        <f>IF($C475="B",VLOOKUP($A475,Bat!$A$4:$BD$2323,I$1,FALSE),VLOOKUP($A475,Pit!$A$4:$AZ$2261,I$2,FALSE))</f>
        <v>R</v>
      </c>
      <c r="J475" s="16" t="str">
        <f>IF($C475="B",VLOOKUP($A475,Bat!$A$4:$BD$2323,J$1,FALSE),VLOOKUP($A475,Pit!$A$4:$AZ$2261,J$2,FALSE))</f>
        <v>Low</v>
      </c>
      <c r="K475" s="17" t="str">
        <f>IF($C475="B",VLOOKUP($A475,Bat!$A$4:$BD$2323,K$1,FALSE),VLOOKUP($A475,Pit!$A$4:$AZ$2261,K$2,FALSE))</f>
        <v>Low</v>
      </c>
      <c r="L475" s="16">
        <f>IF($C475="B",VLOOKUP($A475,Bat!$A$4:$BD$2323,L$1,FALSE),VLOOKUP($A475,Pit!$A$4:$AZ$2261,L$2,FALSE))</f>
        <v>3</v>
      </c>
      <c r="M475" s="16">
        <f>IF($C475="B",VLOOKUP($A475,Bat!$A$4:$BD$2323,M$1,FALSE),VLOOKUP($A475,Pit!$A$4:$AZ$2261,M$2,FALSE))</f>
        <v>4</v>
      </c>
      <c r="N475" s="16">
        <f>IF($C475="B",VLOOKUP($A475,Bat!$A$4:$BD$2323,N$1,FALSE),VLOOKUP($A475,Pit!$A$4:$AZ$2261,N$2,FALSE))</f>
        <v>4</v>
      </c>
      <c r="O475" s="16" t="str">
        <f>IF($C475="B",VLOOKUP($A475,Bat!$A$4:$BD$2323,O$1,FALSE),VLOOKUP($A475,Pit!$A$4:$AZ$2261,O$2,FALSE))</f>
        <v>80-83 Mph</v>
      </c>
      <c r="P475" s="17">
        <f>IF($C475="B",VLOOKUP($A475,Bat!$A$4:$BD$2323,P$1,FALSE),VLOOKUP($A475,Pit!$A$4:$AZ$2261,P$2,FALSE))</f>
        <v>10</v>
      </c>
      <c r="Q475" s="18">
        <f>IF($C475="B",VLOOKUP($A475,Bat!$A$4:$BD$2323,Q$1,FALSE),VLOOKUP($A475,Pit!$A$4:$AZ$2261,Q$2,FALSE))</f>
        <v>22.433468012010245</v>
      </c>
      <c r="R475" s="19">
        <f>IF($C475="B",VLOOKUP($A475,Bat!$A$4:$BD$2323,R$1,FALSE),VLOOKUP($A475,Pit!$A$4:$AZ$2261,R$2,FALSE))</f>
        <v>-0.91197363209243187</v>
      </c>
      <c r="S475" s="20" t="str">
        <f>IF($C475="B",VLOOKUP($A475,Bat!$A$4:$BD$2323,S$1,FALSE),VLOOKUP($A475,Pit!$A$4:$AZ$2261,S$2,FALSE))</f>
        <v>Slot</v>
      </c>
      <c r="T475" s="17" t="str">
        <f>IF(S475="Slot","",VLOOKUP(IF($C475="B",VLOOKUP($A475,Bat!$A$4:$AT$2323,T$1,FALSE),VLOOKUP($A475,Pit!$A$4:$BD$2261,T$2,FALSE)),COND!$A$34:$B$40,2,FALSE))</f>
        <v/>
      </c>
      <c r="U475" s="21">
        <f>IF($C475="B",VLOOKUP($A475,Bat!$A$4:$AR$1287,44,FALSE),VLOOKUP($A475,Pit!$A$4:$BB$1239,54,FALSE))</f>
        <v>0</v>
      </c>
      <c r="W475" s="21">
        <f t="shared" si="30"/>
        <v>0</v>
      </c>
      <c r="X475" s="22" t="e">
        <f t="shared" si="31"/>
        <v>#N/A</v>
      </c>
      <c r="Y475" s="16" t="str">
        <f>IF(ISERROR(VLOOKUP($E475&amp;$F475,Results!$A$2:$G$413,Y$1,FALSE)),"",VLOOKUP($E475&amp;$F475,Results!$A$2:$G$413,Y$1,FALSE))</f>
        <v/>
      </c>
      <c r="Z475" s="16" t="str">
        <f>IF(ISERROR(VLOOKUP($E475&amp;$F475,Results!$A$2:$G$413,Z$1,FALSE)),"",VLOOKUP($E475&amp;$F475,Results!$A$2:$G$413,Z$1,FALSE))</f>
        <v/>
      </c>
      <c r="AA475" s="16" t="str">
        <f>IF(ISERROR(VLOOKUP($E475&amp;$F475,Results!$A$2:$G$413,AA$1,FALSE)),"",VLOOKUP($E475&amp;$F475,Results!$A$2:$G$413,AA$1,FALSE))</f>
        <v/>
      </c>
      <c r="AB475" s="16" t="str">
        <f>IF(ISERROR(VLOOKUP($E475&amp;$F475,Results!$A$2:$G$413,AB$1,FALSE)),"",VLOOKUP($E475&amp;$F475,Results!$A$2:$G$413,AB$1,FALSE))</f>
        <v/>
      </c>
      <c r="AC475" s="16"/>
      <c r="AD475" s="20" t="str">
        <f>IF(ISERROR(VLOOKUP($AB475&amp;"-"&amp;$F475,Bonuses!$B$1:$G$1000,4,FALSE)),"",INT(VLOOKUP($AB475&amp;"-"&amp;$F475,Bonuses!$B$1:$G$1000,4,FALSE)))</f>
        <v/>
      </c>
      <c r="AE475" s="16" t="str">
        <f>IF(ISERROR(VLOOKUP($AB475&amp;"-"&amp;$F475,Bonuses!$B$1:$G$1000,5,FALSE)),"",IF(VLOOKUP($AB475&amp;"-"&amp;$F475,Bonuses!$B$1:$G$1000,5,FALSE)="","",VLOOKUP($AB475&amp;"-"&amp;$F475,Bonuses!$B$1:$G$1000,6,FALSE)&amp;" yrs, "&amp;VLOOKUP($AB475&amp;"-"&amp;$F475,Bonuses!$B$1:$G$1000,5,FALSE)))</f>
        <v/>
      </c>
    </row>
    <row r="476" spans="1:31" s="21" customFormat="1">
      <c r="A476" s="21" t="s">
        <v>586</v>
      </c>
      <c r="B476" s="21">
        <f t="shared" si="28"/>
        <v>1</v>
      </c>
      <c r="C476" s="21" t="str">
        <f t="shared" si="29"/>
        <v>P</v>
      </c>
      <c r="D476" s="17">
        <f>IF($C476="B",VLOOKUP($A476,Bat!$A$4:$BD$2323,D$1,FALSE),VLOOKUP($A476,Pit!$A$4:$AZ$2261,D$2,FALSE))</f>
        <v>13774</v>
      </c>
      <c r="E476" s="16" t="str">
        <f>IF($C476="B",VLOOKUP($A476,Bat!$A$4:$BD$2323,E$1,FALSE),VLOOKUP($A476,Pit!$A$4:$AZ$2261,E$2,FALSE))</f>
        <v>MR</v>
      </c>
      <c r="F476" s="16" t="str">
        <f>IF($C476="B",VLOOKUP($A476,Bat!$A$4:$BD$2323,F$1,FALSE),VLOOKUP($A476,Pit!$A$4:$AZ$2261,F$2,FALSE))</f>
        <v>Chris Stokes</v>
      </c>
      <c r="G476" s="16">
        <f>IF($C476="B",VLOOKUP($A476,Bat!$A$4:$BD$2323,G$1,FALSE),VLOOKUP($A476,Pit!$A$4:$AZ$2261,G$2,FALSE))</f>
        <v>18</v>
      </c>
      <c r="H476" s="16" t="str">
        <f>IF($C476="B",VLOOKUP($A476,Bat!$A$4:$BD$2323,H$1,FALSE),VLOOKUP($A476,Pit!$A$4:$AZ$2261,H$2,FALSE))</f>
        <v>L</v>
      </c>
      <c r="I476" s="16" t="str">
        <f>IF($C476="B",VLOOKUP($A476,Bat!$A$4:$BD$2323,I$1,FALSE),VLOOKUP($A476,Pit!$A$4:$AZ$2261,I$2,FALSE))</f>
        <v>L</v>
      </c>
      <c r="J476" s="16" t="str">
        <f>IF($C476="B",VLOOKUP($A476,Bat!$A$4:$BD$2323,J$1,FALSE),VLOOKUP($A476,Pit!$A$4:$AZ$2261,J$2,FALSE))</f>
        <v>High</v>
      </c>
      <c r="K476" s="17" t="str">
        <f>IF($C476="B",VLOOKUP($A476,Bat!$A$4:$BD$2323,K$1,FALSE),VLOOKUP($A476,Pit!$A$4:$AZ$2261,K$2,FALSE))</f>
        <v>Normal</v>
      </c>
      <c r="L476" s="16">
        <f>IF($C476="B",VLOOKUP($A476,Bat!$A$4:$BD$2323,L$1,FALSE),VLOOKUP($A476,Pit!$A$4:$AZ$2261,L$2,FALSE))</f>
        <v>3</v>
      </c>
      <c r="M476" s="16">
        <f>IF($C476="B",VLOOKUP($A476,Bat!$A$4:$BD$2323,M$1,FALSE),VLOOKUP($A476,Pit!$A$4:$AZ$2261,M$2,FALSE))</f>
        <v>4</v>
      </c>
      <c r="N476" s="16">
        <f>IF($C476="B",VLOOKUP($A476,Bat!$A$4:$BD$2323,N$1,FALSE),VLOOKUP($A476,Pit!$A$4:$AZ$2261,N$2,FALSE))</f>
        <v>4</v>
      </c>
      <c r="O476" s="16" t="str">
        <f>IF($C476="B",VLOOKUP($A476,Bat!$A$4:$BD$2323,O$1,FALSE),VLOOKUP($A476,Pit!$A$4:$AZ$2261,O$2,FALSE))</f>
        <v>83-85 Mph</v>
      </c>
      <c r="P476" s="17">
        <f>IF($C476="B",VLOOKUP($A476,Bat!$A$4:$BD$2323,P$1,FALSE),VLOOKUP($A476,Pit!$A$4:$AZ$2261,P$2,FALSE))</f>
        <v>10</v>
      </c>
      <c r="Q476" s="18">
        <f>IF($C476="B",VLOOKUP($A476,Bat!$A$4:$BD$2323,Q$1,FALSE),VLOOKUP($A476,Pit!$A$4:$AZ$2261,Q$2,FALSE))</f>
        <v>23.758966130363785</v>
      </c>
      <c r="R476" s="19">
        <f>IF($C476="B",VLOOKUP($A476,Bat!$A$4:$BD$2323,R$1,FALSE),VLOOKUP($A476,Pit!$A$4:$AZ$2261,R$2,FALSE))</f>
        <v>-0.80674692220485877</v>
      </c>
      <c r="S476" s="20" t="str">
        <f>IF($C476="B",VLOOKUP($A476,Bat!$A$4:$BD$2323,S$1,FALSE),VLOOKUP($A476,Pit!$A$4:$AZ$2261,S$2,FALSE))</f>
        <v>Slot</v>
      </c>
      <c r="T476" s="17" t="str">
        <f>IF(S476="Slot","",VLOOKUP(IF($C476="B",VLOOKUP($A476,Bat!$A$4:$AT$2323,T$1,FALSE),VLOOKUP($A476,Pit!$A$4:$BD$2261,T$2,FALSE)),COND!$A$34:$B$40,2,FALSE))</f>
        <v/>
      </c>
      <c r="U476" s="21">
        <f>IF($C476="B",VLOOKUP($A476,Bat!$A$4:$AR$1287,44,FALSE),VLOOKUP($A476,Pit!$A$4:$BB$1239,54,FALSE))</f>
        <v>0</v>
      </c>
      <c r="W476" s="21">
        <f t="shared" si="30"/>
        <v>0</v>
      </c>
      <c r="X476" s="22" t="e">
        <f t="shared" si="31"/>
        <v>#N/A</v>
      </c>
      <c r="Y476" s="16" t="str">
        <f>IF(ISERROR(VLOOKUP($E476&amp;$F476,Results!$A$2:$G$413,Y$1,FALSE)),"",VLOOKUP($E476&amp;$F476,Results!$A$2:$G$413,Y$1,FALSE))</f>
        <v/>
      </c>
      <c r="Z476" s="16" t="str">
        <f>IF(ISERROR(VLOOKUP($E476&amp;$F476,Results!$A$2:$G$413,Z$1,FALSE)),"",VLOOKUP($E476&amp;$F476,Results!$A$2:$G$413,Z$1,FALSE))</f>
        <v/>
      </c>
      <c r="AA476" s="16" t="str">
        <f>IF(ISERROR(VLOOKUP($E476&amp;$F476,Results!$A$2:$G$413,AA$1,FALSE)),"",VLOOKUP($E476&amp;$F476,Results!$A$2:$G$413,AA$1,FALSE))</f>
        <v/>
      </c>
      <c r="AB476" s="16" t="str">
        <f>IF(ISERROR(VLOOKUP($E476&amp;$F476,Results!$A$2:$G$413,AB$1,FALSE)),"",VLOOKUP($E476&amp;$F476,Results!$A$2:$G$413,AB$1,FALSE))</f>
        <v/>
      </c>
      <c r="AC476" s="16"/>
      <c r="AD476" s="20" t="str">
        <f>IF(ISERROR(VLOOKUP($AB476&amp;"-"&amp;$F476,Bonuses!$B$1:$G$1000,4,FALSE)),"",INT(VLOOKUP($AB476&amp;"-"&amp;$F476,Bonuses!$B$1:$G$1000,4,FALSE)))</f>
        <v/>
      </c>
      <c r="AE476" s="16" t="str">
        <f>IF(ISERROR(VLOOKUP($AB476&amp;"-"&amp;$F476,Bonuses!$B$1:$G$1000,5,FALSE)),"",IF(VLOOKUP($AB476&amp;"-"&amp;$F476,Bonuses!$B$1:$G$1000,5,FALSE)="","",VLOOKUP($AB476&amp;"-"&amp;$F476,Bonuses!$B$1:$G$1000,6,FALSE)&amp;" yrs, "&amp;VLOOKUP($AB476&amp;"-"&amp;$F476,Bonuses!$B$1:$G$1000,5,FALSE)))</f>
        <v/>
      </c>
    </row>
    <row r="477" spans="1:31" s="21" customFormat="1">
      <c r="A477" s="21" t="s">
        <v>620</v>
      </c>
      <c r="B477" s="21">
        <f t="shared" si="28"/>
        <v>1</v>
      </c>
      <c r="C477" s="21" t="str">
        <f t="shared" si="29"/>
        <v>P</v>
      </c>
      <c r="D477" s="17">
        <f>IF($C477="B",VLOOKUP($A477,Bat!$A$4:$BD$2323,D$1,FALSE),VLOOKUP($A477,Pit!$A$4:$AZ$2261,D$2,FALSE))</f>
        <v>13758</v>
      </c>
      <c r="E477" s="16" t="str">
        <f>IF($C477="B",VLOOKUP($A477,Bat!$A$4:$BD$2323,E$1,FALSE),VLOOKUP($A477,Pit!$A$4:$AZ$2261,E$2,FALSE))</f>
        <v>MR</v>
      </c>
      <c r="F477" s="16" t="str">
        <f>IF($C477="B",VLOOKUP($A477,Bat!$A$4:$BD$2323,F$1,FALSE),VLOOKUP($A477,Pit!$A$4:$AZ$2261,F$2,FALSE))</f>
        <v>Gilberto Ortíz</v>
      </c>
      <c r="G477" s="16">
        <f>IF($C477="B",VLOOKUP($A477,Bat!$A$4:$BD$2323,G$1,FALSE),VLOOKUP($A477,Pit!$A$4:$AZ$2261,G$2,FALSE))</f>
        <v>18</v>
      </c>
      <c r="H477" s="16" t="str">
        <f>IF($C477="B",VLOOKUP($A477,Bat!$A$4:$BD$2323,H$1,FALSE),VLOOKUP($A477,Pit!$A$4:$AZ$2261,H$2,FALSE))</f>
        <v>R</v>
      </c>
      <c r="I477" s="16" t="str">
        <f>IF($C477="B",VLOOKUP($A477,Bat!$A$4:$BD$2323,I$1,FALSE),VLOOKUP($A477,Pit!$A$4:$AZ$2261,I$2,FALSE))</f>
        <v>R</v>
      </c>
      <c r="J477" s="16" t="str">
        <f>IF($C477="B",VLOOKUP($A477,Bat!$A$4:$BD$2323,J$1,FALSE),VLOOKUP($A477,Pit!$A$4:$AZ$2261,J$2,FALSE))</f>
        <v>Very Low</v>
      </c>
      <c r="K477" s="17" t="str">
        <f>IF($C477="B",VLOOKUP($A477,Bat!$A$4:$BD$2323,K$1,FALSE),VLOOKUP($A477,Pit!$A$4:$AZ$2261,K$2,FALSE))</f>
        <v>Normal</v>
      </c>
      <c r="L477" s="16">
        <f>IF($C477="B",VLOOKUP($A477,Bat!$A$4:$BD$2323,L$1,FALSE),VLOOKUP($A477,Pit!$A$4:$AZ$2261,L$2,FALSE))</f>
        <v>3</v>
      </c>
      <c r="M477" s="16">
        <f>IF($C477="B",VLOOKUP($A477,Bat!$A$4:$BD$2323,M$1,FALSE),VLOOKUP($A477,Pit!$A$4:$AZ$2261,M$2,FALSE))</f>
        <v>5</v>
      </c>
      <c r="N477" s="16">
        <f>IF($C477="B",VLOOKUP($A477,Bat!$A$4:$BD$2323,N$1,FALSE),VLOOKUP($A477,Pit!$A$4:$AZ$2261,N$2,FALSE))</f>
        <v>4</v>
      </c>
      <c r="O477" s="16" t="str">
        <f>IF($C477="B",VLOOKUP($A477,Bat!$A$4:$BD$2323,O$1,FALSE),VLOOKUP($A477,Pit!$A$4:$AZ$2261,O$2,FALSE))</f>
        <v>83-85 Mph</v>
      </c>
      <c r="P477" s="17">
        <f>IF($C477="B",VLOOKUP($A477,Bat!$A$4:$BD$2323,P$1,FALSE),VLOOKUP($A477,Pit!$A$4:$AZ$2261,P$2,FALSE))</f>
        <v>3</v>
      </c>
      <c r="Q477" s="18">
        <f>IF($C477="B",VLOOKUP($A477,Bat!$A$4:$BD$2323,Q$1,FALSE),VLOOKUP($A477,Pit!$A$4:$AZ$2261,Q$2,FALSE))</f>
        <v>21.800400174799545</v>
      </c>
      <c r="R477" s="19">
        <f>IF($C477="B",VLOOKUP($A477,Bat!$A$4:$BD$2323,R$1,FALSE),VLOOKUP($A477,Pit!$A$4:$AZ$2261,R$2,FALSE))</f>
        <v>-0.96223069751027634</v>
      </c>
      <c r="S477" s="20" t="str">
        <f>IF($C477="B",VLOOKUP($A477,Bat!$A$4:$BD$2323,S$1,FALSE),VLOOKUP($A477,Pit!$A$4:$AZ$2261,S$2,FALSE))</f>
        <v>Slot</v>
      </c>
      <c r="T477" s="17" t="str">
        <f>IF(S477="Slot","",VLOOKUP(IF($C477="B",VLOOKUP($A477,Bat!$A$4:$AT$2323,T$1,FALSE),VLOOKUP($A477,Pit!$A$4:$BD$2261,T$2,FALSE)),COND!$A$34:$B$40,2,FALSE))</f>
        <v/>
      </c>
      <c r="U477" s="21">
        <f>IF($C477="B",VLOOKUP($A477,Bat!$A$4:$AR$1287,44,FALSE),VLOOKUP($A477,Pit!$A$4:$BB$1239,54,FALSE))</f>
        <v>0</v>
      </c>
      <c r="W477" s="21">
        <f t="shared" si="30"/>
        <v>0</v>
      </c>
      <c r="X477" s="22" t="e">
        <f t="shared" si="31"/>
        <v>#N/A</v>
      </c>
      <c r="Y477" s="16" t="str">
        <f>IF(ISERROR(VLOOKUP($E477&amp;$F477,Results!$A$2:$G$413,Y$1,FALSE)),"",VLOOKUP($E477&amp;$F477,Results!$A$2:$G$413,Y$1,FALSE))</f>
        <v/>
      </c>
      <c r="Z477" s="16" t="str">
        <f>IF(ISERROR(VLOOKUP($E477&amp;$F477,Results!$A$2:$G$413,Z$1,FALSE)),"",VLOOKUP($E477&amp;$F477,Results!$A$2:$G$413,Z$1,FALSE))</f>
        <v/>
      </c>
      <c r="AA477" s="16" t="str">
        <f>IF(ISERROR(VLOOKUP($E477&amp;$F477,Results!$A$2:$G$413,AA$1,FALSE)),"",VLOOKUP($E477&amp;$F477,Results!$A$2:$G$413,AA$1,FALSE))</f>
        <v/>
      </c>
      <c r="AB477" s="16" t="str">
        <f>IF(ISERROR(VLOOKUP($E477&amp;$F477,Results!$A$2:$G$413,AB$1,FALSE)),"",VLOOKUP($E477&amp;$F477,Results!$A$2:$G$413,AB$1,FALSE))</f>
        <v/>
      </c>
      <c r="AC477" s="16"/>
      <c r="AD477" s="20" t="str">
        <f>IF(ISERROR(VLOOKUP($AB477&amp;"-"&amp;$F477,Bonuses!$B$1:$G$1000,4,FALSE)),"",INT(VLOOKUP($AB477&amp;"-"&amp;$F477,Bonuses!$B$1:$G$1000,4,FALSE)))</f>
        <v/>
      </c>
      <c r="AE477" s="16" t="str">
        <f>IF(ISERROR(VLOOKUP($AB477&amp;"-"&amp;$F477,Bonuses!$B$1:$G$1000,5,FALSE)),"",IF(VLOOKUP($AB477&amp;"-"&amp;$F477,Bonuses!$B$1:$G$1000,5,FALSE)="","",VLOOKUP($AB477&amp;"-"&amp;$F477,Bonuses!$B$1:$G$1000,6,FALSE)&amp;" yrs, "&amp;VLOOKUP($AB477&amp;"-"&amp;$F477,Bonuses!$B$1:$G$1000,5,FALSE)))</f>
        <v/>
      </c>
    </row>
    <row r="478" spans="1:31" s="21" customFormat="1">
      <c r="A478" s="21" t="s">
        <v>592</v>
      </c>
      <c r="B478" s="21">
        <f t="shared" si="28"/>
        <v>1</v>
      </c>
      <c r="C478" s="21" t="str">
        <f t="shared" si="29"/>
        <v>P</v>
      </c>
      <c r="D478" s="17">
        <f>IF($C478="B",VLOOKUP($A478,Bat!$A$4:$BD$2323,D$1,FALSE),VLOOKUP($A478,Pit!$A$4:$AZ$2261,D$2,FALSE))</f>
        <v>2472</v>
      </c>
      <c r="E478" s="16" t="str">
        <f>IF($C478="B",VLOOKUP($A478,Bat!$A$4:$BD$2323,E$1,FALSE),VLOOKUP($A478,Pit!$A$4:$AZ$2261,E$2,FALSE))</f>
        <v>MR</v>
      </c>
      <c r="F478" s="16" t="str">
        <f>IF($C478="B",VLOOKUP($A478,Bat!$A$4:$BD$2323,F$1,FALSE),VLOOKUP($A478,Pit!$A$4:$AZ$2261,F$2,FALSE))</f>
        <v>Matt Dudley</v>
      </c>
      <c r="G478" s="16">
        <f>IF($C478="B",VLOOKUP($A478,Bat!$A$4:$BD$2323,G$1,FALSE),VLOOKUP($A478,Pit!$A$4:$AZ$2261,G$2,FALSE))</f>
        <v>21</v>
      </c>
      <c r="H478" s="16" t="str">
        <f>IF($C478="B",VLOOKUP($A478,Bat!$A$4:$BD$2323,H$1,FALSE),VLOOKUP($A478,Pit!$A$4:$AZ$2261,H$2,FALSE))</f>
        <v>R</v>
      </c>
      <c r="I478" s="16" t="str">
        <f>IF($C478="B",VLOOKUP($A478,Bat!$A$4:$BD$2323,I$1,FALSE),VLOOKUP($A478,Pit!$A$4:$AZ$2261,I$2,FALSE))</f>
        <v>R</v>
      </c>
      <c r="J478" s="16" t="str">
        <f>IF($C478="B",VLOOKUP($A478,Bat!$A$4:$BD$2323,J$1,FALSE),VLOOKUP($A478,Pit!$A$4:$AZ$2261,J$2,FALSE))</f>
        <v>Normal</v>
      </c>
      <c r="K478" s="17" t="str">
        <f>IF($C478="B",VLOOKUP($A478,Bat!$A$4:$BD$2323,K$1,FALSE),VLOOKUP($A478,Pit!$A$4:$AZ$2261,K$2,FALSE))</f>
        <v>Very Low</v>
      </c>
      <c r="L478" s="16">
        <f>IF($C478="B",VLOOKUP($A478,Bat!$A$4:$BD$2323,L$1,FALSE),VLOOKUP($A478,Pit!$A$4:$AZ$2261,L$2,FALSE))</f>
        <v>4</v>
      </c>
      <c r="M478" s="16">
        <f>IF($C478="B",VLOOKUP($A478,Bat!$A$4:$BD$2323,M$1,FALSE),VLOOKUP($A478,Pit!$A$4:$AZ$2261,M$2,FALSE))</f>
        <v>4</v>
      </c>
      <c r="N478" s="16">
        <f>IF($C478="B",VLOOKUP($A478,Bat!$A$4:$BD$2323,N$1,FALSE),VLOOKUP($A478,Pit!$A$4:$AZ$2261,N$2,FALSE))</f>
        <v>4</v>
      </c>
      <c r="O478" s="16" t="str">
        <f>IF($C478="B",VLOOKUP($A478,Bat!$A$4:$BD$2323,O$1,FALSE),VLOOKUP($A478,Pit!$A$4:$AZ$2261,O$2,FALSE))</f>
        <v>93-95 Mph</v>
      </c>
      <c r="P478" s="17">
        <f>IF($C478="B",VLOOKUP($A478,Bat!$A$4:$BD$2323,P$1,FALSE),VLOOKUP($A478,Pit!$A$4:$AZ$2261,P$2,FALSE))</f>
        <v>4</v>
      </c>
      <c r="Q478" s="18">
        <f>IF($C478="B",VLOOKUP($A478,Bat!$A$4:$BD$2323,Q$1,FALSE),VLOOKUP($A478,Pit!$A$4:$AZ$2261,Q$2,FALSE))</f>
        <v>21.635797465438618</v>
      </c>
      <c r="R478" s="19">
        <f>IF($C478="B",VLOOKUP($A478,Bat!$A$4:$BD$2323,R$1,FALSE),VLOOKUP($A478,Pit!$A$4:$AZ$2261,R$2,FALSE))</f>
        <v>-0.97529793714253288</v>
      </c>
      <c r="S478" s="20" t="str">
        <f>IF($C478="B",VLOOKUP($A478,Bat!$A$4:$BD$2323,S$1,FALSE),VLOOKUP($A478,Pit!$A$4:$AZ$2261,S$2,FALSE))</f>
        <v>Slot</v>
      </c>
      <c r="T478" s="17" t="str">
        <f>IF(S478="Slot","",VLOOKUP(IF($C478="B",VLOOKUP($A478,Bat!$A$4:$AT$2323,T$1,FALSE),VLOOKUP($A478,Pit!$A$4:$BD$2261,T$2,FALSE)),COND!$A$34:$B$40,2,FALSE))</f>
        <v/>
      </c>
      <c r="U478" s="21">
        <f>IF($C478="B",VLOOKUP($A478,Bat!$A$4:$AR$1287,44,FALSE),VLOOKUP($A478,Pit!$A$4:$BB$1239,54,FALSE))</f>
        <v>0</v>
      </c>
      <c r="W478" s="21">
        <f t="shared" si="30"/>
        <v>0</v>
      </c>
      <c r="X478" s="22" t="e">
        <f t="shared" si="31"/>
        <v>#N/A</v>
      </c>
      <c r="Y478" s="16" t="str">
        <f>IF(ISERROR(VLOOKUP($E478&amp;$F478,Results!$A$2:$G$413,Y$1,FALSE)),"",VLOOKUP($E478&amp;$F478,Results!$A$2:$G$413,Y$1,FALSE))</f>
        <v/>
      </c>
      <c r="Z478" s="16" t="str">
        <f>IF(ISERROR(VLOOKUP($E478&amp;$F478,Results!$A$2:$G$413,Z$1,FALSE)),"",VLOOKUP($E478&amp;$F478,Results!$A$2:$G$413,Z$1,FALSE))</f>
        <v/>
      </c>
      <c r="AA478" s="16" t="str">
        <f>IF(ISERROR(VLOOKUP($E478&amp;$F478,Results!$A$2:$G$413,AA$1,FALSE)),"",VLOOKUP($E478&amp;$F478,Results!$A$2:$G$413,AA$1,FALSE))</f>
        <v/>
      </c>
      <c r="AB478" s="16" t="str">
        <f>IF(ISERROR(VLOOKUP($E478&amp;$F478,Results!$A$2:$G$413,AB$1,FALSE)),"",VLOOKUP($E478&amp;$F478,Results!$A$2:$G$413,AB$1,FALSE))</f>
        <v/>
      </c>
      <c r="AC478" s="16"/>
      <c r="AD478" s="20" t="str">
        <f>IF(ISERROR(VLOOKUP($AB478&amp;"-"&amp;$F478,Bonuses!$B$1:$G$1000,4,FALSE)),"",INT(VLOOKUP($AB478&amp;"-"&amp;$F478,Bonuses!$B$1:$G$1000,4,FALSE)))</f>
        <v/>
      </c>
      <c r="AE478" s="16" t="str">
        <f>IF(ISERROR(VLOOKUP($AB478&amp;"-"&amp;$F478,Bonuses!$B$1:$G$1000,5,FALSE)),"",IF(VLOOKUP($AB478&amp;"-"&amp;$F478,Bonuses!$B$1:$G$1000,5,FALSE)="","",VLOOKUP($AB478&amp;"-"&amp;$F478,Bonuses!$B$1:$G$1000,6,FALSE)&amp;" yrs, "&amp;VLOOKUP($AB478&amp;"-"&amp;$F478,Bonuses!$B$1:$G$1000,5,FALSE)))</f>
        <v/>
      </c>
    </row>
    <row r="479" spans="1:31" s="21" customFormat="1">
      <c r="A479" s="21" t="s">
        <v>275</v>
      </c>
      <c r="B479" s="21">
        <f t="shared" si="28"/>
        <v>1</v>
      </c>
      <c r="C479" s="21" t="str">
        <f t="shared" si="29"/>
        <v>P</v>
      </c>
      <c r="D479" s="17">
        <f>IF($C479="B",VLOOKUP($A479,Bat!$A$4:$BD$2323,D$1,FALSE),VLOOKUP($A479,Pit!$A$4:$AZ$2261,D$2,FALSE))</f>
        <v>13738</v>
      </c>
      <c r="E479" s="16" t="str">
        <f>IF($C479="B",VLOOKUP($A479,Bat!$A$4:$BD$2323,E$1,FALSE),VLOOKUP($A479,Pit!$A$4:$AZ$2261,E$2,FALSE))</f>
        <v>MR</v>
      </c>
      <c r="F479" s="16" t="str">
        <f>IF($C479="B",VLOOKUP($A479,Bat!$A$4:$BD$2323,F$1,FALSE),VLOOKUP($A479,Pit!$A$4:$AZ$2261,F$2,FALSE))</f>
        <v>Paul Fisher</v>
      </c>
      <c r="G479" s="16">
        <f>IF($C479="B",VLOOKUP($A479,Bat!$A$4:$BD$2323,G$1,FALSE),VLOOKUP($A479,Pit!$A$4:$AZ$2261,G$2,FALSE))</f>
        <v>18</v>
      </c>
      <c r="H479" s="16" t="str">
        <f>IF($C479="B",VLOOKUP($A479,Bat!$A$4:$BD$2323,H$1,FALSE),VLOOKUP($A479,Pit!$A$4:$AZ$2261,H$2,FALSE))</f>
        <v>R</v>
      </c>
      <c r="I479" s="16" t="str">
        <f>IF($C479="B",VLOOKUP($A479,Bat!$A$4:$BD$2323,I$1,FALSE),VLOOKUP($A479,Pit!$A$4:$AZ$2261,I$2,FALSE))</f>
        <v>L</v>
      </c>
      <c r="J479" s="16" t="str">
        <f>IF($C479="B",VLOOKUP($A479,Bat!$A$4:$BD$2323,J$1,FALSE),VLOOKUP($A479,Pit!$A$4:$AZ$2261,J$2,FALSE))</f>
        <v>Low</v>
      </c>
      <c r="K479" s="17" t="str">
        <f>IF($C479="B",VLOOKUP($A479,Bat!$A$4:$BD$2323,K$1,FALSE),VLOOKUP($A479,Pit!$A$4:$AZ$2261,K$2,FALSE))</f>
        <v>Very Low</v>
      </c>
      <c r="L479" s="16">
        <f>IF($C479="B",VLOOKUP($A479,Bat!$A$4:$BD$2323,L$1,FALSE),VLOOKUP($A479,Pit!$A$4:$AZ$2261,L$2,FALSE))</f>
        <v>3</v>
      </c>
      <c r="M479" s="16">
        <f>IF($C479="B",VLOOKUP($A479,Bat!$A$4:$BD$2323,M$1,FALSE),VLOOKUP($A479,Pit!$A$4:$AZ$2261,M$2,FALSE))</f>
        <v>3</v>
      </c>
      <c r="N479" s="16">
        <f>IF($C479="B",VLOOKUP($A479,Bat!$A$4:$BD$2323,N$1,FALSE),VLOOKUP($A479,Pit!$A$4:$AZ$2261,N$2,FALSE))</f>
        <v>5</v>
      </c>
      <c r="O479" s="16" t="str">
        <f>IF($C479="B",VLOOKUP($A479,Bat!$A$4:$BD$2323,O$1,FALSE),VLOOKUP($A479,Pit!$A$4:$AZ$2261,O$2,FALSE))</f>
        <v>91-93 Mph</v>
      </c>
      <c r="P479" s="17">
        <f>IF($C479="B",VLOOKUP($A479,Bat!$A$4:$BD$2323,P$1,FALSE),VLOOKUP($A479,Pit!$A$4:$AZ$2261,P$2,FALSE))</f>
        <v>5</v>
      </c>
      <c r="Q479" s="18">
        <f>IF($C479="B",VLOOKUP($A479,Bat!$A$4:$BD$2323,Q$1,FALSE),VLOOKUP($A479,Pit!$A$4:$AZ$2261,Q$2,FALSE))</f>
        <v>20.886401499138604</v>
      </c>
      <c r="R479" s="19">
        <f>IF($C479="B",VLOOKUP($A479,Bat!$A$4:$BD$2323,R$1,FALSE),VLOOKUP($A479,Pit!$A$4:$AZ$2261,R$2,FALSE))</f>
        <v>-1.0347898902768913</v>
      </c>
      <c r="S479" s="20" t="str">
        <f>IF($C479="B",VLOOKUP($A479,Bat!$A$4:$BD$2323,S$1,FALSE),VLOOKUP($A479,Pit!$A$4:$AZ$2261,S$2,FALSE))</f>
        <v>Slot</v>
      </c>
      <c r="T479" s="17" t="str">
        <f>IF(S479="Slot","",VLOOKUP(IF($C479="B",VLOOKUP($A479,Bat!$A$4:$AT$2323,T$1,FALSE),VLOOKUP($A479,Pit!$A$4:$BD$2261,T$2,FALSE)),COND!$A$34:$B$40,2,FALSE))</f>
        <v/>
      </c>
      <c r="U479" s="21">
        <f>IF($C479="B",VLOOKUP($A479,Bat!$A$4:$AR$1287,44,FALSE),VLOOKUP($A479,Pit!$A$4:$BB$1239,54,FALSE))</f>
        <v>0</v>
      </c>
      <c r="W479" s="21">
        <f t="shared" si="30"/>
        <v>0</v>
      </c>
      <c r="X479" s="22" t="e">
        <f t="shared" si="31"/>
        <v>#N/A</v>
      </c>
      <c r="Y479" s="16" t="str">
        <f>IF(ISERROR(VLOOKUP($E479&amp;$F479,Results!$A$2:$G$413,Y$1,FALSE)),"",VLOOKUP($E479&amp;$F479,Results!$A$2:$G$413,Y$1,FALSE))</f>
        <v/>
      </c>
      <c r="Z479" s="16" t="str">
        <f>IF(ISERROR(VLOOKUP($E479&amp;$F479,Results!$A$2:$G$413,Z$1,FALSE)),"",VLOOKUP($E479&amp;$F479,Results!$A$2:$G$413,Z$1,FALSE))</f>
        <v/>
      </c>
      <c r="AA479" s="16" t="str">
        <f>IF(ISERROR(VLOOKUP($E479&amp;$F479,Results!$A$2:$G$413,AA$1,FALSE)),"",VLOOKUP($E479&amp;$F479,Results!$A$2:$G$413,AA$1,FALSE))</f>
        <v/>
      </c>
      <c r="AB479" s="16" t="str">
        <f>IF(ISERROR(VLOOKUP($E479&amp;$F479,Results!$A$2:$G$413,AB$1,FALSE)),"",VLOOKUP($E479&amp;$F479,Results!$A$2:$G$413,AB$1,FALSE))</f>
        <v/>
      </c>
      <c r="AC479" s="16"/>
      <c r="AD479" s="20" t="str">
        <f>IF(ISERROR(VLOOKUP($AB479&amp;"-"&amp;$F479,Bonuses!$B$1:$G$1000,4,FALSE)),"",INT(VLOOKUP($AB479&amp;"-"&amp;$F479,Bonuses!$B$1:$G$1000,4,FALSE)))</f>
        <v/>
      </c>
      <c r="AE479" s="16" t="str">
        <f>IF(ISERROR(VLOOKUP($AB479&amp;"-"&amp;$F479,Bonuses!$B$1:$G$1000,5,FALSE)),"",IF(VLOOKUP($AB479&amp;"-"&amp;$F479,Bonuses!$B$1:$G$1000,5,FALSE)="","",VLOOKUP($AB479&amp;"-"&amp;$F479,Bonuses!$B$1:$G$1000,6,FALSE)&amp;" yrs, "&amp;VLOOKUP($AB479&amp;"-"&amp;$F479,Bonuses!$B$1:$G$1000,5,FALSE)))</f>
        <v/>
      </c>
    </row>
    <row r="480" spans="1:31" s="21" customFormat="1">
      <c r="A480" s="21" t="s">
        <v>720</v>
      </c>
      <c r="B480" s="21">
        <f t="shared" si="28"/>
        <v>1</v>
      </c>
      <c r="C480" s="21" t="str">
        <f t="shared" si="29"/>
        <v>P</v>
      </c>
      <c r="D480" s="17">
        <f>IF($C480="B",VLOOKUP($A480,Bat!$A$4:$BD$2323,D$1,FALSE),VLOOKUP($A480,Pit!$A$4:$AZ$2261,D$2,FALSE))</f>
        <v>9377</v>
      </c>
      <c r="E480" s="16" t="str">
        <f>IF($C480="B",VLOOKUP($A480,Bat!$A$4:$BD$2323,E$1,FALSE),VLOOKUP($A480,Pit!$A$4:$AZ$2261,E$2,FALSE))</f>
        <v>SP</v>
      </c>
      <c r="F480" s="16" t="str">
        <f>IF($C480="B",VLOOKUP($A480,Bat!$A$4:$BD$2323,F$1,FALSE),VLOOKUP($A480,Pit!$A$4:$AZ$2261,F$2,FALSE))</f>
        <v>Judd Alexander</v>
      </c>
      <c r="G480" s="16">
        <f>IF($C480="B",VLOOKUP($A480,Bat!$A$4:$BD$2323,G$1,FALSE),VLOOKUP($A480,Pit!$A$4:$AZ$2261,G$2,FALSE))</f>
        <v>21</v>
      </c>
      <c r="H480" s="16" t="str">
        <f>IF($C480="B",VLOOKUP($A480,Bat!$A$4:$BD$2323,H$1,FALSE),VLOOKUP($A480,Pit!$A$4:$AZ$2261,H$2,FALSE))</f>
        <v>L</v>
      </c>
      <c r="I480" s="16" t="str">
        <f>IF($C480="B",VLOOKUP($A480,Bat!$A$4:$BD$2323,I$1,FALSE),VLOOKUP($A480,Pit!$A$4:$AZ$2261,I$2,FALSE))</f>
        <v>L</v>
      </c>
      <c r="J480" s="16" t="str">
        <f>IF($C480="B",VLOOKUP($A480,Bat!$A$4:$BD$2323,J$1,FALSE),VLOOKUP($A480,Pit!$A$4:$AZ$2261,J$2,FALSE))</f>
        <v>Very High</v>
      </c>
      <c r="K480" s="17" t="str">
        <f>IF($C480="B",VLOOKUP($A480,Bat!$A$4:$BD$2323,K$1,FALSE),VLOOKUP($A480,Pit!$A$4:$AZ$2261,K$2,FALSE))</f>
        <v>Normal</v>
      </c>
      <c r="L480" s="16">
        <f>IF($C480="B",VLOOKUP($A480,Bat!$A$4:$BD$2323,L$1,FALSE),VLOOKUP($A480,Pit!$A$4:$AZ$2261,L$2,FALSE))</f>
        <v>4</v>
      </c>
      <c r="M480" s="16">
        <f>IF($C480="B",VLOOKUP($A480,Bat!$A$4:$BD$2323,M$1,FALSE),VLOOKUP($A480,Pit!$A$4:$AZ$2261,M$2,FALSE))</f>
        <v>3</v>
      </c>
      <c r="N480" s="16">
        <f>IF($C480="B",VLOOKUP($A480,Bat!$A$4:$BD$2323,N$1,FALSE),VLOOKUP($A480,Pit!$A$4:$AZ$2261,N$2,FALSE))</f>
        <v>4</v>
      </c>
      <c r="O480" s="16" t="str">
        <f>IF($C480="B",VLOOKUP($A480,Bat!$A$4:$BD$2323,O$1,FALSE),VLOOKUP($A480,Pit!$A$4:$AZ$2261,O$2,FALSE))</f>
        <v>92-94 Mph</v>
      </c>
      <c r="P480" s="17">
        <f>IF($C480="B",VLOOKUP($A480,Bat!$A$4:$BD$2323,P$1,FALSE),VLOOKUP($A480,Pit!$A$4:$AZ$2261,P$2,FALSE))</f>
        <v>7</v>
      </c>
      <c r="Q480" s="18">
        <f>IF($C480="B",VLOOKUP($A480,Bat!$A$4:$BD$2323,Q$1,FALSE),VLOOKUP($A480,Pit!$A$4:$AZ$2261,Q$2,FALSE))</f>
        <v>23.132408828381717</v>
      </c>
      <c r="R480" s="19">
        <f>IF($C480="B",VLOOKUP($A480,Bat!$A$4:$BD$2323,R$1,FALSE),VLOOKUP($A480,Pit!$A$4:$AZ$2261,R$2,FALSE))</f>
        <v>-0.85648713875492288</v>
      </c>
      <c r="S480" s="20" t="str">
        <f>IF($C480="B",VLOOKUP($A480,Bat!$A$4:$BD$2323,S$1,FALSE),VLOOKUP($A480,Pit!$A$4:$AZ$2261,S$2,FALSE))</f>
        <v>Slot</v>
      </c>
      <c r="T480" s="17" t="str">
        <f>IF(S480="Slot","",VLOOKUP(IF($C480="B",VLOOKUP($A480,Bat!$A$4:$AT$2323,T$1,FALSE),VLOOKUP($A480,Pit!$A$4:$BD$2261,T$2,FALSE)),COND!$A$34:$B$40,2,FALSE))</f>
        <v/>
      </c>
      <c r="U480" s="21">
        <f>IF($C480="B",VLOOKUP($A480,Bat!$A$4:$AR$1287,44,FALSE),VLOOKUP($A480,Pit!$A$4:$BB$1239,54,FALSE))</f>
        <v>0</v>
      </c>
      <c r="W480" s="21">
        <f t="shared" si="30"/>
        <v>0</v>
      </c>
      <c r="X480" s="22" t="e">
        <f t="shared" si="31"/>
        <v>#N/A</v>
      </c>
      <c r="Y480" s="16" t="str">
        <f>IF(ISERROR(VLOOKUP($E480&amp;$F480,Results!$A$2:$G$413,Y$1,FALSE)),"",VLOOKUP($E480&amp;$F480,Results!$A$2:$G$413,Y$1,FALSE))</f>
        <v/>
      </c>
      <c r="Z480" s="16" t="str">
        <f>IF(ISERROR(VLOOKUP($E480&amp;$F480,Results!$A$2:$G$413,Z$1,FALSE)),"",VLOOKUP($E480&amp;$F480,Results!$A$2:$G$413,Z$1,FALSE))</f>
        <v/>
      </c>
      <c r="AA480" s="16" t="str">
        <f>IF(ISERROR(VLOOKUP($E480&amp;$F480,Results!$A$2:$G$413,AA$1,FALSE)),"",VLOOKUP($E480&amp;$F480,Results!$A$2:$G$413,AA$1,FALSE))</f>
        <v/>
      </c>
      <c r="AB480" s="16" t="str">
        <f>IF(ISERROR(VLOOKUP($E480&amp;$F480,Results!$A$2:$G$413,AB$1,FALSE)),"",VLOOKUP($E480&amp;$F480,Results!$A$2:$G$413,AB$1,FALSE))</f>
        <v/>
      </c>
      <c r="AC480" s="16"/>
      <c r="AD480" s="20" t="str">
        <f>IF(ISERROR(VLOOKUP($AB480&amp;"-"&amp;$F480,Bonuses!$B$1:$G$1000,4,FALSE)),"",INT(VLOOKUP($AB480&amp;"-"&amp;$F480,Bonuses!$B$1:$G$1000,4,FALSE)))</f>
        <v/>
      </c>
      <c r="AE480" s="16" t="str">
        <f>IF(ISERROR(VLOOKUP($AB480&amp;"-"&amp;$F480,Bonuses!$B$1:$G$1000,5,FALSE)),"",IF(VLOOKUP($AB480&amp;"-"&amp;$F480,Bonuses!$B$1:$G$1000,5,FALSE)="","",VLOOKUP($AB480&amp;"-"&amp;$F480,Bonuses!$B$1:$G$1000,6,FALSE)&amp;" yrs, "&amp;VLOOKUP($AB480&amp;"-"&amp;$F480,Bonuses!$B$1:$G$1000,5,FALSE)))</f>
        <v/>
      </c>
    </row>
    <row r="481" spans="1:31" s="21" customFormat="1">
      <c r="A481" s="21" t="s">
        <v>582</v>
      </c>
      <c r="B481" s="21">
        <f t="shared" si="28"/>
        <v>1</v>
      </c>
      <c r="C481" s="21" t="str">
        <f t="shared" si="29"/>
        <v>P</v>
      </c>
      <c r="D481" s="17">
        <f>IF($C481="B",VLOOKUP($A481,Bat!$A$4:$BD$2323,D$1,FALSE),VLOOKUP($A481,Pit!$A$4:$AZ$2261,D$2,FALSE))</f>
        <v>2172</v>
      </c>
      <c r="E481" s="16" t="str">
        <f>IF($C481="B",VLOOKUP($A481,Bat!$A$4:$BD$2323,E$1,FALSE),VLOOKUP($A481,Pit!$A$4:$AZ$2261,E$2,FALSE))</f>
        <v>SP</v>
      </c>
      <c r="F481" s="16" t="str">
        <f>IF($C481="B",VLOOKUP($A481,Bat!$A$4:$BD$2323,F$1,FALSE),VLOOKUP($A481,Pit!$A$4:$AZ$2261,F$2,FALSE))</f>
        <v>Norbert Jackson</v>
      </c>
      <c r="G481" s="16">
        <f>IF($C481="B",VLOOKUP($A481,Bat!$A$4:$BD$2323,G$1,FALSE),VLOOKUP($A481,Pit!$A$4:$AZ$2261,G$2,FALSE))</f>
        <v>21</v>
      </c>
      <c r="H481" s="16" t="str">
        <f>IF($C481="B",VLOOKUP($A481,Bat!$A$4:$BD$2323,H$1,FALSE),VLOOKUP($A481,Pit!$A$4:$AZ$2261,H$2,FALSE))</f>
        <v>R</v>
      </c>
      <c r="I481" s="16" t="str">
        <f>IF($C481="B",VLOOKUP($A481,Bat!$A$4:$BD$2323,I$1,FALSE),VLOOKUP($A481,Pit!$A$4:$AZ$2261,I$2,FALSE))</f>
        <v>R</v>
      </c>
      <c r="J481" s="16" t="str">
        <f>IF($C481="B",VLOOKUP($A481,Bat!$A$4:$BD$2323,J$1,FALSE),VLOOKUP($A481,Pit!$A$4:$AZ$2261,J$2,FALSE))</f>
        <v>Very Low</v>
      </c>
      <c r="K481" s="17" t="str">
        <f>IF($C481="B",VLOOKUP($A481,Bat!$A$4:$BD$2323,K$1,FALSE),VLOOKUP($A481,Pit!$A$4:$AZ$2261,K$2,FALSE))</f>
        <v>Very Low</v>
      </c>
      <c r="L481" s="16">
        <f>IF($C481="B",VLOOKUP($A481,Bat!$A$4:$BD$2323,L$1,FALSE),VLOOKUP($A481,Pit!$A$4:$AZ$2261,L$2,FALSE))</f>
        <v>5</v>
      </c>
      <c r="M481" s="16">
        <f>IF($C481="B",VLOOKUP($A481,Bat!$A$4:$BD$2323,M$1,FALSE),VLOOKUP($A481,Pit!$A$4:$AZ$2261,M$2,FALSE))</f>
        <v>3</v>
      </c>
      <c r="N481" s="16">
        <f>IF($C481="B",VLOOKUP($A481,Bat!$A$4:$BD$2323,N$1,FALSE),VLOOKUP($A481,Pit!$A$4:$AZ$2261,N$2,FALSE))</f>
        <v>4</v>
      </c>
      <c r="O481" s="16" t="str">
        <f>IF($C481="B",VLOOKUP($A481,Bat!$A$4:$BD$2323,O$1,FALSE),VLOOKUP($A481,Pit!$A$4:$AZ$2261,O$2,FALSE))</f>
        <v>95-97 Mph</v>
      </c>
      <c r="P481" s="17">
        <f>IF($C481="B",VLOOKUP($A481,Bat!$A$4:$BD$2323,P$1,FALSE),VLOOKUP($A481,Pit!$A$4:$AZ$2261,P$2,FALSE))</f>
        <v>4</v>
      </c>
      <c r="Q481" s="18">
        <f>IF($C481="B",VLOOKUP($A481,Bat!$A$4:$BD$2323,Q$1,FALSE),VLOOKUP($A481,Pit!$A$4:$AZ$2261,Q$2,FALSE))</f>
        <v>19.766258615820142</v>
      </c>
      <c r="R481" s="19">
        <f>IF($C481="B",VLOOKUP($A481,Bat!$A$4:$BD$2323,R$1,FALSE),VLOOKUP($A481,Pit!$A$4:$AZ$2261,R$2,FALSE))</f>
        <v>-1.1237141585074579</v>
      </c>
      <c r="S481" s="20" t="str">
        <f>IF($C481="B",VLOOKUP($A481,Bat!$A$4:$BD$2323,S$1,FALSE),VLOOKUP($A481,Pit!$A$4:$AZ$2261,S$2,FALSE))</f>
        <v>Slot</v>
      </c>
      <c r="T481" s="17" t="str">
        <f>IF(S481="Slot","",VLOOKUP(IF($C481="B",VLOOKUP($A481,Bat!$A$4:$AT$2323,T$1,FALSE),VLOOKUP($A481,Pit!$A$4:$BD$2261,T$2,FALSE)),COND!$A$34:$B$40,2,FALSE))</f>
        <v/>
      </c>
      <c r="U481" s="21">
        <f>IF($C481="B",VLOOKUP($A481,Bat!$A$4:$AR$1287,44,FALSE),VLOOKUP($A481,Pit!$A$4:$BB$1239,54,FALSE))</f>
        <v>0</v>
      </c>
      <c r="W481" s="21">
        <f t="shared" si="30"/>
        <v>0</v>
      </c>
      <c r="X481" s="22" t="e">
        <f t="shared" si="31"/>
        <v>#N/A</v>
      </c>
      <c r="Y481" s="16" t="str">
        <f>IF(ISERROR(VLOOKUP($E481&amp;$F481,Results!$A$2:$G$413,Y$1,FALSE)),"",VLOOKUP($E481&amp;$F481,Results!$A$2:$G$413,Y$1,FALSE))</f>
        <v/>
      </c>
      <c r="Z481" s="16" t="str">
        <f>IF(ISERROR(VLOOKUP($E481&amp;$F481,Results!$A$2:$G$413,Z$1,FALSE)),"",VLOOKUP($E481&amp;$F481,Results!$A$2:$G$413,Z$1,FALSE))</f>
        <v/>
      </c>
      <c r="AA481" s="16" t="str">
        <f>IF(ISERROR(VLOOKUP($E481&amp;$F481,Results!$A$2:$G$413,AA$1,FALSE)),"",VLOOKUP($E481&amp;$F481,Results!$A$2:$G$413,AA$1,FALSE))</f>
        <v/>
      </c>
      <c r="AB481" s="16" t="str">
        <f>IF(ISERROR(VLOOKUP($E481&amp;$F481,Results!$A$2:$G$413,AB$1,FALSE)),"",VLOOKUP($E481&amp;$F481,Results!$A$2:$G$413,AB$1,FALSE))</f>
        <v/>
      </c>
      <c r="AC481" s="16"/>
      <c r="AD481" s="20" t="str">
        <f>IF(ISERROR(VLOOKUP($AB481&amp;"-"&amp;$F481,Bonuses!$B$1:$G$1000,4,FALSE)),"",INT(VLOOKUP($AB481&amp;"-"&amp;$F481,Bonuses!$B$1:$G$1000,4,FALSE)))</f>
        <v/>
      </c>
      <c r="AE481" s="16" t="str">
        <f>IF(ISERROR(VLOOKUP($AB481&amp;"-"&amp;$F481,Bonuses!$B$1:$G$1000,5,FALSE)),"",IF(VLOOKUP($AB481&amp;"-"&amp;$F481,Bonuses!$B$1:$G$1000,5,FALSE)="","",VLOOKUP($AB481&amp;"-"&amp;$F481,Bonuses!$B$1:$G$1000,6,FALSE)&amp;" yrs, "&amp;VLOOKUP($AB481&amp;"-"&amp;$F481,Bonuses!$B$1:$G$1000,5,FALSE)))</f>
        <v/>
      </c>
    </row>
    <row r="482" spans="1:31" s="21" customFormat="1">
      <c r="A482" s="21" t="s">
        <v>93</v>
      </c>
      <c r="B482" s="21">
        <f t="shared" si="28"/>
        <v>1</v>
      </c>
      <c r="C482" s="21" t="str">
        <f t="shared" si="29"/>
        <v>P</v>
      </c>
      <c r="D482" s="17">
        <f>IF($C482="B",VLOOKUP($A482,Bat!$A$4:$BD$2323,D$1,FALSE),VLOOKUP($A482,Pit!$A$4:$AZ$2261,D$2,FALSE))</f>
        <v>13845</v>
      </c>
      <c r="E482" s="16" t="str">
        <f>IF($C482="B",VLOOKUP($A482,Bat!$A$4:$BD$2323,E$1,FALSE),VLOOKUP($A482,Pit!$A$4:$AZ$2261,E$2,FALSE))</f>
        <v>SP</v>
      </c>
      <c r="F482" s="16" t="str">
        <f>IF($C482="B",VLOOKUP($A482,Bat!$A$4:$BD$2323,F$1,FALSE),VLOOKUP($A482,Pit!$A$4:$AZ$2261,F$2,FALSE))</f>
        <v>Robbie Lowe</v>
      </c>
      <c r="G482" s="16">
        <f>IF($C482="B",VLOOKUP($A482,Bat!$A$4:$BD$2323,G$1,FALSE),VLOOKUP($A482,Pit!$A$4:$AZ$2261,G$2,FALSE))</f>
        <v>18</v>
      </c>
      <c r="H482" s="16" t="str">
        <f>IF($C482="B",VLOOKUP($A482,Bat!$A$4:$BD$2323,H$1,FALSE),VLOOKUP($A482,Pit!$A$4:$AZ$2261,H$2,FALSE))</f>
        <v>S</v>
      </c>
      <c r="I482" s="16" t="str">
        <f>IF($C482="B",VLOOKUP($A482,Bat!$A$4:$BD$2323,I$1,FALSE),VLOOKUP($A482,Pit!$A$4:$AZ$2261,I$2,FALSE))</f>
        <v>R</v>
      </c>
      <c r="J482" s="16" t="str">
        <f>IF($C482="B",VLOOKUP($A482,Bat!$A$4:$BD$2323,J$1,FALSE),VLOOKUP($A482,Pit!$A$4:$AZ$2261,J$2,FALSE))</f>
        <v>Normal</v>
      </c>
      <c r="K482" s="17" t="str">
        <f>IF($C482="B",VLOOKUP($A482,Bat!$A$4:$BD$2323,K$1,FALSE),VLOOKUP($A482,Pit!$A$4:$AZ$2261,K$2,FALSE))</f>
        <v>Very High</v>
      </c>
      <c r="L482" s="16">
        <f>IF($C482="B",VLOOKUP($A482,Bat!$A$4:$BD$2323,L$1,FALSE),VLOOKUP($A482,Pit!$A$4:$AZ$2261,L$2,FALSE))</f>
        <v>4</v>
      </c>
      <c r="M482" s="16">
        <f>IF($C482="B",VLOOKUP($A482,Bat!$A$4:$BD$2323,M$1,FALSE),VLOOKUP($A482,Pit!$A$4:$AZ$2261,M$2,FALSE))</f>
        <v>3</v>
      </c>
      <c r="N482" s="16">
        <f>IF($C482="B",VLOOKUP($A482,Bat!$A$4:$BD$2323,N$1,FALSE),VLOOKUP($A482,Pit!$A$4:$AZ$2261,N$2,FALSE))</f>
        <v>4</v>
      </c>
      <c r="O482" s="16" t="str">
        <f>IF($C482="B",VLOOKUP($A482,Bat!$A$4:$BD$2323,O$1,FALSE),VLOOKUP($A482,Pit!$A$4:$AZ$2261,O$2,FALSE))</f>
        <v>87-89 Mph</v>
      </c>
      <c r="P482" s="17">
        <f>IF($C482="B",VLOOKUP($A482,Bat!$A$4:$BD$2323,P$1,FALSE),VLOOKUP($A482,Pit!$A$4:$AZ$2261,P$2,FALSE))</f>
        <v>9</v>
      </c>
      <c r="Q482" s="18">
        <f>IF($C482="B",VLOOKUP($A482,Bat!$A$4:$BD$2323,Q$1,FALSE),VLOOKUP($A482,Pit!$A$4:$AZ$2261,Q$2,FALSE))</f>
        <v>23.04500645026906</v>
      </c>
      <c r="R482" s="19">
        <f>IF($C482="B",VLOOKUP($A482,Bat!$A$4:$BD$2323,R$1,FALSE),VLOOKUP($A482,Pit!$A$4:$AZ$2261,R$2,FALSE))</f>
        <v>-0.86342571117369671</v>
      </c>
      <c r="S482" s="20" t="str">
        <f>IF($C482="B",VLOOKUP($A482,Bat!$A$4:$BD$2323,S$1,FALSE),VLOOKUP($A482,Pit!$A$4:$AZ$2261,S$2,FALSE))</f>
        <v>Slot</v>
      </c>
      <c r="T482" s="17" t="str">
        <f>IF(S482="Slot","",VLOOKUP(IF($C482="B",VLOOKUP($A482,Bat!$A$4:$AT$2323,T$1,FALSE),VLOOKUP($A482,Pit!$A$4:$BD$2261,T$2,FALSE)),COND!$A$34:$B$40,2,FALSE))</f>
        <v/>
      </c>
      <c r="U482" s="21">
        <f>IF($C482="B",VLOOKUP($A482,Bat!$A$4:$AR$1287,44,FALSE),VLOOKUP($A482,Pit!$A$4:$BB$1239,54,FALSE))</f>
        <v>0</v>
      </c>
      <c r="W482" s="21">
        <f t="shared" si="30"/>
        <v>0</v>
      </c>
      <c r="X482" s="22" t="e">
        <f t="shared" si="31"/>
        <v>#N/A</v>
      </c>
      <c r="Y482" s="16" t="str">
        <f>IF(ISERROR(VLOOKUP($E482&amp;$F482,Results!$A$2:$G$413,Y$1,FALSE)),"",VLOOKUP($E482&amp;$F482,Results!$A$2:$G$413,Y$1,FALSE))</f>
        <v/>
      </c>
      <c r="Z482" s="16" t="str">
        <f>IF(ISERROR(VLOOKUP($E482&amp;$F482,Results!$A$2:$G$413,Z$1,FALSE)),"",VLOOKUP($E482&amp;$F482,Results!$A$2:$G$413,Z$1,FALSE))</f>
        <v/>
      </c>
      <c r="AA482" s="16" t="str">
        <f>IF(ISERROR(VLOOKUP($E482&amp;$F482,Results!$A$2:$G$413,AA$1,FALSE)),"",VLOOKUP($E482&amp;$F482,Results!$A$2:$G$413,AA$1,FALSE))</f>
        <v/>
      </c>
      <c r="AB482" s="16" t="str">
        <f>IF(ISERROR(VLOOKUP($E482&amp;$F482,Results!$A$2:$G$413,AB$1,FALSE)),"",VLOOKUP($E482&amp;$F482,Results!$A$2:$G$413,AB$1,FALSE))</f>
        <v/>
      </c>
      <c r="AC482" s="16"/>
      <c r="AD482" s="20" t="str">
        <f>IF(ISERROR(VLOOKUP($AB482&amp;"-"&amp;$F482,Bonuses!$B$1:$G$1000,4,FALSE)),"",INT(VLOOKUP($AB482&amp;"-"&amp;$F482,Bonuses!$B$1:$G$1000,4,FALSE)))</f>
        <v/>
      </c>
      <c r="AE482" s="16" t="str">
        <f>IF(ISERROR(VLOOKUP($AB482&amp;"-"&amp;$F482,Bonuses!$B$1:$G$1000,5,FALSE)),"",IF(VLOOKUP($AB482&amp;"-"&amp;$F482,Bonuses!$B$1:$G$1000,5,FALSE)="","",VLOOKUP($AB482&amp;"-"&amp;$F482,Bonuses!$B$1:$G$1000,6,FALSE)&amp;" yrs, "&amp;VLOOKUP($AB482&amp;"-"&amp;$F482,Bonuses!$B$1:$G$1000,5,FALSE)))</f>
        <v/>
      </c>
    </row>
    <row r="483" spans="1:31" s="21" customFormat="1">
      <c r="A483" s="21" t="s">
        <v>717</v>
      </c>
      <c r="B483" s="21">
        <f t="shared" si="28"/>
        <v>1</v>
      </c>
      <c r="C483" s="21" t="str">
        <f t="shared" si="29"/>
        <v>P</v>
      </c>
      <c r="D483" s="17">
        <f>IF($C483="B",VLOOKUP($A483,Bat!$A$4:$BD$2323,D$1,FALSE),VLOOKUP($A483,Pit!$A$4:$AZ$2261,D$2,FALSE))</f>
        <v>4089</v>
      </c>
      <c r="E483" s="16" t="str">
        <f>IF($C483="B",VLOOKUP($A483,Bat!$A$4:$BD$2323,E$1,FALSE),VLOOKUP($A483,Pit!$A$4:$AZ$2261,E$2,FALSE))</f>
        <v>MR</v>
      </c>
      <c r="F483" s="16" t="str">
        <f>IF($C483="B",VLOOKUP($A483,Bat!$A$4:$BD$2323,F$1,FALSE),VLOOKUP($A483,Pit!$A$4:$AZ$2261,F$2,FALSE))</f>
        <v>Brennan Woodward</v>
      </c>
      <c r="G483" s="16">
        <f>IF($C483="B",VLOOKUP($A483,Bat!$A$4:$BD$2323,G$1,FALSE),VLOOKUP($A483,Pit!$A$4:$AZ$2261,G$2,FALSE))</f>
        <v>21</v>
      </c>
      <c r="H483" s="16" t="str">
        <f>IF($C483="B",VLOOKUP($A483,Bat!$A$4:$BD$2323,H$1,FALSE),VLOOKUP($A483,Pit!$A$4:$AZ$2261,H$2,FALSE))</f>
        <v>R</v>
      </c>
      <c r="I483" s="16" t="str">
        <f>IF($C483="B",VLOOKUP($A483,Bat!$A$4:$BD$2323,I$1,FALSE),VLOOKUP($A483,Pit!$A$4:$AZ$2261,I$2,FALSE))</f>
        <v>R</v>
      </c>
      <c r="J483" s="16" t="str">
        <f>IF($C483="B",VLOOKUP($A483,Bat!$A$4:$BD$2323,J$1,FALSE),VLOOKUP($A483,Pit!$A$4:$AZ$2261,J$2,FALSE))</f>
        <v>Normal</v>
      </c>
      <c r="K483" s="17" t="str">
        <f>IF($C483="B",VLOOKUP($A483,Bat!$A$4:$BD$2323,K$1,FALSE),VLOOKUP($A483,Pit!$A$4:$AZ$2261,K$2,FALSE))</f>
        <v>Normal</v>
      </c>
      <c r="L483" s="16">
        <f>IF($C483="B",VLOOKUP($A483,Bat!$A$4:$BD$2323,L$1,FALSE),VLOOKUP($A483,Pit!$A$4:$AZ$2261,L$2,FALSE))</f>
        <v>4</v>
      </c>
      <c r="M483" s="16">
        <f>IF($C483="B",VLOOKUP($A483,Bat!$A$4:$BD$2323,M$1,FALSE),VLOOKUP($A483,Pit!$A$4:$AZ$2261,M$2,FALSE))</f>
        <v>3</v>
      </c>
      <c r="N483" s="16">
        <f>IF($C483="B",VLOOKUP($A483,Bat!$A$4:$BD$2323,N$1,FALSE),VLOOKUP($A483,Pit!$A$4:$AZ$2261,N$2,FALSE))</f>
        <v>4</v>
      </c>
      <c r="O483" s="16" t="str">
        <f>IF($C483="B",VLOOKUP($A483,Bat!$A$4:$BD$2323,O$1,FALSE),VLOOKUP($A483,Pit!$A$4:$AZ$2261,O$2,FALSE))</f>
        <v>92-94 Mph</v>
      </c>
      <c r="P483" s="17">
        <f>IF($C483="B",VLOOKUP($A483,Bat!$A$4:$BD$2323,P$1,FALSE),VLOOKUP($A483,Pit!$A$4:$AZ$2261,P$2,FALSE))</f>
        <v>8</v>
      </c>
      <c r="Q483" s="18">
        <f>IF($C483="B",VLOOKUP($A483,Bat!$A$4:$BD$2323,Q$1,FALSE),VLOOKUP($A483,Pit!$A$4:$AZ$2261,Q$2,FALSE))</f>
        <v>22.62134709328355</v>
      </c>
      <c r="R483" s="19">
        <f>IF($C483="B",VLOOKUP($A483,Bat!$A$4:$BD$2323,R$1,FALSE),VLOOKUP($A483,Pit!$A$4:$AZ$2261,R$2,FALSE))</f>
        <v>-0.89705856182160648</v>
      </c>
      <c r="S483" s="20" t="str">
        <f>IF($C483="B",VLOOKUP($A483,Bat!$A$4:$BD$2323,S$1,FALSE),VLOOKUP($A483,Pit!$A$4:$AZ$2261,S$2,FALSE))</f>
        <v>Slot</v>
      </c>
      <c r="T483" s="17" t="str">
        <f>IF(S483="Slot","",VLOOKUP(IF($C483="B",VLOOKUP($A483,Bat!$A$4:$AT$2323,T$1,FALSE),VLOOKUP($A483,Pit!$A$4:$BD$2261,T$2,FALSE)),COND!$A$34:$B$40,2,FALSE))</f>
        <v/>
      </c>
      <c r="U483" s="21">
        <f>IF($C483="B",VLOOKUP($A483,Bat!$A$4:$AR$1287,44,FALSE),VLOOKUP($A483,Pit!$A$4:$BB$1239,54,FALSE))</f>
        <v>0</v>
      </c>
      <c r="W483" s="21">
        <f t="shared" si="30"/>
        <v>0</v>
      </c>
      <c r="X483" s="22" t="e">
        <f t="shared" si="31"/>
        <v>#N/A</v>
      </c>
      <c r="Y483" s="16" t="str">
        <f>IF(ISERROR(VLOOKUP($E483&amp;$F483,Results!$A$2:$G$413,Y$1,FALSE)),"",VLOOKUP($E483&amp;$F483,Results!$A$2:$G$413,Y$1,FALSE))</f>
        <v/>
      </c>
      <c r="Z483" s="16" t="str">
        <f>IF(ISERROR(VLOOKUP($E483&amp;$F483,Results!$A$2:$G$413,Z$1,FALSE)),"",VLOOKUP($E483&amp;$F483,Results!$A$2:$G$413,Z$1,FALSE))</f>
        <v/>
      </c>
      <c r="AA483" s="16" t="str">
        <f>IF(ISERROR(VLOOKUP($E483&amp;$F483,Results!$A$2:$G$413,AA$1,FALSE)),"",VLOOKUP($E483&amp;$F483,Results!$A$2:$G$413,AA$1,FALSE))</f>
        <v/>
      </c>
      <c r="AB483" s="16" t="str">
        <f>IF(ISERROR(VLOOKUP($E483&amp;$F483,Results!$A$2:$G$413,AB$1,FALSE)),"",VLOOKUP($E483&amp;$F483,Results!$A$2:$G$413,AB$1,FALSE))</f>
        <v/>
      </c>
      <c r="AC483" s="16"/>
      <c r="AD483" s="20" t="str">
        <f>IF(ISERROR(VLOOKUP($AB483&amp;"-"&amp;$F483,Bonuses!$B$1:$G$1000,4,FALSE)),"",INT(VLOOKUP($AB483&amp;"-"&amp;$F483,Bonuses!$B$1:$G$1000,4,FALSE)))</f>
        <v/>
      </c>
      <c r="AE483" s="16" t="str">
        <f>IF(ISERROR(VLOOKUP($AB483&amp;"-"&amp;$F483,Bonuses!$B$1:$G$1000,5,FALSE)),"",IF(VLOOKUP($AB483&amp;"-"&amp;$F483,Bonuses!$B$1:$G$1000,5,FALSE)="","",VLOOKUP($AB483&amp;"-"&amp;$F483,Bonuses!$B$1:$G$1000,6,FALSE)&amp;" yrs, "&amp;VLOOKUP($AB483&amp;"-"&amp;$F483,Bonuses!$B$1:$G$1000,5,FALSE)))</f>
        <v/>
      </c>
    </row>
    <row r="484" spans="1:31" s="21" customFormat="1">
      <c r="A484" s="21" t="s">
        <v>563</v>
      </c>
      <c r="B484" s="21">
        <f t="shared" si="28"/>
        <v>1</v>
      </c>
      <c r="C484" s="21" t="str">
        <f t="shared" si="29"/>
        <v>P</v>
      </c>
      <c r="D484" s="17">
        <f>IF($C484="B",VLOOKUP($A484,Bat!$A$4:$BD$2323,D$1,FALSE),VLOOKUP($A484,Pit!$A$4:$AZ$2261,D$2,FALSE))</f>
        <v>13799</v>
      </c>
      <c r="E484" s="16" t="str">
        <f>IF($C484="B",VLOOKUP($A484,Bat!$A$4:$BD$2323,E$1,FALSE),VLOOKUP($A484,Pit!$A$4:$AZ$2261,E$2,FALSE))</f>
        <v>MR</v>
      </c>
      <c r="F484" s="16" t="str">
        <f>IF($C484="B",VLOOKUP($A484,Bat!$A$4:$BD$2323,F$1,FALSE),VLOOKUP($A484,Pit!$A$4:$AZ$2261,F$2,FALSE))</f>
        <v>Sergio Sandoval</v>
      </c>
      <c r="G484" s="16">
        <f>IF($C484="B",VLOOKUP($A484,Bat!$A$4:$BD$2323,G$1,FALSE),VLOOKUP($A484,Pit!$A$4:$AZ$2261,G$2,FALSE))</f>
        <v>18</v>
      </c>
      <c r="H484" s="16" t="str">
        <f>IF($C484="B",VLOOKUP($A484,Bat!$A$4:$BD$2323,H$1,FALSE),VLOOKUP($A484,Pit!$A$4:$AZ$2261,H$2,FALSE))</f>
        <v>R</v>
      </c>
      <c r="I484" s="16" t="str">
        <f>IF($C484="B",VLOOKUP($A484,Bat!$A$4:$BD$2323,I$1,FALSE),VLOOKUP($A484,Pit!$A$4:$AZ$2261,I$2,FALSE))</f>
        <v>R</v>
      </c>
      <c r="J484" s="16" t="str">
        <f>IF($C484="B",VLOOKUP($A484,Bat!$A$4:$BD$2323,J$1,FALSE),VLOOKUP($A484,Pit!$A$4:$AZ$2261,J$2,FALSE))</f>
        <v>Low</v>
      </c>
      <c r="K484" s="17" t="str">
        <f>IF($C484="B",VLOOKUP($A484,Bat!$A$4:$BD$2323,K$1,FALSE),VLOOKUP($A484,Pit!$A$4:$AZ$2261,K$2,FALSE))</f>
        <v>Normal</v>
      </c>
      <c r="L484" s="16">
        <f>IF($C484="B",VLOOKUP($A484,Bat!$A$4:$BD$2323,L$1,FALSE),VLOOKUP($A484,Pit!$A$4:$AZ$2261,L$2,FALSE))</f>
        <v>3</v>
      </c>
      <c r="M484" s="16">
        <f>IF($C484="B",VLOOKUP($A484,Bat!$A$4:$BD$2323,M$1,FALSE),VLOOKUP($A484,Pit!$A$4:$AZ$2261,M$2,FALSE))</f>
        <v>4</v>
      </c>
      <c r="N484" s="16">
        <f>IF($C484="B",VLOOKUP($A484,Bat!$A$4:$BD$2323,N$1,FALSE),VLOOKUP($A484,Pit!$A$4:$AZ$2261,N$2,FALSE))</f>
        <v>4</v>
      </c>
      <c r="O484" s="16" t="str">
        <f>IF($C484="B",VLOOKUP($A484,Bat!$A$4:$BD$2323,O$1,FALSE),VLOOKUP($A484,Pit!$A$4:$AZ$2261,O$2,FALSE))</f>
        <v>89-90 Mph</v>
      </c>
      <c r="P484" s="17">
        <f>IF($C484="B",VLOOKUP($A484,Bat!$A$4:$BD$2323,P$1,FALSE),VLOOKUP($A484,Pit!$A$4:$AZ$2261,P$2,FALSE))</f>
        <v>6</v>
      </c>
      <c r="Q484" s="18">
        <f>IF($C484="B",VLOOKUP($A484,Bat!$A$4:$BD$2323,Q$1,FALSE),VLOOKUP($A484,Pit!$A$4:$AZ$2261,Q$2,FALSE))</f>
        <v>22.073142924452679</v>
      </c>
      <c r="R484" s="19">
        <f>IF($C484="B",VLOOKUP($A484,Bat!$A$4:$BD$2323,R$1,FALSE),VLOOKUP($A484,Pit!$A$4:$AZ$2261,R$2,FALSE))</f>
        <v>-0.94057859420337875</v>
      </c>
      <c r="S484" s="20" t="str">
        <f>IF($C484="B",VLOOKUP($A484,Bat!$A$4:$BD$2323,S$1,FALSE),VLOOKUP($A484,Pit!$A$4:$AZ$2261,S$2,FALSE))</f>
        <v>Slot</v>
      </c>
      <c r="T484" s="17" t="str">
        <f>IF(S484="Slot","",VLOOKUP(IF($C484="B",VLOOKUP($A484,Bat!$A$4:$AT$2323,T$1,FALSE),VLOOKUP($A484,Pit!$A$4:$BD$2261,T$2,FALSE)),COND!$A$34:$B$40,2,FALSE))</f>
        <v/>
      </c>
      <c r="U484" s="21">
        <f>IF($C484="B",VLOOKUP($A484,Bat!$A$4:$AR$1287,44,FALSE),VLOOKUP($A484,Pit!$A$4:$BB$1239,54,FALSE))</f>
        <v>0</v>
      </c>
      <c r="W484" s="21">
        <f t="shared" si="30"/>
        <v>0</v>
      </c>
      <c r="X484" s="22" t="e">
        <f t="shared" si="31"/>
        <v>#N/A</v>
      </c>
      <c r="Y484" s="16" t="str">
        <f>IF(ISERROR(VLOOKUP($E484&amp;$F484,Results!$A$2:$G$413,Y$1,FALSE)),"",VLOOKUP($E484&amp;$F484,Results!$A$2:$G$413,Y$1,FALSE))</f>
        <v/>
      </c>
      <c r="Z484" s="16" t="str">
        <f>IF(ISERROR(VLOOKUP($E484&amp;$F484,Results!$A$2:$G$413,Z$1,FALSE)),"",VLOOKUP($E484&amp;$F484,Results!$A$2:$G$413,Z$1,FALSE))</f>
        <v/>
      </c>
      <c r="AA484" s="16" t="str">
        <f>IF(ISERROR(VLOOKUP($E484&amp;$F484,Results!$A$2:$G$413,AA$1,FALSE)),"",VLOOKUP($E484&amp;$F484,Results!$A$2:$G$413,AA$1,FALSE))</f>
        <v/>
      </c>
      <c r="AB484" s="16" t="str">
        <f>IF(ISERROR(VLOOKUP($E484&amp;$F484,Results!$A$2:$G$413,AB$1,FALSE)),"",VLOOKUP($E484&amp;$F484,Results!$A$2:$G$413,AB$1,FALSE))</f>
        <v/>
      </c>
      <c r="AC484" s="16"/>
      <c r="AD484" s="20" t="str">
        <f>IF(ISERROR(VLOOKUP($AB484&amp;"-"&amp;$F484,Bonuses!$B$1:$G$1000,4,FALSE)),"",INT(VLOOKUP($AB484&amp;"-"&amp;$F484,Bonuses!$B$1:$G$1000,4,FALSE)))</f>
        <v/>
      </c>
      <c r="AE484" s="16" t="str">
        <f>IF(ISERROR(VLOOKUP($AB484&amp;"-"&amp;$F484,Bonuses!$B$1:$G$1000,5,FALSE)),"",IF(VLOOKUP($AB484&amp;"-"&amp;$F484,Bonuses!$B$1:$G$1000,5,FALSE)="","",VLOOKUP($AB484&amp;"-"&amp;$F484,Bonuses!$B$1:$G$1000,6,FALSE)&amp;" yrs, "&amp;VLOOKUP($AB484&amp;"-"&amp;$F484,Bonuses!$B$1:$G$1000,5,FALSE)))</f>
        <v/>
      </c>
    </row>
    <row r="485" spans="1:31" s="21" customFormat="1">
      <c r="A485" s="21" t="s">
        <v>558</v>
      </c>
      <c r="B485" s="21">
        <f t="shared" si="28"/>
        <v>1</v>
      </c>
      <c r="C485" s="21" t="str">
        <f t="shared" si="29"/>
        <v>P</v>
      </c>
      <c r="D485" s="17">
        <f>IF($C485="B",VLOOKUP($A485,Bat!$A$4:$BD$2323,D$1,FALSE),VLOOKUP($A485,Pit!$A$4:$AZ$2261,D$2,FALSE))</f>
        <v>13762</v>
      </c>
      <c r="E485" s="16" t="str">
        <f>IF($C485="B",VLOOKUP($A485,Bat!$A$4:$BD$2323,E$1,FALSE),VLOOKUP($A485,Pit!$A$4:$AZ$2261,E$2,FALSE))</f>
        <v>MR</v>
      </c>
      <c r="F485" s="16" t="str">
        <f>IF($C485="B",VLOOKUP($A485,Bat!$A$4:$BD$2323,F$1,FALSE),VLOOKUP($A485,Pit!$A$4:$AZ$2261,F$2,FALSE))</f>
        <v>Ramón Aguirre</v>
      </c>
      <c r="G485" s="16">
        <f>IF($C485="B",VLOOKUP($A485,Bat!$A$4:$BD$2323,G$1,FALSE),VLOOKUP($A485,Pit!$A$4:$AZ$2261,G$2,FALSE))</f>
        <v>18</v>
      </c>
      <c r="H485" s="16" t="str">
        <f>IF($C485="B",VLOOKUP($A485,Bat!$A$4:$BD$2323,H$1,FALSE),VLOOKUP($A485,Pit!$A$4:$AZ$2261,H$2,FALSE))</f>
        <v>R</v>
      </c>
      <c r="I485" s="16" t="str">
        <f>IF($C485="B",VLOOKUP($A485,Bat!$A$4:$BD$2323,I$1,FALSE),VLOOKUP($A485,Pit!$A$4:$AZ$2261,I$2,FALSE))</f>
        <v>L</v>
      </c>
      <c r="J485" s="16" t="str">
        <f>IF($C485="B",VLOOKUP($A485,Bat!$A$4:$BD$2323,J$1,FALSE),VLOOKUP($A485,Pit!$A$4:$AZ$2261,J$2,FALSE))</f>
        <v>Very High</v>
      </c>
      <c r="K485" s="17" t="str">
        <f>IF($C485="B",VLOOKUP($A485,Bat!$A$4:$BD$2323,K$1,FALSE),VLOOKUP($A485,Pit!$A$4:$AZ$2261,K$2,FALSE))</f>
        <v>Low</v>
      </c>
      <c r="L485" s="16">
        <f>IF($C485="B",VLOOKUP($A485,Bat!$A$4:$BD$2323,L$1,FALSE),VLOOKUP($A485,Pit!$A$4:$AZ$2261,L$2,FALSE))</f>
        <v>4</v>
      </c>
      <c r="M485" s="16">
        <f>IF($C485="B",VLOOKUP($A485,Bat!$A$4:$BD$2323,M$1,FALSE),VLOOKUP($A485,Pit!$A$4:$AZ$2261,M$2,FALSE))</f>
        <v>3</v>
      </c>
      <c r="N485" s="16">
        <f>IF($C485="B",VLOOKUP($A485,Bat!$A$4:$BD$2323,N$1,FALSE),VLOOKUP($A485,Pit!$A$4:$AZ$2261,N$2,FALSE))</f>
        <v>4</v>
      </c>
      <c r="O485" s="16" t="str">
        <f>IF($C485="B",VLOOKUP($A485,Bat!$A$4:$BD$2323,O$1,FALSE),VLOOKUP($A485,Pit!$A$4:$AZ$2261,O$2,FALSE))</f>
        <v>91-93 Mph</v>
      </c>
      <c r="P485" s="17">
        <f>IF($C485="B",VLOOKUP($A485,Bat!$A$4:$BD$2323,P$1,FALSE),VLOOKUP($A485,Pit!$A$4:$AZ$2261,P$2,FALSE))</f>
        <v>9</v>
      </c>
      <c r="Q485" s="18">
        <f>IF($C485="B",VLOOKUP($A485,Bat!$A$4:$BD$2323,Q$1,FALSE),VLOOKUP($A485,Pit!$A$4:$AZ$2261,Q$2,FALSE))</f>
        <v>22.372882980072731</v>
      </c>
      <c r="R485" s="19">
        <f>IF($C485="B",VLOOKUP($A485,Bat!$A$4:$BD$2323,R$1,FALSE),VLOOKUP($A485,Pit!$A$4:$AZ$2261,R$2,FALSE))</f>
        <v>-0.91678326817636457</v>
      </c>
      <c r="S485" s="20" t="str">
        <f>IF($C485="B",VLOOKUP($A485,Bat!$A$4:$BD$2323,S$1,FALSE),VLOOKUP($A485,Pit!$A$4:$AZ$2261,S$2,FALSE))</f>
        <v>Slot</v>
      </c>
      <c r="T485" s="17" t="str">
        <f>IF(S485="Slot","",VLOOKUP(IF($C485="B",VLOOKUP($A485,Bat!$A$4:$AT$2323,T$1,FALSE),VLOOKUP($A485,Pit!$A$4:$BD$2261,T$2,FALSE)),COND!$A$34:$B$40,2,FALSE))</f>
        <v/>
      </c>
      <c r="U485" s="21">
        <f>IF($C485="B",VLOOKUP($A485,Bat!$A$4:$AR$1287,44,FALSE),VLOOKUP($A485,Pit!$A$4:$BB$1239,54,FALSE))</f>
        <v>0</v>
      </c>
      <c r="W485" s="21">
        <f t="shared" si="30"/>
        <v>0</v>
      </c>
      <c r="X485" s="22" t="e">
        <f t="shared" si="31"/>
        <v>#N/A</v>
      </c>
      <c r="Y485" s="16" t="str">
        <f>IF(ISERROR(VLOOKUP($E485&amp;$F485,Results!$A$2:$G$413,Y$1,FALSE)),"",VLOOKUP($E485&amp;$F485,Results!$A$2:$G$413,Y$1,FALSE))</f>
        <v/>
      </c>
      <c r="Z485" s="16" t="str">
        <f>IF(ISERROR(VLOOKUP($E485&amp;$F485,Results!$A$2:$G$413,Z$1,FALSE)),"",VLOOKUP($E485&amp;$F485,Results!$A$2:$G$413,Z$1,FALSE))</f>
        <v/>
      </c>
      <c r="AA485" s="16" t="str">
        <f>IF(ISERROR(VLOOKUP($E485&amp;$F485,Results!$A$2:$G$413,AA$1,FALSE)),"",VLOOKUP($E485&amp;$F485,Results!$A$2:$G$413,AA$1,FALSE))</f>
        <v/>
      </c>
      <c r="AB485" s="16" t="str">
        <f>IF(ISERROR(VLOOKUP($E485&amp;$F485,Results!$A$2:$G$413,AB$1,FALSE)),"",VLOOKUP($E485&amp;$F485,Results!$A$2:$G$413,AB$1,FALSE))</f>
        <v/>
      </c>
      <c r="AC485" s="16"/>
      <c r="AD485" s="20" t="str">
        <f>IF(ISERROR(VLOOKUP($AB485&amp;"-"&amp;$F485,Bonuses!$B$1:$G$1000,4,FALSE)),"",INT(VLOOKUP($AB485&amp;"-"&amp;$F485,Bonuses!$B$1:$G$1000,4,FALSE)))</f>
        <v/>
      </c>
      <c r="AE485" s="16" t="str">
        <f>IF(ISERROR(VLOOKUP($AB485&amp;"-"&amp;$F485,Bonuses!$B$1:$G$1000,5,FALSE)),"",IF(VLOOKUP($AB485&amp;"-"&amp;$F485,Bonuses!$B$1:$G$1000,5,FALSE)="","",VLOOKUP($AB485&amp;"-"&amp;$F485,Bonuses!$B$1:$G$1000,6,FALSE)&amp;" yrs, "&amp;VLOOKUP($AB485&amp;"-"&amp;$F485,Bonuses!$B$1:$G$1000,5,FALSE)))</f>
        <v/>
      </c>
    </row>
    <row r="486" spans="1:31" s="21" customFormat="1">
      <c r="A486" s="21" t="s">
        <v>560</v>
      </c>
      <c r="B486" s="21">
        <f t="shared" si="28"/>
        <v>1</v>
      </c>
      <c r="C486" s="21" t="str">
        <f t="shared" si="29"/>
        <v>P</v>
      </c>
      <c r="D486" s="17">
        <f>IF($C486="B",VLOOKUP($A486,Bat!$A$4:$BD$2323,D$1,FALSE),VLOOKUP($A486,Pit!$A$4:$AZ$2261,D$2,FALSE))</f>
        <v>7429</v>
      </c>
      <c r="E486" s="16" t="str">
        <f>IF($C486="B",VLOOKUP($A486,Bat!$A$4:$BD$2323,E$1,FALSE),VLOOKUP($A486,Pit!$A$4:$AZ$2261,E$2,FALSE))</f>
        <v>SP</v>
      </c>
      <c r="F486" s="16" t="str">
        <f>IF($C486="B",VLOOKUP($A486,Bat!$A$4:$BD$2323,F$1,FALSE),VLOOKUP($A486,Pit!$A$4:$AZ$2261,F$2,FALSE))</f>
        <v>Aurelio Salazar</v>
      </c>
      <c r="G486" s="16">
        <f>IF($C486="B",VLOOKUP($A486,Bat!$A$4:$BD$2323,G$1,FALSE),VLOOKUP($A486,Pit!$A$4:$AZ$2261,G$2,FALSE))</f>
        <v>21</v>
      </c>
      <c r="H486" s="16" t="str">
        <f>IF($C486="B",VLOOKUP($A486,Bat!$A$4:$BD$2323,H$1,FALSE),VLOOKUP($A486,Pit!$A$4:$AZ$2261,H$2,FALSE))</f>
        <v>L</v>
      </c>
      <c r="I486" s="16" t="str">
        <f>IF($C486="B",VLOOKUP($A486,Bat!$A$4:$BD$2323,I$1,FALSE),VLOOKUP($A486,Pit!$A$4:$AZ$2261,I$2,FALSE))</f>
        <v>R</v>
      </c>
      <c r="J486" s="16" t="str">
        <f>IF($C486="B",VLOOKUP($A486,Bat!$A$4:$BD$2323,J$1,FALSE),VLOOKUP($A486,Pit!$A$4:$AZ$2261,J$2,FALSE))</f>
        <v>Low</v>
      </c>
      <c r="K486" s="17" t="str">
        <f>IF($C486="B",VLOOKUP($A486,Bat!$A$4:$BD$2323,K$1,FALSE),VLOOKUP($A486,Pit!$A$4:$AZ$2261,K$2,FALSE))</f>
        <v>Normal</v>
      </c>
      <c r="L486" s="16">
        <f>IF($C486="B",VLOOKUP($A486,Bat!$A$4:$BD$2323,L$1,FALSE),VLOOKUP($A486,Pit!$A$4:$AZ$2261,L$2,FALSE))</f>
        <v>4</v>
      </c>
      <c r="M486" s="16">
        <f>IF($C486="B",VLOOKUP($A486,Bat!$A$4:$BD$2323,M$1,FALSE),VLOOKUP($A486,Pit!$A$4:$AZ$2261,M$2,FALSE))</f>
        <v>3</v>
      </c>
      <c r="N486" s="16">
        <f>IF($C486="B",VLOOKUP($A486,Bat!$A$4:$BD$2323,N$1,FALSE),VLOOKUP($A486,Pit!$A$4:$AZ$2261,N$2,FALSE))</f>
        <v>4</v>
      </c>
      <c r="O486" s="16" t="str">
        <f>IF($C486="B",VLOOKUP($A486,Bat!$A$4:$BD$2323,O$1,FALSE),VLOOKUP($A486,Pit!$A$4:$AZ$2261,O$2,FALSE))</f>
        <v>90-92 Mph</v>
      </c>
      <c r="P486" s="17">
        <f>IF($C486="B",VLOOKUP($A486,Bat!$A$4:$BD$2323,P$1,FALSE),VLOOKUP($A486,Pit!$A$4:$AZ$2261,P$2,FALSE))</f>
        <v>5</v>
      </c>
      <c r="Q486" s="18">
        <f>IF($C486="B",VLOOKUP($A486,Bat!$A$4:$BD$2323,Q$1,FALSE),VLOOKUP($A486,Pit!$A$4:$AZ$2261,Q$2,FALSE))</f>
        <v>22.058560905570911</v>
      </c>
      <c r="R486" s="19">
        <f>IF($C486="B",VLOOKUP($A486,Bat!$A$4:$BD$2323,R$1,FALSE),VLOOKUP($A486,Pit!$A$4:$AZ$2261,R$2,FALSE))</f>
        <v>-0.94173621023406229</v>
      </c>
      <c r="S486" s="20" t="str">
        <f>IF($C486="B",VLOOKUP($A486,Bat!$A$4:$BD$2323,S$1,FALSE),VLOOKUP($A486,Pit!$A$4:$AZ$2261,S$2,FALSE))</f>
        <v>Slot</v>
      </c>
      <c r="T486" s="17" t="str">
        <f>IF(S486="Slot","",VLOOKUP(IF($C486="B",VLOOKUP($A486,Bat!$A$4:$AT$2323,T$1,FALSE),VLOOKUP($A486,Pit!$A$4:$BD$2261,T$2,FALSE)),COND!$A$34:$B$40,2,FALSE))</f>
        <v/>
      </c>
      <c r="U486" s="21">
        <f>IF($C486="B",VLOOKUP($A486,Bat!$A$4:$AR$1287,44,FALSE),VLOOKUP($A486,Pit!$A$4:$BB$1239,54,FALSE))</f>
        <v>0</v>
      </c>
      <c r="W486" s="21">
        <f t="shared" si="30"/>
        <v>0</v>
      </c>
      <c r="X486" s="22" t="e">
        <f t="shared" si="31"/>
        <v>#N/A</v>
      </c>
      <c r="Y486" s="16" t="str">
        <f>IF(ISERROR(VLOOKUP($E486&amp;$F486,Results!$A$2:$G$413,Y$1,FALSE)),"",VLOOKUP($E486&amp;$F486,Results!$A$2:$G$413,Y$1,FALSE))</f>
        <v/>
      </c>
      <c r="Z486" s="16" t="str">
        <f>IF(ISERROR(VLOOKUP($E486&amp;$F486,Results!$A$2:$G$413,Z$1,FALSE)),"",VLOOKUP($E486&amp;$F486,Results!$A$2:$G$413,Z$1,FALSE))</f>
        <v/>
      </c>
      <c r="AA486" s="16" t="str">
        <f>IF(ISERROR(VLOOKUP($E486&amp;$F486,Results!$A$2:$G$413,AA$1,FALSE)),"",VLOOKUP($E486&amp;$F486,Results!$A$2:$G$413,AA$1,FALSE))</f>
        <v/>
      </c>
      <c r="AB486" s="16" t="str">
        <f>IF(ISERROR(VLOOKUP($E486&amp;$F486,Results!$A$2:$G$413,AB$1,FALSE)),"",VLOOKUP($E486&amp;$F486,Results!$A$2:$G$413,AB$1,FALSE))</f>
        <v/>
      </c>
      <c r="AC486" s="16"/>
      <c r="AD486" s="20" t="str">
        <f>IF(ISERROR(VLOOKUP($AB486&amp;"-"&amp;$F486,Bonuses!$B$1:$G$1000,4,FALSE)),"",INT(VLOOKUP($AB486&amp;"-"&amp;$F486,Bonuses!$B$1:$G$1000,4,FALSE)))</f>
        <v/>
      </c>
      <c r="AE486" s="16" t="str">
        <f>IF(ISERROR(VLOOKUP($AB486&amp;"-"&amp;$F486,Bonuses!$B$1:$G$1000,5,FALSE)),"",IF(VLOOKUP($AB486&amp;"-"&amp;$F486,Bonuses!$B$1:$G$1000,5,FALSE)="","",VLOOKUP($AB486&amp;"-"&amp;$F486,Bonuses!$B$1:$G$1000,6,FALSE)&amp;" yrs, "&amp;VLOOKUP($AB486&amp;"-"&amp;$F486,Bonuses!$B$1:$G$1000,5,FALSE)))</f>
        <v/>
      </c>
    </row>
    <row r="487" spans="1:31" s="21" customFormat="1">
      <c r="A487" s="21" t="s">
        <v>611</v>
      </c>
      <c r="B487" s="21">
        <f t="shared" si="28"/>
        <v>1</v>
      </c>
      <c r="C487" s="21" t="str">
        <f t="shared" si="29"/>
        <v>P</v>
      </c>
      <c r="D487" s="17">
        <f>IF($C487="B",VLOOKUP($A487,Bat!$A$4:$BD$2323,D$1,FALSE),VLOOKUP($A487,Pit!$A$4:$AZ$2261,D$2,FALSE))</f>
        <v>2440</v>
      </c>
      <c r="E487" s="16" t="str">
        <f>IF($C487="B",VLOOKUP($A487,Bat!$A$4:$BD$2323,E$1,FALSE),VLOOKUP($A487,Pit!$A$4:$AZ$2261,E$2,FALSE))</f>
        <v>MR</v>
      </c>
      <c r="F487" s="16" t="str">
        <f>IF($C487="B",VLOOKUP($A487,Bat!$A$4:$BD$2323,F$1,FALSE),VLOOKUP($A487,Pit!$A$4:$AZ$2261,F$2,FALSE))</f>
        <v>Bob Muller</v>
      </c>
      <c r="G487" s="16">
        <f>IF($C487="B",VLOOKUP($A487,Bat!$A$4:$BD$2323,G$1,FALSE),VLOOKUP($A487,Pit!$A$4:$AZ$2261,G$2,FALSE))</f>
        <v>21</v>
      </c>
      <c r="H487" s="16" t="str">
        <f>IF($C487="B",VLOOKUP($A487,Bat!$A$4:$BD$2323,H$1,FALSE),VLOOKUP($A487,Pit!$A$4:$AZ$2261,H$2,FALSE))</f>
        <v>L</v>
      </c>
      <c r="I487" s="16" t="str">
        <f>IF($C487="B",VLOOKUP($A487,Bat!$A$4:$BD$2323,I$1,FALSE),VLOOKUP($A487,Pit!$A$4:$AZ$2261,I$2,FALSE))</f>
        <v>R</v>
      </c>
      <c r="J487" s="16" t="str">
        <f>IF($C487="B",VLOOKUP($A487,Bat!$A$4:$BD$2323,J$1,FALSE),VLOOKUP($A487,Pit!$A$4:$AZ$2261,J$2,FALSE))</f>
        <v>Very Low</v>
      </c>
      <c r="K487" s="17" t="str">
        <f>IF($C487="B",VLOOKUP($A487,Bat!$A$4:$BD$2323,K$1,FALSE),VLOOKUP($A487,Pit!$A$4:$AZ$2261,K$2,FALSE))</f>
        <v>Low</v>
      </c>
      <c r="L487" s="16">
        <f>IF($C487="B",VLOOKUP($A487,Bat!$A$4:$BD$2323,L$1,FALSE),VLOOKUP($A487,Pit!$A$4:$AZ$2261,L$2,FALSE))</f>
        <v>5</v>
      </c>
      <c r="M487" s="16">
        <f>IF($C487="B",VLOOKUP($A487,Bat!$A$4:$BD$2323,M$1,FALSE),VLOOKUP($A487,Pit!$A$4:$AZ$2261,M$2,FALSE))</f>
        <v>3</v>
      </c>
      <c r="N487" s="16">
        <f>IF($C487="B",VLOOKUP($A487,Bat!$A$4:$BD$2323,N$1,FALSE),VLOOKUP($A487,Pit!$A$4:$AZ$2261,N$2,FALSE))</f>
        <v>4</v>
      </c>
      <c r="O487" s="16" t="str">
        <f>IF($C487="B",VLOOKUP($A487,Bat!$A$4:$BD$2323,O$1,FALSE),VLOOKUP($A487,Pit!$A$4:$AZ$2261,O$2,FALSE))</f>
        <v>89-90 Mph</v>
      </c>
      <c r="P487" s="17">
        <f>IF($C487="B",VLOOKUP($A487,Bat!$A$4:$BD$2323,P$1,FALSE),VLOOKUP($A487,Pit!$A$4:$AZ$2261,P$2,FALSE))</f>
        <v>5</v>
      </c>
      <c r="Q487" s="18">
        <f>IF($C487="B",VLOOKUP($A487,Bat!$A$4:$BD$2323,Q$1,FALSE),VLOOKUP($A487,Pit!$A$4:$AZ$2261,Q$2,FALSE))</f>
        <v>20.536669243880347</v>
      </c>
      <c r="R487" s="19">
        <f>IF($C487="B",VLOOKUP($A487,Bat!$A$4:$BD$2323,R$1,FALSE),VLOOKUP($A487,Pit!$A$4:$AZ$2261,R$2,FALSE))</f>
        <v>-1.0625539240788402</v>
      </c>
      <c r="S487" s="20" t="str">
        <f>IF($C487="B",VLOOKUP($A487,Bat!$A$4:$BD$2323,S$1,FALSE),VLOOKUP($A487,Pit!$A$4:$AZ$2261,S$2,FALSE))</f>
        <v>Slot</v>
      </c>
      <c r="T487" s="17" t="str">
        <f>IF(S487="Slot","",VLOOKUP(IF($C487="B",VLOOKUP($A487,Bat!$A$4:$AT$2323,T$1,FALSE),VLOOKUP($A487,Pit!$A$4:$BD$2261,T$2,FALSE)),COND!$A$34:$B$40,2,FALSE))</f>
        <v/>
      </c>
      <c r="U487" s="21">
        <f>IF($C487="B",VLOOKUP($A487,Bat!$A$4:$AR$1287,44,FALSE),VLOOKUP($A487,Pit!$A$4:$BB$1239,54,FALSE))</f>
        <v>0</v>
      </c>
      <c r="W487" s="21">
        <f t="shared" si="30"/>
        <v>0</v>
      </c>
      <c r="X487" s="22" t="e">
        <f t="shared" si="31"/>
        <v>#N/A</v>
      </c>
      <c r="Y487" s="16" t="str">
        <f>IF(ISERROR(VLOOKUP($E487&amp;$F487,Results!$A$2:$G$413,Y$1,FALSE)),"",VLOOKUP($E487&amp;$F487,Results!$A$2:$G$413,Y$1,FALSE))</f>
        <v/>
      </c>
      <c r="Z487" s="16" t="str">
        <f>IF(ISERROR(VLOOKUP($E487&amp;$F487,Results!$A$2:$G$413,Z$1,FALSE)),"",VLOOKUP($E487&amp;$F487,Results!$A$2:$G$413,Z$1,FALSE))</f>
        <v/>
      </c>
      <c r="AA487" s="16" t="str">
        <f>IF(ISERROR(VLOOKUP($E487&amp;$F487,Results!$A$2:$G$413,AA$1,FALSE)),"",VLOOKUP($E487&amp;$F487,Results!$A$2:$G$413,AA$1,FALSE))</f>
        <v/>
      </c>
      <c r="AB487" s="16" t="str">
        <f>IF(ISERROR(VLOOKUP($E487&amp;$F487,Results!$A$2:$G$413,AB$1,FALSE)),"",VLOOKUP($E487&amp;$F487,Results!$A$2:$G$413,AB$1,FALSE))</f>
        <v/>
      </c>
      <c r="AC487" s="16"/>
      <c r="AD487" s="20" t="str">
        <f>IF(ISERROR(VLOOKUP($AB487&amp;"-"&amp;$F487,Bonuses!$B$1:$G$1000,4,FALSE)),"",INT(VLOOKUP($AB487&amp;"-"&amp;$F487,Bonuses!$B$1:$G$1000,4,FALSE)))</f>
        <v/>
      </c>
      <c r="AE487" s="16" t="str">
        <f>IF(ISERROR(VLOOKUP($AB487&amp;"-"&amp;$F487,Bonuses!$B$1:$G$1000,5,FALSE)),"",IF(VLOOKUP($AB487&amp;"-"&amp;$F487,Bonuses!$B$1:$G$1000,5,FALSE)="","",VLOOKUP($AB487&amp;"-"&amp;$F487,Bonuses!$B$1:$G$1000,6,FALSE)&amp;" yrs, "&amp;VLOOKUP($AB487&amp;"-"&amp;$F487,Bonuses!$B$1:$G$1000,5,FALSE)))</f>
        <v/>
      </c>
    </row>
    <row r="488" spans="1:31" s="21" customFormat="1">
      <c r="A488" s="21" t="s">
        <v>614</v>
      </c>
      <c r="B488" s="21">
        <f t="shared" si="28"/>
        <v>1</v>
      </c>
      <c r="C488" s="21" t="str">
        <f t="shared" si="29"/>
        <v>P</v>
      </c>
      <c r="D488" s="17">
        <f>IF($C488="B",VLOOKUP($A488,Bat!$A$4:$BD$2323,D$1,FALSE),VLOOKUP($A488,Pit!$A$4:$AZ$2261,D$2,FALSE))</f>
        <v>13854</v>
      </c>
      <c r="E488" s="16" t="str">
        <f>IF($C488="B",VLOOKUP($A488,Bat!$A$4:$BD$2323,E$1,FALSE),VLOOKUP($A488,Pit!$A$4:$AZ$2261,E$2,FALSE))</f>
        <v>MR</v>
      </c>
      <c r="F488" s="16" t="str">
        <f>IF($C488="B",VLOOKUP($A488,Bat!$A$4:$BD$2323,F$1,FALSE),VLOOKUP($A488,Pit!$A$4:$AZ$2261,F$2,FALSE))</f>
        <v>Pat Dostie</v>
      </c>
      <c r="G488" s="16">
        <f>IF($C488="B",VLOOKUP($A488,Bat!$A$4:$BD$2323,G$1,FALSE),VLOOKUP($A488,Pit!$A$4:$AZ$2261,G$2,FALSE))</f>
        <v>18</v>
      </c>
      <c r="H488" s="16" t="str">
        <f>IF($C488="B",VLOOKUP($A488,Bat!$A$4:$BD$2323,H$1,FALSE),VLOOKUP($A488,Pit!$A$4:$AZ$2261,H$2,FALSE))</f>
        <v>R</v>
      </c>
      <c r="I488" s="16" t="str">
        <f>IF($C488="B",VLOOKUP($A488,Bat!$A$4:$BD$2323,I$1,FALSE),VLOOKUP($A488,Pit!$A$4:$AZ$2261,I$2,FALSE))</f>
        <v>R</v>
      </c>
      <c r="J488" s="16" t="str">
        <f>IF($C488="B",VLOOKUP($A488,Bat!$A$4:$BD$2323,J$1,FALSE),VLOOKUP($A488,Pit!$A$4:$AZ$2261,J$2,FALSE))</f>
        <v>Very Low</v>
      </c>
      <c r="K488" s="17" t="str">
        <f>IF($C488="B",VLOOKUP($A488,Bat!$A$4:$BD$2323,K$1,FALSE),VLOOKUP($A488,Pit!$A$4:$AZ$2261,K$2,FALSE))</f>
        <v>Very Low</v>
      </c>
      <c r="L488" s="16">
        <f>IF($C488="B",VLOOKUP($A488,Bat!$A$4:$BD$2323,L$1,FALSE),VLOOKUP($A488,Pit!$A$4:$AZ$2261,L$2,FALSE))</f>
        <v>4</v>
      </c>
      <c r="M488" s="16">
        <f>IF($C488="B",VLOOKUP($A488,Bat!$A$4:$BD$2323,M$1,FALSE),VLOOKUP($A488,Pit!$A$4:$AZ$2261,M$2,FALSE))</f>
        <v>4</v>
      </c>
      <c r="N488" s="16">
        <f>IF($C488="B",VLOOKUP($A488,Bat!$A$4:$BD$2323,N$1,FALSE),VLOOKUP($A488,Pit!$A$4:$AZ$2261,N$2,FALSE))</f>
        <v>4</v>
      </c>
      <c r="O488" s="16" t="str">
        <f>IF($C488="B",VLOOKUP($A488,Bat!$A$4:$BD$2323,O$1,FALSE),VLOOKUP($A488,Pit!$A$4:$AZ$2261,O$2,FALSE))</f>
        <v>85-87 Mph</v>
      </c>
      <c r="P488" s="17">
        <f>IF($C488="B",VLOOKUP($A488,Bat!$A$4:$BD$2323,P$1,FALSE),VLOOKUP($A488,Pit!$A$4:$AZ$2261,P$2,FALSE))</f>
        <v>3</v>
      </c>
      <c r="Q488" s="18">
        <f>IF($C488="B",VLOOKUP($A488,Bat!$A$4:$BD$2323,Q$1,FALSE),VLOOKUP($A488,Pit!$A$4:$AZ$2261,Q$2,FALSE))</f>
        <v>19.435811227745951</v>
      </c>
      <c r="R488" s="19">
        <f>IF($C488="B",VLOOKUP($A488,Bat!$A$4:$BD$2323,R$1,FALSE),VLOOKUP($A488,Pit!$A$4:$AZ$2261,R$2,FALSE))</f>
        <v>-1.1499472334221026</v>
      </c>
      <c r="S488" s="20" t="str">
        <f>IF($C488="B",VLOOKUP($A488,Bat!$A$4:$BD$2323,S$1,FALSE),VLOOKUP($A488,Pit!$A$4:$AZ$2261,S$2,FALSE))</f>
        <v>Slot</v>
      </c>
      <c r="T488" s="17" t="str">
        <f>IF(S488="Slot","",VLOOKUP(IF($C488="B",VLOOKUP($A488,Bat!$A$4:$AT$2323,T$1,FALSE),VLOOKUP($A488,Pit!$A$4:$BD$2261,T$2,FALSE)),COND!$A$34:$B$40,2,FALSE))</f>
        <v/>
      </c>
      <c r="U488" s="21">
        <f>IF($C488="B",VLOOKUP($A488,Bat!$A$4:$AR$1287,44,FALSE),VLOOKUP($A488,Pit!$A$4:$BB$1239,54,FALSE))</f>
        <v>0</v>
      </c>
      <c r="W488" s="21">
        <f t="shared" si="30"/>
        <v>0</v>
      </c>
      <c r="X488" s="22" t="e">
        <f t="shared" si="31"/>
        <v>#N/A</v>
      </c>
      <c r="Y488" s="16" t="str">
        <f>IF(ISERROR(VLOOKUP($E488&amp;$F488,Results!$A$2:$G$413,Y$1,FALSE)),"",VLOOKUP($E488&amp;$F488,Results!$A$2:$G$413,Y$1,FALSE))</f>
        <v/>
      </c>
      <c r="Z488" s="16" t="str">
        <f>IF(ISERROR(VLOOKUP($E488&amp;$F488,Results!$A$2:$G$413,Z$1,FALSE)),"",VLOOKUP($E488&amp;$F488,Results!$A$2:$G$413,Z$1,FALSE))</f>
        <v/>
      </c>
      <c r="AA488" s="16" t="str">
        <f>IF(ISERROR(VLOOKUP($E488&amp;$F488,Results!$A$2:$G$413,AA$1,FALSE)),"",VLOOKUP($E488&amp;$F488,Results!$A$2:$G$413,AA$1,FALSE))</f>
        <v/>
      </c>
      <c r="AB488" s="16" t="str">
        <f>IF(ISERROR(VLOOKUP($E488&amp;$F488,Results!$A$2:$G$413,AB$1,FALSE)),"",VLOOKUP($E488&amp;$F488,Results!$A$2:$G$413,AB$1,FALSE))</f>
        <v/>
      </c>
      <c r="AC488" s="16"/>
      <c r="AD488" s="20" t="str">
        <f>IF(ISERROR(VLOOKUP($AB488&amp;"-"&amp;$F488,Bonuses!$B$1:$G$1000,4,FALSE)),"",INT(VLOOKUP($AB488&amp;"-"&amp;$F488,Bonuses!$B$1:$G$1000,4,FALSE)))</f>
        <v/>
      </c>
      <c r="AE488" s="16" t="str">
        <f>IF(ISERROR(VLOOKUP($AB488&amp;"-"&amp;$F488,Bonuses!$B$1:$G$1000,5,FALSE)),"",IF(VLOOKUP($AB488&amp;"-"&amp;$F488,Bonuses!$B$1:$G$1000,5,FALSE)="","",VLOOKUP($AB488&amp;"-"&amp;$F488,Bonuses!$B$1:$G$1000,6,FALSE)&amp;" yrs, "&amp;VLOOKUP($AB488&amp;"-"&amp;$F488,Bonuses!$B$1:$G$1000,5,FALSE)))</f>
        <v/>
      </c>
    </row>
    <row r="489" spans="1:31" s="21" customFormat="1">
      <c r="A489" s="21" t="s">
        <v>574</v>
      </c>
      <c r="B489" s="21">
        <f t="shared" si="28"/>
        <v>1</v>
      </c>
      <c r="C489" s="21" t="str">
        <f t="shared" si="29"/>
        <v>P</v>
      </c>
      <c r="D489" s="17">
        <f>IF($C489="B",VLOOKUP($A489,Bat!$A$4:$BD$2323,D$1,FALSE),VLOOKUP($A489,Pit!$A$4:$AZ$2261,D$2,FALSE))</f>
        <v>13788</v>
      </c>
      <c r="E489" s="16" t="str">
        <f>IF($C489="B",VLOOKUP($A489,Bat!$A$4:$BD$2323,E$1,FALSE),VLOOKUP($A489,Pit!$A$4:$AZ$2261,E$2,FALSE))</f>
        <v>MR</v>
      </c>
      <c r="F489" s="16" t="str">
        <f>IF($C489="B",VLOOKUP($A489,Bat!$A$4:$BD$2323,F$1,FALSE),VLOOKUP($A489,Pit!$A$4:$AZ$2261,F$2,FALSE))</f>
        <v>Cris Hernández</v>
      </c>
      <c r="G489" s="16">
        <f>IF($C489="B",VLOOKUP($A489,Bat!$A$4:$BD$2323,G$1,FALSE),VLOOKUP($A489,Pit!$A$4:$AZ$2261,G$2,FALSE))</f>
        <v>18</v>
      </c>
      <c r="H489" s="16" t="str">
        <f>IF($C489="B",VLOOKUP($A489,Bat!$A$4:$BD$2323,H$1,FALSE),VLOOKUP($A489,Pit!$A$4:$AZ$2261,H$2,FALSE))</f>
        <v>L</v>
      </c>
      <c r="I489" s="16" t="str">
        <f>IF($C489="B",VLOOKUP($A489,Bat!$A$4:$BD$2323,I$1,FALSE),VLOOKUP($A489,Pit!$A$4:$AZ$2261,I$2,FALSE))</f>
        <v>R</v>
      </c>
      <c r="J489" s="16" t="str">
        <f>IF($C489="B",VLOOKUP($A489,Bat!$A$4:$BD$2323,J$1,FALSE),VLOOKUP($A489,Pit!$A$4:$AZ$2261,J$2,FALSE))</f>
        <v>Low</v>
      </c>
      <c r="K489" s="17" t="str">
        <f>IF($C489="B",VLOOKUP($A489,Bat!$A$4:$BD$2323,K$1,FALSE),VLOOKUP($A489,Pit!$A$4:$AZ$2261,K$2,FALSE))</f>
        <v>High</v>
      </c>
      <c r="L489" s="16">
        <f>IF($C489="B",VLOOKUP($A489,Bat!$A$4:$BD$2323,L$1,FALSE),VLOOKUP($A489,Pit!$A$4:$AZ$2261,L$2,FALSE))</f>
        <v>4</v>
      </c>
      <c r="M489" s="16">
        <f>IF($C489="B",VLOOKUP($A489,Bat!$A$4:$BD$2323,M$1,FALSE),VLOOKUP($A489,Pit!$A$4:$AZ$2261,M$2,FALSE))</f>
        <v>3</v>
      </c>
      <c r="N489" s="16">
        <f>IF($C489="B",VLOOKUP($A489,Bat!$A$4:$BD$2323,N$1,FALSE),VLOOKUP($A489,Pit!$A$4:$AZ$2261,N$2,FALSE))</f>
        <v>4</v>
      </c>
      <c r="O489" s="16" t="str">
        <f>IF($C489="B",VLOOKUP($A489,Bat!$A$4:$BD$2323,O$1,FALSE),VLOOKUP($A489,Pit!$A$4:$AZ$2261,O$2,FALSE))</f>
        <v>91-93 Mph</v>
      </c>
      <c r="P489" s="17">
        <f>IF($C489="B",VLOOKUP($A489,Bat!$A$4:$BD$2323,P$1,FALSE),VLOOKUP($A489,Pit!$A$4:$AZ$2261,P$2,FALSE))</f>
        <v>5</v>
      </c>
      <c r="Q489" s="18">
        <f>IF($C489="B",VLOOKUP($A489,Bat!$A$4:$BD$2323,Q$1,FALSE),VLOOKUP($A489,Pit!$A$4:$AZ$2261,Q$2,FALSE))</f>
        <v>22.245131289012335</v>
      </c>
      <c r="R489" s="19">
        <f>IF($C489="B",VLOOKUP($A489,Bat!$A$4:$BD$2323,R$1,FALSE),VLOOKUP($A489,Pit!$A$4:$AZ$2261,R$2,FALSE))</f>
        <v>-0.92692503295650419</v>
      </c>
      <c r="S489" s="20" t="str">
        <f>IF($C489="B",VLOOKUP($A489,Bat!$A$4:$BD$2323,S$1,FALSE),VLOOKUP($A489,Pit!$A$4:$AZ$2261,S$2,FALSE))</f>
        <v>Slot</v>
      </c>
      <c r="T489" s="17" t="str">
        <f>IF(S489="Slot","",VLOOKUP(IF($C489="B",VLOOKUP($A489,Bat!$A$4:$AT$2323,T$1,FALSE),VLOOKUP($A489,Pit!$A$4:$BD$2261,T$2,FALSE)),COND!$A$34:$B$40,2,FALSE))</f>
        <v/>
      </c>
      <c r="U489" s="21">
        <f>IF($C489="B",VLOOKUP($A489,Bat!$A$4:$AR$1287,44,FALSE),VLOOKUP($A489,Pit!$A$4:$BB$1239,54,FALSE))</f>
        <v>0</v>
      </c>
      <c r="W489" s="21">
        <f t="shared" si="30"/>
        <v>0</v>
      </c>
      <c r="X489" s="22" t="e">
        <f t="shared" si="31"/>
        <v>#N/A</v>
      </c>
      <c r="Y489" s="16" t="str">
        <f>IF(ISERROR(VLOOKUP($E489&amp;$F489,Results!$A$2:$G$413,Y$1,FALSE)),"",VLOOKUP($E489&amp;$F489,Results!$A$2:$G$413,Y$1,FALSE))</f>
        <v/>
      </c>
      <c r="Z489" s="16" t="str">
        <f>IF(ISERROR(VLOOKUP($E489&amp;$F489,Results!$A$2:$G$413,Z$1,FALSE)),"",VLOOKUP($E489&amp;$F489,Results!$A$2:$G$413,Z$1,FALSE))</f>
        <v/>
      </c>
      <c r="AA489" s="16" t="str">
        <f>IF(ISERROR(VLOOKUP($E489&amp;$F489,Results!$A$2:$G$413,AA$1,FALSE)),"",VLOOKUP($E489&amp;$F489,Results!$A$2:$G$413,AA$1,FALSE))</f>
        <v/>
      </c>
      <c r="AB489" s="16" t="str">
        <f>IF(ISERROR(VLOOKUP($E489&amp;$F489,Results!$A$2:$G$413,AB$1,FALSE)),"",VLOOKUP($E489&amp;$F489,Results!$A$2:$G$413,AB$1,FALSE))</f>
        <v/>
      </c>
      <c r="AC489" s="16"/>
      <c r="AD489" s="20" t="str">
        <f>IF(ISERROR(VLOOKUP($AB489&amp;"-"&amp;$F489,Bonuses!$B$1:$G$1000,4,FALSE)),"",INT(VLOOKUP($AB489&amp;"-"&amp;$F489,Bonuses!$B$1:$G$1000,4,FALSE)))</f>
        <v/>
      </c>
      <c r="AE489" s="16" t="str">
        <f>IF(ISERROR(VLOOKUP($AB489&amp;"-"&amp;$F489,Bonuses!$B$1:$G$1000,5,FALSE)),"",IF(VLOOKUP($AB489&amp;"-"&amp;$F489,Bonuses!$B$1:$G$1000,5,FALSE)="","",VLOOKUP($AB489&amp;"-"&amp;$F489,Bonuses!$B$1:$G$1000,6,FALSE)&amp;" yrs, "&amp;VLOOKUP($AB489&amp;"-"&amp;$F489,Bonuses!$B$1:$G$1000,5,FALSE)))</f>
        <v/>
      </c>
    </row>
    <row r="490" spans="1:31" s="21" customFormat="1">
      <c r="A490" s="21" t="s">
        <v>567</v>
      </c>
      <c r="B490" s="21">
        <f t="shared" si="28"/>
        <v>1</v>
      </c>
      <c r="C490" s="21" t="str">
        <f t="shared" si="29"/>
        <v>P</v>
      </c>
      <c r="D490" s="17">
        <f>IF($C490="B",VLOOKUP($A490,Bat!$A$4:$BD$2323,D$1,FALSE),VLOOKUP($A490,Pit!$A$4:$AZ$2261,D$2,FALSE))</f>
        <v>13916</v>
      </c>
      <c r="E490" s="16" t="str">
        <f>IF($C490="B",VLOOKUP($A490,Bat!$A$4:$BD$2323,E$1,FALSE),VLOOKUP($A490,Pit!$A$4:$AZ$2261,E$2,FALSE))</f>
        <v>MR</v>
      </c>
      <c r="F490" s="16" t="str">
        <f>IF($C490="B",VLOOKUP($A490,Bat!$A$4:$BD$2323,F$1,FALSE),VLOOKUP($A490,Pit!$A$4:$AZ$2261,F$2,FALSE))</f>
        <v>Jared Younger</v>
      </c>
      <c r="G490" s="16">
        <f>IF($C490="B",VLOOKUP($A490,Bat!$A$4:$BD$2323,G$1,FALSE),VLOOKUP($A490,Pit!$A$4:$AZ$2261,G$2,FALSE))</f>
        <v>18</v>
      </c>
      <c r="H490" s="16" t="str">
        <f>IF($C490="B",VLOOKUP($A490,Bat!$A$4:$BD$2323,H$1,FALSE),VLOOKUP($A490,Pit!$A$4:$AZ$2261,H$2,FALSE))</f>
        <v>R</v>
      </c>
      <c r="I490" s="16" t="str">
        <f>IF($C490="B",VLOOKUP($A490,Bat!$A$4:$BD$2323,I$1,FALSE),VLOOKUP($A490,Pit!$A$4:$AZ$2261,I$2,FALSE))</f>
        <v>R</v>
      </c>
      <c r="J490" s="16" t="str">
        <f>IF($C490="B",VLOOKUP($A490,Bat!$A$4:$BD$2323,J$1,FALSE),VLOOKUP($A490,Pit!$A$4:$AZ$2261,J$2,FALSE))</f>
        <v>Low</v>
      </c>
      <c r="K490" s="17" t="str">
        <f>IF($C490="B",VLOOKUP($A490,Bat!$A$4:$BD$2323,K$1,FALSE),VLOOKUP($A490,Pit!$A$4:$AZ$2261,K$2,FALSE))</f>
        <v>Low</v>
      </c>
      <c r="L490" s="16">
        <f>IF($C490="B",VLOOKUP($A490,Bat!$A$4:$BD$2323,L$1,FALSE),VLOOKUP($A490,Pit!$A$4:$AZ$2261,L$2,FALSE))</f>
        <v>4</v>
      </c>
      <c r="M490" s="16">
        <f>IF($C490="B",VLOOKUP($A490,Bat!$A$4:$BD$2323,M$1,FALSE),VLOOKUP($A490,Pit!$A$4:$AZ$2261,M$2,FALSE))</f>
        <v>3</v>
      </c>
      <c r="N490" s="16">
        <f>IF($C490="B",VLOOKUP($A490,Bat!$A$4:$BD$2323,N$1,FALSE),VLOOKUP($A490,Pit!$A$4:$AZ$2261,N$2,FALSE))</f>
        <v>4</v>
      </c>
      <c r="O490" s="16" t="str">
        <f>IF($C490="B",VLOOKUP($A490,Bat!$A$4:$BD$2323,O$1,FALSE),VLOOKUP($A490,Pit!$A$4:$AZ$2261,O$2,FALSE))</f>
        <v>90-92 Mph</v>
      </c>
      <c r="P490" s="17">
        <f>IF($C490="B",VLOOKUP($A490,Bat!$A$4:$BD$2323,P$1,FALSE),VLOOKUP($A490,Pit!$A$4:$AZ$2261,P$2,FALSE))</f>
        <v>6</v>
      </c>
      <c r="Q490" s="18">
        <f>IF($C490="B",VLOOKUP($A490,Bat!$A$4:$BD$2323,Q$1,FALSE),VLOOKUP($A490,Pit!$A$4:$AZ$2261,Q$2,FALSE))</f>
        <v>21.232631289012332</v>
      </c>
      <c r="R490" s="19">
        <f>IF($C490="B",VLOOKUP($A490,Bat!$A$4:$BD$2323,R$1,FALSE),VLOOKUP($A490,Pit!$A$4:$AZ$2261,R$2,FALSE))</f>
        <v>-1.007303905084598</v>
      </c>
      <c r="S490" s="20" t="str">
        <f>IF($C490="B",VLOOKUP($A490,Bat!$A$4:$BD$2323,S$1,FALSE),VLOOKUP($A490,Pit!$A$4:$AZ$2261,S$2,FALSE))</f>
        <v>Slot</v>
      </c>
      <c r="T490" s="17" t="str">
        <f>IF(S490="Slot","",VLOOKUP(IF($C490="B",VLOOKUP($A490,Bat!$A$4:$AT$2323,T$1,FALSE),VLOOKUP($A490,Pit!$A$4:$BD$2261,T$2,FALSE)),COND!$A$34:$B$40,2,FALSE))</f>
        <v/>
      </c>
      <c r="U490" s="21">
        <f>IF($C490="B",VLOOKUP($A490,Bat!$A$4:$AR$1287,44,FALSE),VLOOKUP($A490,Pit!$A$4:$BB$1239,54,FALSE))</f>
        <v>0</v>
      </c>
      <c r="W490" s="21">
        <f t="shared" si="30"/>
        <v>0</v>
      </c>
      <c r="X490" s="22" t="e">
        <f t="shared" si="31"/>
        <v>#N/A</v>
      </c>
      <c r="Y490" s="16" t="str">
        <f>IF(ISERROR(VLOOKUP($E490&amp;$F490,Results!$A$2:$G$413,Y$1,FALSE)),"",VLOOKUP($E490&amp;$F490,Results!$A$2:$G$413,Y$1,FALSE))</f>
        <v/>
      </c>
      <c r="Z490" s="16" t="str">
        <f>IF(ISERROR(VLOOKUP($E490&amp;$F490,Results!$A$2:$G$413,Z$1,FALSE)),"",VLOOKUP($E490&amp;$F490,Results!$A$2:$G$413,Z$1,FALSE))</f>
        <v/>
      </c>
      <c r="AA490" s="16" t="str">
        <f>IF(ISERROR(VLOOKUP($E490&amp;$F490,Results!$A$2:$G$413,AA$1,FALSE)),"",VLOOKUP($E490&amp;$F490,Results!$A$2:$G$413,AA$1,FALSE))</f>
        <v/>
      </c>
      <c r="AB490" s="16" t="str">
        <f>IF(ISERROR(VLOOKUP($E490&amp;$F490,Results!$A$2:$G$413,AB$1,FALSE)),"",VLOOKUP($E490&amp;$F490,Results!$A$2:$G$413,AB$1,FALSE))</f>
        <v/>
      </c>
      <c r="AC490" s="16"/>
      <c r="AD490" s="20" t="str">
        <f>IF(ISERROR(VLOOKUP($AB490&amp;"-"&amp;$F490,Bonuses!$B$1:$G$1000,4,FALSE)),"",INT(VLOOKUP($AB490&amp;"-"&amp;$F490,Bonuses!$B$1:$G$1000,4,FALSE)))</f>
        <v/>
      </c>
      <c r="AE490" s="16" t="str">
        <f>IF(ISERROR(VLOOKUP($AB490&amp;"-"&amp;$F490,Bonuses!$B$1:$G$1000,5,FALSE)),"",IF(VLOOKUP($AB490&amp;"-"&amp;$F490,Bonuses!$B$1:$G$1000,5,FALSE)="","",VLOOKUP($AB490&amp;"-"&amp;$F490,Bonuses!$B$1:$G$1000,6,FALSE)&amp;" yrs, "&amp;VLOOKUP($AB490&amp;"-"&amp;$F490,Bonuses!$B$1:$G$1000,5,FALSE)))</f>
        <v/>
      </c>
    </row>
    <row r="491" spans="1:31" s="21" customFormat="1">
      <c r="A491" s="21" t="s">
        <v>576</v>
      </c>
      <c r="B491" s="21">
        <f t="shared" si="28"/>
        <v>1</v>
      </c>
      <c r="C491" s="21" t="str">
        <f t="shared" si="29"/>
        <v>P</v>
      </c>
      <c r="D491" s="17">
        <f>IF($C491="B",VLOOKUP($A491,Bat!$A$4:$BD$2323,D$1,FALSE),VLOOKUP($A491,Pit!$A$4:$AZ$2261,D$2,FALSE))</f>
        <v>9539</v>
      </c>
      <c r="E491" s="16" t="str">
        <f>IF($C491="B",VLOOKUP($A491,Bat!$A$4:$BD$2323,E$1,FALSE),VLOOKUP($A491,Pit!$A$4:$AZ$2261,E$2,FALSE))</f>
        <v>SP</v>
      </c>
      <c r="F491" s="16" t="str">
        <f>IF($C491="B",VLOOKUP($A491,Bat!$A$4:$BD$2323,F$1,FALSE),VLOOKUP($A491,Pit!$A$4:$AZ$2261,F$2,FALSE))</f>
        <v>Roald Hogervorst</v>
      </c>
      <c r="G491" s="16">
        <f>IF($C491="B",VLOOKUP($A491,Bat!$A$4:$BD$2323,G$1,FALSE),VLOOKUP($A491,Pit!$A$4:$AZ$2261,G$2,FALSE))</f>
        <v>21</v>
      </c>
      <c r="H491" s="16" t="str">
        <f>IF($C491="B",VLOOKUP($A491,Bat!$A$4:$BD$2323,H$1,FALSE),VLOOKUP($A491,Pit!$A$4:$AZ$2261,H$2,FALSE))</f>
        <v>R</v>
      </c>
      <c r="I491" s="16" t="str">
        <f>IF($C491="B",VLOOKUP($A491,Bat!$A$4:$BD$2323,I$1,FALSE),VLOOKUP($A491,Pit!$A$4:$AZ$2261,I$2,FALSE))</f>
        <v>R</v>
      </c>
      <c r="J491" s="16" t="str">
        <f>IF($C491="B",VLOOKUP($A491,Bat!$A$4:$BD$2323,J$1,FALSE),VLOOKUP($A491,Pit!$A$4:$AZ$2261,J$2,FALSE))</f>
        <v>Low</v>
      </c>
      <c r="K491" s="17" t="str">
        <f>IF($C491="B",VLOOKUP($A491,Bat!$A$4:$BD$2323,K$1,FALSE),VLOOKUP($A491,Pit!$A$4:$AZ$2261,K$2,FALSE))</f>
        <v>Normal</v>
      </c>
      <c r="L491" s="16">
        <f>IF($C491="B",VLOOKUP($A491,Bat!$A$4:$BD$2323,L$1,FALSE),VLOOKUP($A491,Pit!$A$4:$AZ$2261,L$2,FALSE))</f>
        <v>4</v>
      </c>
      <c r="M491" s="16">
        <f>IF($C491="B",VLOOKUP($A491,Bat!$A$4:$BD$2323,M$1,FALSE),VLOOKUP($A491,Pit!$A$4:$AZ$2261,M$2,FALSE))</f>
        <v>3</v>
      </c>
      <c r="N491" s="16">
        <f>IF($C491="B",VLOOKUP($A491,Bat!$A$4:$BD$2323,N$1,FALSE),VLOOKUP($A491,Pit!$A$4:$AZ$2261,N$2,FALSE))</f>
        <v>4</v>
      </c>
      <c r="O491" s="16" t="str">
        <f>IF($C491="B",VLOOKUP($A491,Bat!$A$4:$BD$2323,O$1,FALSE),VLOOKUP($A491,Pit!$A$4:$AZ$2261,O$2,FALSE))</f>
        <v>91-93 Mph</v>
      </c>
      <c r="P491" s="17">
        <f>IF($C491="B",VLOOKUP($A491,Bat!$A$4:$BD$2323,P$1,FALSE),VLOOKUP($A491,Pit!$A$4:$AZ$2261,P$2,FALSE))</f>
        <v>6</v>
      </c>
      <c r="Q491" s="18">
        <f>IF($C491="B",VLOOKUP($A491,Bat!$A$4:$BD$2323,Q$1,FALSE),VLOOKUP($A491,Pit!$A$4:$AZ$2261,Q$2,FALSE))</f>
        <v>21.618313415951462</v>
      </c>
      <c r="R491" s="19">
        <f>IF($C491="B",VLOOKUP($A491,Bat!$A$4:$BD$2323,R$1,FALSE),VLOOKUP($A491,Pit!$A$4:$AZ$2261,R$2,FALSE))</f>
        <v>-0.97668593534303594</v>
      </c>
      <c r="S491" s="20" t="str">
        <f>IF($C491="B",VLOOKUP($A491,Bat!$A$4:$BD$2323,S$1,FALSE),VLOOKUP($A491,Pit!$A$4:$AZ$2261,S$2,FALSE))</f>
        <v>Slot</v>
      </c>
      <c r="T491" s="17" t="str">
        <f>IF(S491="Slot","",VLOOKUP(IF($C491="B",VLOOKUP($A491,Bat!$A$4:$AT$2323,T$1,FALSE),VLOOKUP($A491,Pit!$A$4:$BD$2261,T$2,FALSE)),COND!$A$34:$B$40,2,FALSE))</f>
        <v/>
      </c>
      <c r="U491" s="21">
        <f>IF($C491="B",VLOOKUP($A491,Bat!$A$4:$AR$1287,44,FALSE),VLOOKUP($A491,Pit!$A$4:$BB$1239,54,FALSE))</f>
        <v>0</v>
      </c>
      <c r="W491" s="21">
        <f t="shared" si="30"/>
        <v>0</v>
      </c>
      <c r="X491" s="22" t="e">
        <f t="shared" si="31"/>
        <v>#N/A</v>
      </c>
      <c r="Y491" s="16" t="str">
        <f>IF(ISERROR(VLOOKUP($E491&amp;$F491,Results!$A$2:$G$413,Y$1,FALSE)),"",VLOOKUP($E491&amp;$F491,Results!$A$2:$G$413,Y$1,FALSE))</f>
        <v/>
      </c>
      <c r="Z491" s="16" t="str">
        <f>IF(ISERROR(VLOOKUP($E491&amp;$F491,Results!$A$2:$G$413,Z$1,FALSE)),"",VLOOKUP($E491&amp;$F491,Results!$A$2:$G$413,Z$1,FALSE))</f>
        <v/>
      </c>
      <c r="AA491" s="16" t="str">
        <f>IF(ISERROR(VLOOKUP($E491&amp;$F491,Results!$A$2:$G$413,AA$1,FALSE)),"",VLOOKUP($E491&amp;$F491,Results!$A$2:$G$413,AA$1,FALSE))</f>
        <v/>
      </c>
      <c r="AB491" s="16" t="str">
        <f>IF(ISERROR(VLOOKUP($E491&amp;$F491,Results!$A$2:$G$413,AB$1,FALSE)),"",VLOOKUP($E491&amp;$F491,Results!$A$2:$G$413,AB$1,FALSE))</f>
        <v/>
      </c>
      <c r="AC491" s="16"/>
      <c r="AD491" s="20" t="str">
        <f>IF(ISERROR(VLOOKUP($AB491&amp;"-"&amp;$F491,Bonuses!$B$1:$G$1000,4,FALSE)),"",INT(VLOOKUP($AB491&amp;"-"&amp;$F491,Bonuses!$B$1:$G$1000,4,FALSE)))</f>
        <v/>
      </c>
      <c r="AE491" s="16" t="str">
        <f>IF(ISERROR(VLOOKUP($AB491&amp;"-"&amp;$F491,Bonuses!$B$1:$G$1000,5,FALSE)),"",IF(VLOOKUP($AB491&amp;"-"&amp;$F491,Bonuses!$B$1:$G$1000,5,FALSE)="","",VLOOKUP($AB491&amp;"-"&amp;$F491,Bonuses!$B$1:$G$1000,6,FALSE)&amp;" yrs, "&amp;VLOOKUP($AB491&amp;"-"&amp;$F491,Bonuses!$B$1:$G$1000,5,FALSE)))</f>
        <v/>
      </c>
    </row>
    <row r="492" spans="1:31" s="21" customFormat="1">
      <c r="A492" s="21" t="s">
        <v>708</v>
      </c>
      <c r="B492" s="21">
        <f t="shared" si="28"/>
        <v>1</v>
      </c>
      <c r="C492" s="21" t="str">
        <f t="shared" si="29"/>
        <v>P</v>
      </c>
      <c r="D492" s="17" t="e">
        <f>IF($C492="B",VLOOKUP($A492,Bat!$A$4:$BD$2323,D$1,FALSE),VLOOKUP($A492,Pit!$A$4:$AZ$2261,D$2,FALSE))</f>
        <v>#N/A</v>
      </c>
      <c r="E492" s="16" t="e">
        <f>IF($C492="B",VLOOKUP($A492,Bat!$A$4:$BD$2323,E$1,FALSE),VLOOKUP($A492,Pit!$A$4:$AZ$2261,E$2,FALSE))</f>
        <v>#N/A</v>
      </c>
      <c r="F492" s="16" t="e">
        <f>IF($C492="B",VLOOKUP($A492,Bat!$A$4:$BD$2323,F$1,FALSE),VLOOKUP($A492,Pit!$A$4:$AZ$2261,F$2,FALSE))</f>
        <v>#N/A</v>
      </c>
      <c r="G492" s="16" t="e">
        <f>IF($C492="B",VLOOKUP($A492,Bat!$A$4:$BD$2323,G$1,FALSE),VLOOKUP($A492,Pit!$A$4:$AZ$2261,G$2,FALSE))</f>
        <v>#N/A</v>
      </c>
      <c r="H492" s="16" t="e">
        <f>IF($C492="B",VLOOKUP($A492,Bat!$A$4:$BD$2323,H$1,FALSE),VLOOKUP($A492,Pit!$A$4:$AZ$2261,H$2,FALSE))</f>
        <v>#N/A</v>
      </c>
      <c r="I492" s="16" t="e">
        <f>IF($C492="B",VLOOKUP($A492,Bat!$A$4:$BD$2323,I$1,FALSE),VLOOKUP($A492,Pit!$A$4:$AZ$2261,I$2,FALSE))</f>
        <v>#N/A</v>
      </c>
      <c r="J492" s="16" t="e">
        <f>IF($C492="B",VLOOKUP($A492,Bat!$A$4:$BD$2323,J$1,FALSE),VLOOKUP($A492,Pit!$A$4:$AZ$2261,J$2,FALSE))</f>
        <v>#N/A</v>
      </c>
      <c r="K492" s="17" t="e">
        <f>IF($C492="B",VLOOKUP($A492,Bat!$A$4:$BD$2323,K$1,FALSE),VLOOKUP($A492,Pit!$A$4:$AZ$2261,K$2,FALSE))</f>
        <v>#N/A</v>
      </c>
      <c r="L492" s="16" t="e">
        <f>IF($C492="B",VLOOKUP($A492,Bat!$A$4:$BD$2323,L$1,FALSE),VLOOKUP($A492,Pit!$A$4:$AZ$2261,L$2,FALSE))</f>
        <v>#N/A</v>
      </c>
      <c r="M492" s="16" t="e">
        <f>IF($C492="B",VLOOKUP($A492,Bat!$A$4:$BD$2323,M$1,FALSE),VLOOKUP($A492,Pit!$A$4:$AZ$2261,M$2,FALSE))</f>
        <v>#N/A</v>
      </c>
      <c r="N492" s="16" t="e">
        <f>IF($C492="B",VLOOKUP($A492,Bat!$A$4:$BD$2323,N$1,FALSE),VLOOKUP($A492,Pit!$A$4:$AZ$2261,N$2,FALSE))</f>
        <v>#N/A</v>
      </c>
      <c r="O492" s="16" t="e">
        <f>IF($C492="B",VLOOKUP($A492,Bat!$A$4:$BD$2323,O$1,FALSE),VLOOKUP($A492,Pit!$A$4:$AZ$2261,O$2,FALSE))</f>
        <v>#N/A</v>
      </c>
      <c r="P492" s="17" t="e">
        <f>IF($C492="B",VLOOKUP($A492,Bat!$A$4:$BD$2323,P$1,FALSE),VLOOKUP($A492,Pit!$A$4:$AZ$2261,P$2,FALSE))</f>
        <v>#N/A</v>
      </c>
      <c r="Q492" s="18" t="e">
        <f>IF($C492="B",VLOOKUP($A492,Bat!$A$4:$BD$2323,Q$1,FALSE),VLOOKUP($A492,Pit!$A$4:$AZ$2261,Q$2,FALSE))</f>
        <v>#N/A</v>
      </c>
      <c r="R492" s="19" t="e">
        <f>IF($C492="B",VLOOKUP($A492,Bat!$A$4:$BD$2323,R$1,FALSE),VLOOKUP($A492,Pit!$A$4:$AZ$2261,R$2,FALSE))</f>
        <v>#N/A</v>
      </c>
      <c r="S492" s="20" t="e">
        <f>IF($C492="B",VLOOKUP($A492,Bat!$A$4:$BD$2323,S$1,FALSE),VLOOKUP($A492,Pit!$A$4:$AZ$2261,S$2,FALSE))</f>
        <v>#N/A</v>
      </c>
      <c r="T492" s="17" t="e">
        <f>IF(S492="Slot","",VLOOKUP(IF($C492="B",VLOOKUP($A492,Bat!$A$4:$AT$2323,T$1,FALSE),VLOOKUP($A492,Pit!$A$4:$BD$2261,T$2,FALSE)),COND!$A$34:$B$40,2,FALSE))</f>
        <v>#N/A</v>
      </c>
      <c r="U492" s="21" t="e">
        <f>IF($C492="B",VLOOKUP($A492,Bat!$A$4:$AR$1287,44,FALSE),VLOOKUP($A492,Pit!$A$4:$BB$1239,54,FALSE))</f>
        <v>#N/A</v>
      </c>
      <c r="W492" s="21" t="e">
        <f t="shared" si="30"/>
        <v>#N/A</v>
      </c>
      <c r="X492" s="22" t="e">
        <f t="shared" si="31"/>
        <v>#N/A</v>
      </c>
      <c r="Y492" s="16" t="str">
        <f>IF(ISERROR(VLOOKUP($E492&amp;$F492,Results!$A$2:$G$413,Y$1,FALSE)),"",VLOOKUP($E492&amp;$F492,Results!$A$2:$G$413,Y$1,FALSE))</f>
        <v/>
      </c>
      <c r="Z492" s="16" t="str">
        <f>IF(ISERROR(VLOOKUP($E492&amp;$F492,Results!$A$2:$G$413,Z$1,FALSE)),"",VLOOKUP($E492&amp;$F492,Results!$A$2:$G$413,Z$1,FALSE))</f>
        <v/>
      </c>
      <c r="AA492" s="16" t="str">
        <f>IF(ISERROR(VLOOKUP($E492&amp;$F492,Results!$A$2:$G$413,AA$1,FALSE)),"",VLOOKUP($E492&amp;$F492,Results!$A$2:$G$413,AA$1,FALSE))</f>
        <v/>
      </c>
      <c r="AB492" s="16" t="str">
        <f>IF(ISERROR(VLOOKUP($E492&amp;$F492,Results!$A$2:$G$413,AB$1,FALSE)),"",VLOOKUP($E492&amp;$F492,Results!$A$2:$G$413,AB$1,FALSE))</f>
        <v/>
      </c>
      <c r="AC492" s="16"/>
      <c r="AD492" s="20" t="str">
        <f>IF(ISERROR(VLOOKUP($AB492&amp;"-"&amp;$F492,Bonuses!$B$1:$G$1000,4,FALSE)),"",INT(VLOOKUP($AB492&amp;"-"&amp;$F492,Bonuses!$B$1:$G$1000,4,FALSE)))</f>
        <v/>
      </c>
      <c r="AE492" s="16" t="str">
        <f>IF(ISERROR(VLOOKUP($AB492&amp;"-"&amp;$F492,Bonuses!$B$1:$G$1000,5,FALSE)),"",IF(VLOOKUP($AB492&amp;"-"&amp;$F492,Bonuses!$B$1:$G$1000,5,FALSE)="","",VLOOKUP($AB492&amp;"-"&amp;$F492,Bonuses!$B$1:$G$1000,6,FALSE)&amp;" yrs, "&amp;VLOOKUP($AB492&amp;"-"&amp;$F492,Bonuses!$B$1:$G$1000,5,FALSE)))</f>
        <v/>
      </c>
    </row>
    <row r="493" spans="1:31" s="21" customFormat="1">
      <c r="A493" s="21" t="s">
        <v>559</v>
      </c>
      <c r="B493" s="21">
        <f t="shared" si="28"/>
        <v>1</v>
      </c>
      <c r="C493" s="21" t="str">
        <f t="shared" si="29"/>
        <v>P</v>
      </c>
      <c r="D493" s="17">
        <f>IF($C493="B",VLOOKUP($A493,Bat!$A$4:$BD$2323,D$1,FALSE),VLOOKUP($A493,Pit!$A$4:$AZ$2261,D$2,FALSE))</f>
        <v>3234</v>
      </c>
      <c r="E493" s="16" t="str">
        <f>IF($C493="B",VLOOKUP($A493,Bat!$A$4:$BD$2323,E$1,FALSE),VLOOKUP($A493,Pit!$A$4:$AZ$2261,E$2,FALSE))</f>
        <v>MR</v>
      </c>
      <c r="F493" s="16" t="str">
        <f>IF($C493="B",VLOOKUP($A493,Bat!$A$4:$BD$2323,F$1,FALSE),VLOOKUP($A493,Pit!$A$4:$AZ$2261,F$2,FALSE))</f>
        <v>Robun Mori</v>
      </c>
      <c r="G493" s="16">
        <f>IF($C493="B",VLOOKUP($A493,Bat!$A$4:$BD$2323,G$1,FALSE),VLOOKUP($A493,Pit!$A$4:$AZ$2261,G$2,FALSE))</f>
        <v>21</v>
      </c>
      <c r="H493" s="16" t="str">
        <f>IF($C493="B",VLOOKUP($A493,Bat!$A$4:$BD$2323,H$1,FALSE),VLOOKUP($A493,Pit!$A$4:$AZ$2261,H$2,FALSE))</f>
        <v>L</v>
      </c>
      <c r="I493" s="16" t="str">
        <f>IF($C493="B",VLOOKUP($A493,Bat!$A$4:$BD$2323,I$1,FALSE),VLOOKUP($A493,Pit!$A$4:$AZ$2261,I$2,FALSE))</f>
        <v>R</v>
      </c>
      <c r="J493" s="16" t="str">
        <f>IF($C493="B",VLOOKUP($A493,Bat!$A$4:$BD$2323,J$1,FALSE),VLOOKUP($A493,Pit!$A$4:$AZ$2261,J$2,FALSE))</f>
        <v>Low</v>
      </c>
      <c r="K493" s="17" t="str">
        <f>IF($C493="B",VLOOKUP($A493,Bat!$A$4:$BD$2323,K$1,FALSE),VLOOKUP($A493,Pit!$A$4:$AZ$2261,K$2,FALSE))</f>
        <v>Low</v>
      </c>
      <c r="L493" s="16">
        <f>IF($C493="B",VLOOKUP($A493,Bat!$A$4:$BD$2323,L$1,FALSE),VLOOKUP($A493,Pit!$A$4:$AZ$2261,L$2,FALSE))</f>
        <v>4</v>
      </c>
      <c r="M493" s="16">
        <f>IF($C493="B",VLOOKUP($A493,Bat!$A$4:$BD$2323,M$1,FALSE),VLOOKUP($A493,Pit!$A$4:$AZ$2261,M$2,FALSE))</f>
        <v>3</v>
      </c>
      <c r="N493" s="16">
        <f>IF($C493="B",VLOOKUP($A493,Bat!$A$4:$BD$2323,N$1,FALSE),VLOOKUP($A493,Pit!$A$4:$AZ$2261,N$2,FALSE))</f>
        <v>4</v>
      </c>
      <c r="O493" s="16" t="str">
        <f>IF($C493="B",VLOOKUP($A493,Bat!$A$4:$BD$2323,O$1,FALSE),VLOOKUP($A493,Pit!$A$4:$AZ$2261,O$2,FALSE))</f>
        <v>89-90 Mph</v>
      </c>
      <c r="P493" s="17">
        <f>IF($C493="B",VLOOKUP($A493,Bat!$A$4:$BD$2323,P$1,FALSE),VLOOKUP($A493,Pit!$A$4:$AZ$2261,P$2,FALSE))</f>
        <v>7</v>
      </c>
      <c r="Q493" s="18">
        <f>IF($C493="B",VLOOKUP($A493,Bat!$A$4:$BD$2323,Q$1,FALSE),VLOOKUP($A493,Pit!$A$4:$AZ$2261,Q$2,FALSE))</f>
        <v>21.033944715170893</v>
      </c>
      <c r="R493" s="19">
        <f>IF($C493="B",VLOOKUP($A493,Bat!$A$4:$BD$2323,R$1,FALSE),VLOOKUP($A493,Pit!$A$4:$AZ$2261,R$2,FALSE))</f>
        <v>-1.0230769448005188</v>
      </c>
      <c r="S493" s="20" t="str">
        <f>IF($C493="B",VLOOKUP($A493,Bat!$A$4:$BD$2323,S$1,FALSE),VLOOKUP($A493,Pit!$A$4:$AZ$2261,S$2,FALSE))</f>
        <v>Slot</v>
      </c>
      <c r="T493" s="17" t="str">
        <f>IF(S493="Slot","",VLOOKUP(IF($C493="B",VLOOKUP($A493,Bat!$A$4:$AT$2323,T$1,FALSE),VLOOKUP($A493,Pit!$A$4:$BD$2261,T$2,FALSE)),COND!$A$34:$B$40,2,FALSE))</f>
        <v/>
      </c>
      <c r="U493" s="21">
        <f>IF($C493="B",VLOOKUP($A493,Bat!$A$4:$AR$1287,44,FALSE),VLOOKUP($A493,Pit!$A$4:$BB$1239,54,FALSE))</f>
        <v>0</v>
      </c>
      <c r="W493" s="21">
        <f t="shared" si="30"/>
        <v>0</v>
      </c>
      <c r="X493" s="22" t="e">
        <f t="shared" si="31"/>
        <v>#N/A</v>
      </c>
      <c r="Y493" s="16" t="str">
        <f>IF(ISERROR(VLOOKUP($E493&amp;$F493,Results!$A$2:$G$413,Y$1,FALSE)),"",VLOOKUP($E493&amp;$F493,Results!$A$2:$G$413,Y$1,FALSE))</f>
        <v/>
      </c>
      <c r="Z493" s="16" t="str">
        <f>IF(ISERROR(VLOOKUP($E493&amp;$F493,Results!$A$2:$G$413,Z$1,FALSE)),"",VLOOKUP($E493&amp;$F493,Results!$A$2:$G$413,Z$1,FALSE))</f>
        <v/>
      </c>
      <c r="AA493" s="16" t="str">
        <f>IF(ISERROR(VLOOKUP($E493&amp;$F493,Results!$A$2:$G$413,AA$1,FALSE)),"",VLOOKUP($E493&amp;$F493,Results!$A$2:$G$413,AA$1,FALSE))</f>
        <v/>
      </c>
      <c r="AB493" s="16" t="str">
        <f>IF(ISERROR(VLOOKUP($E493&amp;$F493,Results!$A$2:$G$413,AB$1,FALSE)),"",VLOOKUP($E493&amp;$F493,Results!$A$2:$G$413,AB$1,FALSE))</f>
        <v/>
      </c>
      <c r="AC493" s="16"/>
      <c r="AD493" s="20" t="str">
        <f>IF(ISERROR(VLOOKUP($AB493&amp;"-"&amp;$F493,Bonuses!$B$1:$G$1000,4,FALSE)),"",INT(VLOOKUP($AB493&amp;"-"&amp;$F493,Bonuses!$B$1:$G$1000,4,FALSE)))</f>
        <v/>
      </c>
      <c r="AE493" s="16" t="str">
        <f>IF(ISERROR(VLOOKUP($AB493&amp;"-"&amp;$F493,Bonuses!$B$1:$G$1000,5,FALSE)),"",IF(VLOOKUP($AB493&amp;"-"&amp;$F493,Bonuses!$B$1:$G$1000,5,FALSE)="","",VLOOKUP($AB493&amp;"-"&amp;$F493,Bonuses!$B$1:$G$1000,6,FALSE)&amp;" yrs, "&amp;VLOOKUP($AB493&amp;"-"&amp;$F493,Bonuses!$B$1:$G$1000,5,FALSE)))</f>
        <v/>
      </c>
    </row>
    <row r="494" spans="1:31" s="21" customFormat="1">
      <c r="A494" s="21" t="s">
        <v>569</v>
      </c>
      <c r="B494" s="21">
        <f t="shared" si="28"/>
        <v>1</v>
      </c>
      <c r="C494" s="21" t="str">
        <f t="shared" si="29"/>
        <v>P</v>
      </c>
      <c r="D494" s="17">
        <f>IF($C494="B",VLOOKUP($A494,Bat!$A$4:$BD$2323,D$1,FALSE),VLOOKUP($A494,Pit!$A$4:$AZ$2261,D$2,FALSE))</f>
        <v>8645</v>
      </c>
      <c r="E494" s="16" t="str">
        <f>IF($C494="B",VLOOKUP($A494,Bat!$A$4:$BD$2323,E$1,FALSE),VLOOKUP($A494,Pit!$A$4:$AZ$2261,E$2,FALSE))</f>
        <v>MR</v>
      </c>
      <c r="F494" s="16" t="str">
        <f>IF($C494="B",VLOOKUP($A494,Bat!$A$4:$BD$2323,F$1,FALSE),VLOOKUP($A494,Pit!$A$4:$AZ$2261,F$2,FALSE))</f>
        <v>Jorge Rodríguez</v>
      </c>
      <c r="G494" s="16">
        <f>IF($C494="B",VLOOKUP($A494,Bat!$A$4:$BD$2323,G$1,FALSE),VLOOKUP($A494,Pit!$A$4:$AZ$2261,G$2,FALSE))</f>
        <v>21</v>
      </c>
      <c r="H494" s="16" t="str">
        <f>IF($C494="B",VLOOKUP($A494,Bat!$A$4:$BD$2323,H$1,FALSE),VLOOKUP($A494,Pit!$A$4:$AZ$2261,H$2,FALSE))</f>
        <v>R</v>
      </c>
      <c r="I494" s="16" t="str">
        <f>IF($C494="B",VLOOKUP($A494,Bat!$A$4:$BD$2323,I$1,FALSE),VLOOKUP($A494,Pit!$A$4:$AZ$2261,I$2,FALSE))</f>
        <v>R</v>
      </c>
      <c r="J494" s="16" t="str">
        <f>IF($C494="B",VLOOKUP($A494,Bat!$A$4:$BD$2323,J$1,FALSE),VLOOKUP($A494,Pit!$A$4:$AZ$2261,J$2,FALSE))</f>
        <v>Very Low</v>
      </c>
      <c r="K494" s="17" t="str">
        <f>IF($C494="B",VLOOKUP($A494,Bat!$A$4:$BD$2323,K$1,FALSE),VLOOKUP($A494,Pit!$A$4:$AZ$2261,K$2,FALSE))</f>
        <v>High</v>
      </c>
      <c r="L494" s="16">
        <f>IF($C494="B",VLOOKUP($A494,Bat!$A$4:$BD$2323,L$1,FALSE),VLOOKUP($A494,Pit!$A$4:$AZ$2261,L$2,FALSE))</f>
        <v>4</v>
      </c>
      <c r="M494" s="16">
        <f>IF($C494="B",VLOOKUP($A494,Bat!$A$4:$BD$2323,M$1,FALSE),VLOOKUP($A494,Pit!$A$4:$AZ$2261,M$2,FALSE))</f>
        <v>3</v>
      </c>
      <c r="N494" s="16">
        <f>IF($C494="B",VLOOKUP($A494,Bat!$A$4:$BD$2323,N$1,FALSE),VLOOKUP($A494,Pit!$A$4:$AZ$2261,N$2,FALSE))</f>
        <v>4</v>
      </c>
      <c r="O494" s="16" t="str">
        <f>IF($C494="B",VLOOKUP($A494,Bat!$A$4:$BD$2323,O$1,FALSE),VLOOKUP($A494,Pit!$A$4:$AZ$2261,O$2,FALSE))</f>
        <v>90-92 Mph</v>
      </c>
      <c r="P494" s="17">
        <f>IF($C494="B",VLOOKUP($A494,Bat!$A$4:$BD$2323,P$1,FALSE),VLOOKUP($A494,Pit!$A$4:$AZ$2261,P$2,FALSE))</f>
        <v>7</v>
      </c>
      <c r="Q494" s="18">
        <f>IF($C494="B",VLOOKUP($A494,Bat!$A$4:$BD$2323,Q$1,FALSE),VLOOKUP($A494,Pit!$A$4:$AZ$2261,Q$2,FALSE))</f>
        <v>20.37134709328355</v>
      </c>
      <c r="R494" s="19">
        <f>IF($C494="B",VLOOKUP($A494,Bat!$A$4:$BD$2323,R$1,FALSE),VLOOKUP($A494,Pit!$A$4:$AZ$2261,R$2,FALSE))</f>
        <v>-1.0756782776618143</v>
      </c>
      <c r="S494" s="20" t="str">
        <f>IF($C494="B",VLOOKUP($A494,Bat!$A$4:$BD$2323,S$1,FALSE),VLOOKUP($A494,Pit!$A$4:$AZ$2261,S$2,FALSE))</f>
        <v>Slot</v>
      </c>
      <c r="T494" s="17" t="str">
        <f>IF(S494="Slot","",VLOOKUP(IF($C494="B",VLOOKUP($A494,Bat!$A$4:$AT$2323,T$1,FALSE),VLOOKUP($A494,Pit!$A$4:$BD$2261,T$2,FALSE)),COND!$A$34:$B$40,2,FALSE))</f>
        <v/>
      </c>
      <c r="U494" s="21">
        <f>IF($C494="B",VLOOKUP($A494,Bat!$A$4:$AR$1287,44,FALSE),VLOOKUP($A494,Pit!$A$4:$BB$1239,54,FALSE))</f>
        <v>0</v>
      </c>
      <c r="W494" s="21">
        <f t="shared" si="30"/>
        <v>0</v>
      </c>
      <c r="X494" s="22" t="e">
        <f t="shared" si="31"/>
        <v>#N/A</v>
      </c>
      <c r="Y494" s="16" t="str">
        <f>IF(ISERROR(VLOOKUP($E494&amp;$F494,Results!$A$2:$G$413,Y$1,FALSE)),"",VLOOKUP($E494&amp;$F494,Results!$A$2:$G$413,Y$1,FALSE))</f>
        <v/>
      </c>
      <c r="Z494" s="16" t="str">
        <f>IF(ISERROR(VLOOKUP($E494&amp;$F494,Results!$A$2:$G$413,Z$1,FALSE)),"",VLOOKUP($E494&amp;$F494,Results!$A$2:$G$413,Z$1,FALSE))</f>
        <v/>
      </c>
      <c r="AA494" s="16" t="str">
        <f>IF(ISERROR(VLOOKUP($E494&amp;$F494,Results!$A$2:$G$413,AA$1,FALSE)),"",VLOOKUP($E494&amp;$F494,Results!$A$2:$G$413,AA$1,FALSE))</f>
        <v/>
      </c>
      <c r="AB494" s="16" t="str">
        <f>IF(ISERROR(VLOOKUP($E494&amp;$F494,Results!$A$2:$G$413,AB$1,FALSE)),"",VLOOKUP($E494&amp;$F494,Results!$A$2:$G$413,AB$1,FALSE))</f>
        <v/>
      </c>
      <c r="AC494" s="16"/>
      <c r="AD494" s="20" t="str">
        <f>IF(ISERROR(VLOOKUP($AB494&amp;"-"&amp;$F494,Bonuses!$B$1:$G$1000,4,FALSE)),"",INT(VLOOKUP($AB494&amp;"-"&amp;$F494,Bonuses!$B$1:$G$1000,4,FALSE)))</f>
        <v/>
      </c>
      <c r="AE494" s="16" t="str">
        <f>IF(ISERROR(VLOOKUP($AB494&amp;"-"&amp;$F494,Bonuses!$B$1:$G$1000,5,FALSE)),"",IF(VLOOKUP($AB494&amp;"-"&amp;$F494,Bonuses!$B$1:$G$1000,5,FALSE)="","",VLOOKUP($AB494&amp;"-"&amp;$F494,Bonuses!$B$1:$G$1000,6,FALSE)&amp;" yrs, "&amp;VLOOKUP($AB494&amp;"-"&amp;$F494,Bonuses!$B$1:$G$1000,5,FALSE)))</f>
        <v/>
      </c>
    </row>
    <row r="495" spans="1:31" s="21" customFormat="1">
      <c r="A495" s="21" t="s">
        <v>699</v>
      </c>
      <c r="B495" s="21">
        <f t="shared" si="28"/>
        <v>1</v>
      </c>
      <c r="C495" s="21" t="str">
        <f t="shared" si="29"/>
        <v>P</v>
      </c>
      <c r="D495" s="17">
        <f>IF($C495="B",VLOOKUP($A495,Bat!$A$4:$BD$2323,D$1,FALSE),VLOOKUP($A495,Pit!$A$4:$AZ$2261,D$2,FALSE))</f>
        <v>2301</v>
      </c>
      <c r="E495" s="16" t="str">
        <f>IF($C495="B",VLOOKUP($A495,Bat!$A$4:$BD$2323,E$1,FALSE),VLOOKUP($A495,Pit!$A$4:$AZ$2261,E$2,FALSE))</f>
        <v>SP</v>
      </c>
      <c r="F495" s="16" t="str">
        <f>IF($C495="B",VLOOKUP($A495,Bat!$A$4:$BD$2323,F$1,FALSE),VLOOKUP($A495,Pit!$A$4:$AZ$2261,F$2,FALSE))</f>
        <v>Lúcio Domínguez</v>
      </c>
      <c r="G495" s="16">
        <f>IF($C495="B",VLOOKUP($A495,Bat!$A$4:$BD$2323,G$1,FALSE),VLOOKUP($A495,Pit!$A$4:$AZ$2261,G$2,FALSE))</f>
        <v>21</v>
      </c>
      <c r="H495" s="16" t="str">
        <f>IF($C495="B",VLOOKUP($A495,Bat!$A$4:$BD$2323,H$1,FALSE),VLOOKUP($A495,Pit!$A$4:$AZ$2261,H$2,FALSE))</f>
        <v>L</v>
      </c>
      <c r="I495" s="16" t="str">
        <f>IF($C495="B",VLOOKUP($A495,Bat!$A$4:$BD$2323,I$1,FALSE),VLOOKUP($A495,Pit!$A$4:$AZ$2261,I$2,FALSE))</f>
        <v>R</v>
      </c>
      <c r="J495" s="16" t="str">
        <f>IF($C495="B",VLOOKUP($A495,Bat!$A$4:$BD$2323,J$1,FALSE),VLOOKUP($A495,Pit!$A$4:$AZ$2261,J$2,FALSE))</f>
        <v>Very Low</v>
      </c>
      <c r="K495" s="17" t="str">
        <f>IF($C495="B",VLOOKUP($A495,Bat!$A$4:$BD$2323,K$1,FALSE),VLOOKUP($A495,Pit!$A$4:$AZ$2261,K$2,FALSE))</f>
        <v>High</v>
      </c>
      <c r="L495" s="16">
        <f>IF($C495="B",VLOOKUP($A495,Bat!$A$4:$BD$2323,L$1,FALSE),VLOOKUP($A495,Pit!$A$4:$AZ$2261,L$2,FALSE))</f>
        <v>4</v>
      </c>
      <c r="M495" s="16">
        <f>IF($C495="B",VLOOKUP($A495,Bat!$A$4:$BD$2323,M$1,FALSE),VLOOKUP($A495,Pit!$A$4:$AZ$2261,M$2,FALSE))</f>
        <v>4</v>
      </c>
      <c r="N495" s="16">
        <f>IF($C495="B",VLOOKUP($A495,Bat!$A$4:$BD$2323,N$1,FALSE),VLOOKUP($A495,Pit!$A$4:$AZ$2261,N$2,FALSE))</f>
        <v>3</v>
      </c>
      <c r="O495" s="16" t="str">
        <f>IF($C495="B",VLOOKUP($A495,Bat!$A$4:$BD$2323,O$1,FALSE),VLOOKUP($A495,Pit!$A$4:$AZ$2261,O$2,FALSE))</f>
        <v>94-96 Mph</v>
      </c>
      <c r="P495" s="17">
        <f>IF($C495="B",VLOOKUP($A495,Bat!$A$4:$BD$2323,P$1,FALSE),VLOOKUP($A495,Pit!$A$4:$AZ$2261,P$2,FALSE))</f>
        <v>7</v>
      </c>
      <c r="Q495" s="18">
        <f>IF($C495="B",VLOOKUP($A495,Bat!$A$4:$BD$2323,Q$1,FALSE),VLOOKUP($A495,Pit!$A$4:$AZ$2261,Q$2,FALSE))</f>
        <v>20.279260417625203</v>
      </c>
      <c r="R495" s="19">
        <f>IF($C495="B",VLOOKUP($A495,Bat!$A$4:$BD$2323,R$1,FALSE),VLOOKUP($A495,Pit!$A$4:$AZ$2261,R$2,FALSE))</f>
        <v>-1.0829887202568202</v>
      </c>
      <c r="S495" s="20" t="str">
        <f>IF($C495="B",VLOOKUP($A495,Bat!$A$4:$BD$2323,S$1,FALSE),VLOOKUP($A495,Pit!$A$4:$AZ$2261,S$2,FALSE))</f>
        <v>Slot</v>
      </c>
      <c r="T495" s="17" t="str">
        <f>IF(S495="Slot","",VLOOKUP(IF($C495="B",VLOOKUP($A495,Bat!$A$4:$AT$2323,T$1,FALSE),VLOOKUP($A495,Pit!$A$4:$BD$2261,T$2,FALSE)),COND!$A$34:$B$40,2,FALSE))</f>
        <v/>
      </c>
      <c r="U495" s="21">
        <f>IF($C495="B",VLOOKUP($A495,Bat!$A$4:$AR$1287,44,FALSE),VLOOKUP($A495,Pit!$A$4:$BB$1239,54,FALSE))</f>
        <v>0</v>
      </c>
      <c r="W495" s="21">
        <f t="shared" si="30"/>
        <v>0</v>
      </c>
      <c r="X495" s="22" t="e">
        <f t="shared" si="31"/>
        <v>#N/A</v>
      </c>
      <c r="Y495" s="16" t="str">
        <f>IF(ISERROR(VLOOKUP($E495&amp;$F495,Results!$A$2:$G$413,Y$1,FALSE)),"",VLOOKUP($E495&amp;$F495,Results!$A$2:$G$413,Y$1,FALSE))</f>
        <v/>
      </c>
      <c r="Z495" s="16" t="str">
        <f>IF(ISERROR(VLOOKUP($E495&amp;$F495,Results!$A$2:$G$413,Z$1,FALSE)),"",VLOOKUP($E495&amp;$F495,Results!$A$2:$G$413,Z$1,FALSE))</f>
        <v/>
      </c>
      <c r="AA495" s="16" t="str">
        <f>IF(ISERROR(VLOOKUP($E495&amp;$F495,Results!$A$2:$G$413,AA$1,FALSE)),"",VLOOKUP($E495&amp;$F495,Results!$A$2:$G$413,AA$1,FALSE))</f>
        <v/>
      </c>
      <c r="AB495" s="16" t="str">
        <f>IF(ISERROR(VLOOKUP($E495&amp;$F495,Results!$A$2:$G$413,AB$1,FALSE)),"",VLOOKUP($E495&amp;$F495,Results!$A$2:$G$413,AB$1,FALSE))</f>
        <v/>
      </c>
      <c r="AC495" s="16"/>
      <c r="AD495" s="20" t="str">
        <f>IF(ISERROR(VLOOKUP($AB495&amp;"-"&amp;$F495,Bonuses!$B$1:$G$1000,4,FALSE)),"",INT(VLOOKUP($AB495&amp;"-"&amp;$F495,Bonuses!$B$1:$G$1000,4,FALSE)))</f>
        <v/>
      </c>
      <c r="AE495" s="16" t="str">
        <f>IF(ISERROR(VLOOKUP($AB495&amp;"-"&amp;$F495,Bonuses!$B$1:$G$1000,5,FALSE)),"",IF(VLOOKUP($AB495&amp;"-"&amp;$F495,Bonuses!$B$1:$G$1000,5,FALSE)="","",VLOOKUP($AB495&amp;"-"&amp;$F495,Bonuses!$B$1:$G$1000,6,FALSE)&amp;" yrs, "&amp;VLOOKUP($AB495&amp;"-"&amp;$F495,Bonuses!$B$1:$G$1000,5,FALSE)))</f>
        <v/>
      </c>
    </row>
    <row r="496" spans="1:31" s="21" customFormat="1">
      <c r="A496" s="21" t="s">
        <v>619</v>
      </c>
      <c r="B496" s="21">
        <f t="shared" si="28"/>
        <v>1</v>
      </c>
      <c r="C496" s="21" t="str">
        <f t="shared" si="29"/>
        <v>P</v>
      </c>
      <c r="D496" s="17">
        <f>IF($C496="B",VLOOKUP($A496,Bat!$A$4:$BD$2323,D$1,FALSE),VLOOKUP($A496,Pit!$A$4:$AZ$2261,D$2,FALSE))</f>
        <v>13746</v>
      </c>
      <c r="E496" s="16" t="str">
        <f>IF($C496="B",VLOOKUP($A496,Bat!$A$4:$BD$2323,E$1,FALSE),VLOOKUP($A496,Pit!$A$4:$AZ$2261,E$2,FALSE))</f>
        <v>SP</v>
      </c>
      <c r="F496" s="16" t="str">
        <f>IF($C496="B",VLOOKUP($A496,Bat!$A$4:$BD$2323,F$1,FALSE),VLOOKUP($A496,Pit!$A$4:$AZ$2261,F$2,FALSE))</f>
        <v>Ralph Edwards</v>
      </c>
      <c r="G496" s="16">
        <f>IF($C496="B",VLOOKUP($A496,Bat!$A$4:$BD$2323,G$1,FALSE),VLOOKUP($A496,Pit!$A$4:$AZ$2261,G$2,FALSE))</f>
        <v>18</v>
      </c>
      <c r="H496" s="16" t="str">
        <f>IF($C496="B",VLOOKUP($A496,Bat!$A$4:$BD$2323,H$1,FALSE),VLOOKUP($A496,Pit!$A$4:$AZ$2261,H$2,FALSE))</f>
        <v>L</v>
      </c>
      <c r="I496" s="16" t="str">
        <f>IF($C496="B",VLOOKUP($A496,Bat!$A$4:$BD$2323,I$1,FALSE),VLOOKUP($A496,Pit!$A$4:$AZ$2261,I$2,FALSE))</f>
        <v>L</v>
      </c>
      <c r="J496" s="16" t="str">
        <f>IF($C496="B",VLOOKUP($A496,Bat!$A$4:$BD$2323,J$1,FALSE),VLOOKUP($A496,Pit!$A$4:$AZ$2261,J$2,FALSE))</f>
        <v>Very Low</v>
      </c>
      <c r="K496" s="17" t="str">
        <f>IF($C496="B",VLOOKUP($A496,Bat!$A$4:$BD$2323,K$1,FALSE),VLOOKUP($A496,Pit!$A$4:$AZ$2261,K$2,FALSE))</f>
        <v>Very Low</v>
      </c>
      <c r="L496" s="16">
        <f>IF($C496="B",VLOOKUP($A496,Bat!$A$4:$BD$2323,L$1,FALSE),VLOOKUP($A496,Pit!$A$4:$AZ$2261,L$2,FALSE))</f>
        <v>4</v>
      </c>
      <c r="M496" s="16">
        <f>IF($C496="B",VLOOKUP($A496,Bat!$A$4:$BD$2323,M$1,FALSE),VLOOKUP($A496,Pit!$A$4:$AZ$2261,M$2,FALSE))</f>
        <v>4</v>
      </c>
      <c r="N496" s="16">
        <f>IF($C496="B",VLOOKUP($A496,Bat!$A$4:$BD$2323,N$1,FALSE),VLOOKUP($A496,Pit!$A$4:$AZ$2261,N$2,FALSE))</f>
        <v>4</v>
      </c>
      <c r="O496" s="16" t="str">
        <f>IF($C496="B",VLOOKUP($A496,Bat!$A$4:$BD$2323,O$1,FALSE),VLOOKUP($A496,Pit!$A$4:$AZ$2261,O$2,FALSE))</f>
        <v>90-92 Mph</v>
      </c>
      <c r="P496" s="17">
        <f>IF($C496="B",VLOOKUP($A496,Bat!$A$4:$BD$2323,P$1,FALSE),VLOOKUP($A496,Pit!$A$4:$AZ$2261,P$2,FALSE))</f>
        <v>4</v>
      </c>
      <c r="Q496" s="18">
        <f>IF($C496="B",VLOOKUP($A496,Bat!$A$4:$BD$2323,Q$1,FALSE),VLOOKUP($A496,Pit!$A$4:$AZ$2261,Q$2,FALSE))</f>
        <v>18.24559076604837</v>
      </c>
      <c r="R496" s="19">
        <f>IF($C496="B",VLOOKUP($A496,Bat!$A$4:$BD$2323,R$1,FALSE),VLOOKUP($A496,Pit!$A$4:$AZ$2261,R$2,FALSE))</f>
        <v>-1.2444347181579352</v>
      </c>
      <c r="S496" s="20" t="str">
        <f>IF($C496="B",VLOOKUP($A496,Bat!$A$4:$BD$2323,S$1,FALSE),VLOOKUP($A496,Pit!$A$4:$AZ$2261,S$2,FALSE))</f>
        <v>Slot</v>
      </c>
      <c r="T496" s="17" t="str">
        <f>IF(S496="Slot","",VLOOKUP(IF($C496="B",VLOOKUP($A496,Bat!$A$4:$AT$2323,T$1,FALSE),VLOOKUP($A496,Pit!$A$4:$BD$2261,T$2,FALSE)),COND!$A$34:$B$40,2,FALSE))</f>
        <v/>
      </c>
      <c r="U496" s="21">
        <f>IF($C496="B",VLOOKUP($A496,Bat!$A$4:$AR$1287,44,FALSE),VLOOKUP($A496,Pit!$A$4:$BB$1239,54,FALSE))</f>
        <v>0</v>
      </c>
      <c r="W496" s="21">
        <f t="shared" si="30"/>
        <v>0</v>
      </c>
      <c r="X496" s="22" t="e">
        <f t="shared" si="31"/>
        <v>#N/A</v>
      </c>
      <c r="Y496" s="16" t="str">
        <f>IF(ISERROR(VLOOKUP($E496&amp;$F496,Results!$A$2:$G$413,Y$1,FALSE)),"",VLOOKUP($E496&amp;$F496,Results!$A$2:$G$413,Y$1,FALSE))</f>
        <v/>
      </c>
      <c r="Z496" s="16" t="str">
        <f>IF(ISERROR(VLOOKUP($E496&amp;$F496,Results!$A$2:$G$413,Z$1,FALSE)),"",VLOOKUP($E496&amp;$F496,Results!$A$2:$G$413,Z$1,FALSE))</f>
        <v/>
      </c>
      <c r="AA496" s="16" t="str">
        <f>IF(ISERROR(VLOOKUP($E496&amp;$F496,Results!$A$2:$G$413,AA$1,FALSE)),"",VLOOKUP($E496&amp;$F496,Results!$A$2:$G$413,AA$1,FALSE))</f>
        <v/>
      </c>
      <c r="AB496" s="16" t="str">
        <f>IF(ISERROR(VLOOKUP($E496&amp;$F496,Results!$A$2:$G$413,AB$1,FALSE)),"",VLOOKUP($E496&amp;$F496,Results!$A$2:$G$413,AB$1,FALSE))</f>
        <v/>
      </c>
      <c r="AC496" s="16"/>
      <c r="AD496" s="20" t="str">
        <f>IF(ISERROR(VLOOKUP($AB496&amp;"-"&amp;$F496,Bonuses!$B$1:$G$1000,4,FALSE)),"",INT(VLOOKUP($AB496&amp;"-"&amp;$F496,Bonuses!$B$1:$G$1000,4,FALSE)))</f>
        <v/>
      </c>
      <c r="AE496" s="16" t="str">
        <f>IF(ISERROR(VLOOKUP($AB496&amp;"-"&amp;$F496,Bonuses!$B$1:$G$1000,5,FALSE)),"",IF(VLOOKUP($AB496&amp;"-"&amp;$F496,Bonuses!$B$1:$G$1000,5,FALSE)="","",VLOOKUP($AB496&amp;"-"&amp;$F496,Bonuses!$B$1:$G$1000,6,FALSE)&amp;" yrs, "&amp;VLOOKUP($AB496&amp;"-"&amp;$F496,Bonuses!$B$1:$G$1000,5,FALSE)))</f>
        <v/>
      </c>
    </row>
    <row r="497" spans="1:31" s="21" customFormat="1">
      <c r="A497" s="21" t="s">
        <v>578</v>
      </c>
      <c r="B497" s="21">
        <f t="shared" si="28"/>
        <v>1</v>
      </c>
      <c r="C497" s="21" t="str">
        <f t="shared" si="29"/>
        <v>P</v>
      </c>
      <c r="D497" s="17">
        <f>IF($C497="B",VLOOKUP($A497,Bat!$A$4:$BD$2323,D$1,FALSE),VLOOKUP($A497,Pit!$A$4:$AZ$2261,D$2,FALSE))</f>
        <v>2816</v>
      </c>
      <c r="E497" s="16" t="str">
        <f>IF($C497="B",VLOOKUP($A497,Bat!$A$4:$BD$2323,E$1,FALSE),VLOOKUP($A497,Pit!$A$4:$AZ$2261,E$2,FALSE))</f>
        <v>SP</v>
      </c>
      <c r="F497" s="16" t="str">
        <f>IF($C497="B",VLOOKUP($A497,Bat!$A$4:$BD$2323,F$1,FALSE),VLOOKUP($A497,Pit!$A$4:$AZ$2261,F$2,FALSE))</f>
        <v>Teh-huai Rao</v>
      </c>
      <c r="G497" s="16">
        <f>IF($C497="B",VLOOKUP($A497,Bat!$A$4:$BD$2323,G$1,FALSE),VLOOKUP($A497,Pit!$A$4:$AZ$2261,G$2,FALSE))</f>
        <v>21</v>
      </c>
      <c r="H497" s="16" t="str">
        <f>IF($C497="B",VLOOKUP($A497,Bat!$A$4:$BD$2323,H$1,FALSE),VLOOKUP($A497,Pit!$A$4:$AZ$2261,H$2,FALSE))</f>
        <v>R</v>
      </c>
      <c r="I497" s="16" t="str">
        <f>IF($C497="B",VLOOKUP($A497,Bat!$A$4:$BD$2323,I$1,FALSE),VLOOKUP($A497,Pit!$A$4:$AZ$2261,I$2,FALSE))</f>
        <v>R</v>
      </c>
      <c r="J497" s="16" t="str">
        <f>IF($C497="B",VLOOKUP($A497,Bat!$A$4:$BD$2323,J$1,FALSE),VLOOKUP($A497,Pit!$A$4:$AZ$2261,J$2,FALSE))</f>
        <v>Low</v>
      </c>
      <c r="K497" s="17" t="str">
        <f>IF($C497="B",VLOOKUP($A497,Bat!$A$4:$BD$2323,K$1,FALSE),VLOOKUP($A497,Pit!$A$4:$AZ$2261,K$2,FALSE))</f>
        <v>Normal</v>
      </c>
      <c r="L497" s="16">
        <f>IF($C497="B",VLOOKUP($A497,Bat!$A$4:$BD$2323,L$1,FALSE),VLOOKUP($A497,Pit!$A$4:$AZ$2261,L$2,FALSE))</f>
        <v>4</v>
      </c>
      <c r="M497" s="16">
        <f>IF($C497="B",VLOOKUP($A497,Bat!$A$4:$BD$2323,M$1,FALSE),VLOOKUP($A497,Pit!$A$4:$AZ$2261,M$2,FALSE))</f>
        <v>3</v>
      </c>
      <c r="N497" s="16">
        <f>IF($C497="B",VLOOKUP($A497,Bat!$A$4:$BD$2323,N$1,FALSE),VLOOKUP($A497,Pit!$A$4:$AZ$2261,N$2,FALSE))</f>
        <v>4</v>
      </c>
      <c r="O497" s="16" t="str">
        <f>IF($C497="B",VLOOKUP($A497,Bat!$A$4:$BD$2323,O$1,FALSE),VLOOKUP($A497,Pit!$A$4:$AZ$2261,O$2,FALSE))</f>
        <v>94-96 Mph</v>
      </c>
      <c r="P497" s="17">
        <f>IF($C497="B",VLOOKUP($A497,Bat!$A$4:$BD$2323,P$1,FALSE),VLOOKUP($A497,Pit!$A$4:$AZ$2261,P$2,FALSE))</f>
        <v>4</v>
      </c>
      <c r="Q497" s="18">
        <f>IF($C497="B",VLOOKUP($A497,Bat!$A$4:$BD$2323,Q$1,FALSE),VLOOKUP($A497,Pit!$A$4:$AZ$2261,Q$2,FALSE))</f>
        <v>20.641022416397661</v>
      </c>
      <c r="R497" s="19">
        <f>IF($C497="B",VLOOKUP($A497,Bat!$A$4:$BD$2323,R$1,FALSE),VLOOKUP($A497,Pit!$A$4:$AZ$2261,R$2,FALSE))</f>
        <v>-1.0542696867356993</v>
      </c>
      <c r="S497" s="20" t="str">
        <f>IF($C497="B",VLOOKUP($A497,Bat!$A$4:$BD$2323,S$1,FALSE),VLOOKUP($A497,Pit!$A$4:$AZ$2261,S$2,FALSE))</f>
        <v>Slot</v>
      </c>
      <c r="T497" s="17" t="str">
        <f>IF(S497="Slot","",VLOOKUP(IF($C497="B",VLOOKUP($A497,Bat!$A$4:$AT$2323,T$1,FALSE),VLOOKUP($A497,Pit!$A$4:$BD$2261,T$2,FALSE)),COND!$A$34:$B$40,2,FALSE))</f>
        <v/>
      </c>
      <c r="U497" s="21">
        <f>IF($C497="B",VLOOKUP($A497,Bat!$A$4:$AR$1287,44,FALSE),VLOOKUP($A497,Pit!$A$4:$BB$1239,54,FALSE))</f>
        <v>0</v>
      </c>
      <c r="W497" s="21">
        <f t="shared" si="30"/>
        <v>0</v>
      </c>
      <c r="X497" s="22" t="e">
        <f t="shared" si="31"/>
        <v>#N/A</v>
      </c>
      <c r="Y497" s="16" t="str">
        <f>IF(ISERROR(VLOOKUP($E497&amp;$F497,Results!$A$2:$G$413,Y$1,FALSE)),"",VLOOKUP($E497&amp;$F497,Results!$A$2:$G$413,Y$1,FALSE))</f>
        <v/>
      </c>
      <c r="Z497" s="16" t="str">
        <f>IF(ISERROR(VLOOKUP($E497&amp;$F497,Results!$A$2:$G$413,Z$1,FALSE)),"",VLOOKUP($E497&amp;$F497,Results!$A$2:$G$413,Z$1,FALSE))</f>
        <v/>
      </c>
      <c r="AA497" s="16" t="str">
        <f>IF(ISERROR(VLOOKUP($E497&amp;$F497,Results!$A$2:$G$413,AA$1,FALSE)),"",VLOOKUP($E497&amp;$F497,Results!$A$2:$G$413,AA$1,FALSE))</f>
        <v/>
      </c>
      <c r="AB497" s="16" t="str">
        <f>IF(ISERROR(VLOOKUP($E497&amp;$F497,Results!$A$2:$G$413,AB$1,FALSE)),"",VLOOKUP($E497&amp;$F497,Results!$A$2:$G$413,AB$1,FALSE))</f>
        <v/>
      </c>
      <c r="AC497" s="16"/>
      <c r="AD497" s="20" t="str">
        <f>IF(ISERROR(VLOOKUP($AB497&amp;"-"&amp;$F497,Bonuses!$B$1:$G$1000,4,FALSE)),"",INT(VLOOKUP($AB497&amp;"-"&amp;$F497,Bonuses!$B$1:$G$1000,4,FALSE)))</f>
        <v/>
      </c>
      <c r="AE497" s="16" t="str">
        <f>IF(ISERROR(VLOOKUP($AB497&amp;"-"&amp;$F497,Bonuses!$B$1:$G$1000,5,FALSE)),"",IF(VLOOKUP($AB497&amp;"-"&amp;$F497,Bonuses!$B$1:$G$1000,5,FALSE)="","",VLOOKUP($AB497&amp;"-"&amp;$F497,Bonuses!$B$1:$G$1000,6,FALSE)&amp;" yrs, "&amp;VLOOKUP($AB497&amp;"-"&amp;$F497,Bonuses!$B$1:$G$1000,5,FALSE)))</f>
        <v/>
      </c>
    </row>
    <row r="498" spans="1:31" s="21" customFormat="1">
      <c r="A498" s="21" t="s">
        <v>595</v>
      </c>
      <c r="B498" s="21">
        <f t="shared" si="28"/>
        <v>1</v>
      </c>
      <c r="C498" s="21" t="str">
        <f t="shared" si="29"/>
        <v>P</v>
      </c>
      <c r="D498" s="17">
        <f>IF($C498="B",VLOOKUP($A498,Bat!$A$4:$BD$2323,D$1,FALSE),VLOOKUP($A498,Pit!$A$4:$AZ$2261,D$2,FALSE))</f>
        <v>9397</v>
      </c>
      <c r="E498" s="16" t="str">
        <f>IF($C498="B",VLOOKUP($A498,Bat!$A$4:$BD$2323,E$1,FALSE),VLOOKUP($A498,Pit!$A$4:$AZ$2261,E$2,FALSE))</f>
        <v>MR</v>
      </c>
      <c r="F498" s="16" t="str">
        <f>IF($C498="B",VLOOKUP($A498,Bat!$A$4:$BD$2323,F$1,FALSE),VLOOKUP($A498,Pit!$A$4:$AZ$2261,F$2,FALSE))</f>
        <v>Raymond Larson</v>
      </c>
      <c r="G498" s="16">
        <f>IF($C498="B",VLOOKUP($A498,Bat!$A$4:$BD$2323,G$1,FALSE),VLOOKUP($A498,Pit!$A$4:$AZ$2261,G$2,FALSE))</f>
        <v>21</v>
      </c>
      <c r="H498" s="16" t="str">
        <f>IF($C498="B",VLOOKUP($A498,Bat!$A$4:$BD$2323,H$1,FALSE),VLOOKUP($A498,Pit!$A$4:$AZ$2261,H$2,FALSE))</f>
        <v>L</v>
      </c>
      <c r="I498" s="16" t="str">
        <f>IF($C498="B",VLOOKUP($A498,Bat!$A$4:$BD$2323,I$1,FALSE),VLOOKUP($A498,Pit!$A$4:$AZ$2261,I$2,FALSE))</f>
        <v>R</v>
      </c>
      <c r="J498" s="16" t="str">
        <f>IF($C498="B",VLOOKUP($A498,Bat!$A$4:$BD$2323,J$1,FALSE),VLOOKUP($A498,Pit!$A$4:$AZ$2261,J$2,FALSE))</f>
        <v>Normal</v>
      </c>
      <c r="K498" s="17" t="str">
        <f>IF($C498="B",VLOOKUP($A498,Bat!$A$4:$BD$2323,K$1,FALSE),VLOOKUP($A498,Pit!$A$4:$AZ$2261,K$2,FALSE))</f>
        <v>Normal</v>
      </c>
      <c r="L498" s="16">
        <f>IF($C498="B",VLOOKUP($A498,Bat!$A$4:$BD$2323,L$1,FALSE),VLOOKUP($A498,Pit!$A$4:$AZ$2261,L$2,FALSE))</f>
        <v>4</v>
      </c>
      <c r="M498" s="16">
        <f>IF($C498="B",VLOOKUP($A498,Bat!$A$4:$BD$2323,M$1,FALSE),VLOOKUP($A498,Pit!$A$4:$AZ$2261,M$2,FALSE))</f>
        <v>3</v>
      </c>
      <c r="N498" s="16">
        <f>IF($C498="B",VLOOKUP($A498,Bat!$A$4:$BD$2323,N$1,FALSE),VLOOKUP($A498,Pit!$A$4:$AZ$2261,N$2,FALSE))</f>
        <v>4</v>
      </c>
      <c r="O498" s="16" t="str">
        <f>IF($C498="B",VLOOKUP($A498,Bat!$A$4:$BD$2323,O$1,FALSE),VLOOKUP($A498,Pit!$A$4:$AZ$2261,O$2,FALSE))</f>
        <v>87-89 Mph</v>
      </c>
      <c r="P498" s="17">
        <f>IF($C498="B",VLOOKUP($A498,Bat!$A$4:$BD$2323,P$1,FALSE),VLOOKUP($A498,Pit!$A$4:$AZ$2261,P$2,FALSE))</f>
        <v>4</v>
      </c>
      <c r="Q498" s="18">
        <f>IF($C498="B",VLOOKUP($A498,Bat!$A$4:$BD$2323,Q$1,FALSE),VLOOKUP($A498,Pit!$A$4:$AZ$2261,Q$2,FALSE))</f>
        <v>21.090279738619373</v>
      </c>
      <c r="R498" s="19">
        <f>IF($C498="B",VLOOKUP($A498,Bat!$A$4:$BD$2323,R$1,FALSE),VLOOKUP($A498,Pit!$A$4:$AZ$2261,R$2,FALSE))</f>
        <v>-1.0186047021870883</v>
      </c>
      <c r="S498" s="20" t="str">
        <f>IF($C498="B",VLOOKUP($A498,Bat!$A$4:$BD$2323,S$1,FALSE),VLOOKUP($A498,Pit!$A$4:$AZ$2261,S$2,FALSE))</f>
        <v>Slot</v>
      </c>
      <c r="T498" s="17" t="str">
        <f>IF(S498="Slot","",VLOOKUP(IF($C498="B",VLOOKUP($A498,Bat!$A$4:$AT$2323,T$1,FALSE),VLOOKUP($A498,Pit!$A$4:$BD$2261,T$2,FALSE)),COND!$A$34:$B$40,2,FALSE))</f>
        <v/>
      </c>
      <c r="U498" s="21">
        <f>IF($C498="B",VLOOKUP($A498,Bat!$A$4:$AR$1287,44,FALSE),VLOOKUP($A498,Pit!$A$4:$BB$1239,54,FALSE))</f>
        <v>0</v>
      </c>
      <c r="W498" s="21">
        <f t="shared" si="30"/>
        <v>0</v>
      </c>
      <c r="X498" s="22" t="e">
        <f t="shared" si="31"/>
        <v>#N/A</v>
      </c>
      <c r="Y498" s="16" t="str">
        <f>IF(ISERROR(VLOOKUP($E498&amp;$F498,Results!$A$2:$G$413,Y$1,FALSE)),"",VLOOKUP($E498&amp;$F498,Results!$A$2:$G$413,Y$1,FALSE))</f>
        <v/>
      </c>
      <c r="Z498" s="16" t="str">
        <f>IF(ISERROR(VLOOKUP($E498&amp;$F498,Results!$A$2:$G$413,Z$1,FALSE)),"",VLOOKUP($E498&amp;$F498,Results!$A$2:$G$413,Z$1,FALSE))</f>
        <v/>
      </c>
      <c r="AA498" s="16" t="str">
        <f>IF(ISERROR(VLOOKUP($E498&amp;$F498,Results!$A$2:$G$413,AA$1,FALSE)),"",VLOOKUP($E498&amp;$F498,Results!$A$2:$G$413,AA$1,FALSE))</f>
        <v/>
      </c>
      <c r="AB498" s="16" t="str">
        <f>IF(ISERROR(VLOOKUP($E498&amp;$F498,Results!$A$2:$G$413,AB$1,FALSE)),"",VLOOKUP($E498&amp;$F498,Results!$A$2:$G$413,AB$1,FALSE))</f>
        <v/>
      </c>
      <c r="AC498" s="16"/>
      <c r="AD498" s="20" t="str">
        <f>IF(ISERROR(VLOOKUP($AB498&amp;"-"&amp;$F498,Bonuses!$B$1:$G$1000,4,FALSE)),"",INT(VLOOKUP($AB498&amp;"-"&amp;$F498,Bonuses!$B$1:$G$1000,4,FALSE)))</f>
        <v/>
      </c>
      <c r="AE498" s="16" t="str">
        <f>IF(ISERROR(VLOOKUP($AB498&amp;"-"&amp;$F498,Bonuses!$B$1:$G$1000,5,FALSE)),"",IF(VLOOKUP($AB498&amp;"-"&amp;$F498,Bonuses!$B$1:$G$1000,5,FALSE)="","",VLOOKUP($AB498&amp;"-"&amp;$F498,Bonuses!$B$1:$G$1000,6,FALSE)&amp;" yrs, "&amp;VLOOKUP($AB498&amp;"-"&amp;$F498,Bonuses!$B$1:$G$1000,5,FALSE)))</f>
        <v/>
      </c>
    </row>
    <row r="499" spans="1:31" s="21" customFormat="1">
      <c r="A499" s="21" t="s">
        <v>564</v>
      </c>
      <c r="B499" s="21">
        <f t="shared" si="28"/>
        <v>1</v>
      </c>
      <c r="C499" s="21" t="str">
        <f t="shared" si="29"/>
        <v>P</v>
      </c>
      <c r="D499" s="17">
        <f>IF($C499="B",VLOOKUP($A499,Bat!$A$4:$BD$2323,D$1,FALSE),VLOOKUP($A499,Pit!$A$4:$AZ$2261,D$2,FALSE))</f>
        <v>3819</v>
      </c>
      <c r="E499" s="16" t="str">
        <f>IF($C499="B",VLOOKUP($A499,Bat!$A$4:$BD$2323,E$1,FALSE),VLOOKUP($A499,Pit!$A$4:$AZ$2261,E$2,FALSE))</f>
        <v>MR</v>
      </c>
      <c r="F499" s="16" t="str">
        <f>IF($C499="B",VLOOKUP($A499,Bat!$A$4:$BD$2323,F$1,FALSE),VLOOKUP($A499,Pit!$A$4:$AZ$2261,F$2,FALSE))</f>
        <v>David Herrera</v>
      </c>
      <c r="G499" s="16">
        <f>IF($C499="B",VLOOKUP($A499,Bat!$A$4:$BD$2323,G$1,FALSE),VLOOKUP($A499,Pit!$A$4:$AZ$2261,G$2,FALSE))</f>
        <v>21</v>
      </c>
      <c r="H499" s="16" t="str">
        <f>IF($C499="B",VLOOKUP($A499,Bat!$A$4:$BD$2323,H$1,FALSE),VLOOKUP($A499,Pit!$A$4:$AZ$2261,H$2,FALSE))</f>
        <v>R</v>
      </c>
      <c r="I499" s="16" t="str">
        <f>IF($C499="B",VLOOKUP($A499,Bat!$A$4:$BD$2323,I$1,FALSE),VLOOKUP($A499,Pit!$A$4:$AZ$2261,I$2,FALSE))</f>
        <v>R</v>
      </c>
      <c r="J499" s="16" t="str">
        <f>IF($C499="B",VLOOKUP($A499,Bat!$A$4:$BD$2323,J$1,FALSE),VLOOKUP($A499,Pit!$A$4:$AZ$2261,J$2,FALSE))</f>
        <v>Low</v>
      </c>
      <c r="K499" s="17" t="str">
        <f>IF($C499="B",VLOOKUP($A499,Bat!$A$4:$BD$2323,K$1,FALSE),VLOOKUP($A499,Pit!$A$4:$AZ$2261,K$2,FALSE))</f>
        <v>Very High</v>
      </c>
      <c r="L499" s="16">
        <f>IF($C499="B",VLOOKUP($A499,Bat!$A$4:$BD$2323,L$1,FALSE),VLOOKUP($A499,Pit!$A$4:$AZ$2261,L$2,FALSE))</f>
        <v>5</v>
      </c>
      <c r="M499" s="16">
        <f>IF($C499="B",VLOOKUP($A499,Bat!$A$4:$BD$2323,M$1,FALSE),VLOOKUP($A499,Pit!$A$4:$AZ$2261,M$2,FALSE))</f>
        <v>3</v>
      </c>
      <c r="N499" s="16">
        <f>IF($C499="B",VLOOKUP($A499,Bat!$A$4:$BD$2323,N$1,FALSE),VLOOKUP($A499,Pit!$A$4:$AZ$2261,N$2,FALSE))</f>
        <v>3</v>
      </c>
      <c r="O499" s="16" t="str">
        <f>IF($C499="B",VLOOKUP($A499,Bat!$A$4:$BD$2323,O$1,FALSE),VLOOKUP($A499,Pit!$A$4:$AZ$2261,O$2,FALSE))</f>
        <v>95-97 Mph</v>
      </c>
      <c r="P499" s="17">
        <f>IF($C499="B",VLOOKUP($A499,Bat!$A$4:$BD$2323,P$1,FALSE),VLOOKUP($A499,Pit!$A$4:$AZ$2261,P$2,FALSE))</f>
        <v>3</v>
      </c>
      <c r="Q499" s="18">
        <f>IF($C499="B",VLOOKUP($A499,Bat!$A$4:$BD$2323,Q$1,FALSE),VLOOKUP($A499,Pit!$A$4:$AZ$2261,Q$2,FALSE))</f>
        <v>20.733213323040637</v>
      </c>
      <c r="R499" s="19">
        <f>IF($C499="B",VLOOKUP($A499,Bat!$A$4:$BD$2323,R$1,FALSE),VLOOKUP($A499,Pit!$A$4:$AZ$2261,R$2,FALSE))</f>
        <v>-1.046950969603424</v>
      </c>
      <c r="S499" s="20" t="str">
        <f>IF($C499="B",VLOOKUP($A499,Bat!$A$4:$BD$2323,S$1,FALSE),VLOOKUP($A499,Pit!$A$4:$AZ$2261,S$2,FALSE))</f>
        <v>Slot</v>
      </c>
      <c r="T499" s="17" t="str">
        <f>IF(S499="Slot","",VLOOKUP(IF($C499="B",VLOOKUP($A499,Bat!$A$4:$AT$2323,T$1,FALSE),VLOOKUP($A499,Pit!$A$4:$BD$2261,T$2,FALSE)),COND!$A$34:$B$40,2,FALSE))</f>
        <v/>
      </c>
      <c r="U499" s="21">
        <f>IF($C499="B",VLOOKUP($A499,Bat!$A$4:$AR$1287,44,FALSE),VLOOKUP($A499,Pit!$A$4:$BB$1239,54,FALSE))</f>
        <v>0</v>
      </c>
      <c r="W499" s="21">
        <f t="shared" si="30"/>
        <v>0</v>
      </c>
      <c r="X499" s="22" t="e">
        <f t="shared" si="31"/>
        <v>#N/A</v>
      </c>
      <c r="Y499" s="16" t="str">
        <f>IF(ISERROR(VLOOKUP($E499&amp;$F499,Results!$A$2:$G$413,Y$1,FALSE)),"",VLOOKUP($E499&amp;$F499,Results!$A$2:$G$413,Y$1,FALSE))</f>
        <v/>
      </c>
      <c r="Z499" s="16" t="str">
        <f>IF(ISERROR(VLOOKUP($E499&amp;$F499,Results!$A$2:$G$413,Z$1,FALSE)),"",VLOOKUP($E499&amp;$F499,Results!$A$2:$G$413,Z$1,FALSE))</f>
        <v/>
      </c>
      <c r="AA499" s="16" t="str">
        <f>IF(ISERROR(VLOOKUP($E499&amp;$F499,Results!$A$2:$G$413,AA$1,FALSE)),"",VLOOKUP($E499&amp;$F499,Results!$A$2:$G$413,AA$1,FALSE))</f>
        <v/>
      </c>
      <c r="AB499" s="16" t="str">
        <f>IF(ISERROR(VLOOKUP($E499&amp;$F499,Results!$A$2:$G$413,AB$1,FALSE)),"",VLOOKUP($E499&amp;$F499,Results!$A$2:$G$413,AB$1,FALSE))</f>
        <v/>
      </c>
      <c r="AC499" s="16"/>
      <c r="AD499" s="20" t="str">
        <f>IF(ISERROR(VLOOKUP($AB499&amp;"-"&amp;$F499,Bonuses!$B$1:$G$1000,4,FALSE)),"",INT(VLOOKUP($AB499&amp;"-"&amp;$F499,Bonuses!$B$1:$G$1000,4,FALSE)))</f>
        <v/>
      </c>
      <c r="AE499" s="16" t="str">
        <f>IF(ISERROR(VLOOKUP($AB499&amp;"-"&amp;$F499,Bonuses!$B$1:$G$1000,5,FALSE)),"",IF(VLOOKUP($AB499&amp;"-"&amp;$F499,Bonuses!$B$1:$G$1000,5,FALSE)="","",VLOOKUP($AB499&amp;"-"&amp;$F499,Bonuses!$B$1:$G$1000,6,FALSE)&amp;" yrs, "&amp;VLOOKUP($AB499&amp;"-"&amp;$F499,Bonuses!$B$1:$G$1000,5,FALSE)))</f>
        <v/>
      </c>
    </row>
    <row r="500" spans="1:31" s="21" customFormat="1">
      <c r="A500" s="21" t="s">
        <v>579</v>
      </c>
      <c r="B500" s="21">
        <f t="shared" si="28"/>
        <v>1</v>
      </c>
      <c r="C500" s="21" t="str">
        <f t="shared" si="29"/>
        <v>P</v>
      </c>
      <c r="D500" s="17">
        <f>IF($C500="B",VLOOKUP($A500,Bat!$A$4:$BD$2323,D$1,FALSE),VLOOKUP($A500,Pit!$A$4:$AZ$2261,D$2,FALSE))</f>
        <v>13908</v>
      </c>
      <c r="E500" s="16" t="str">
        <f>IF($C500="B",VLOOKUP($A500,Bat!$A$4:$BD$2323,E$1,FALSE),VLOOKUP($A500,Pit!$A$4:$AZ$2261,E$2,FALSE))</f>
        <v>SP</v>
      </c>
      <c r="F500" s="16" t="str">
        <f>IF($C500="B",VLOOKUP($A500,Bat!$A$4:$BD$2323,F$1,FALSE),VLOOKUP($A500,Pit!$A$4:$AZ$2261,F$2,FALSE))</f>
        <v>Nick Keys</v>
      </c>
      <c r="G500" s="16">
        <f>IF($C500="B",VLOOKUP($A500,Bat!$A$4:$BD$2323,G$1,FALSE),VLOOKUP($A500,Pit!$A$4:$AZ$2261,G$2,FALSE))</f>
        <v>21</v>
      </c>
      <c r="H500" s="16" t="str">
        <f>IF($C500="B",VLOOKUP($A500,Bat!$A$4:$BD$2323,H$1,FALSE),VLOOKUP($A500,Pit!$A$4:$AZ$2261,H$2,FALSE))</f>
        <v>R</v>
      </c>
      <c r="I500" s="16" t="str">
        <f>IF($C500="B",VLOOKUP($A500,Bat!$A$4:$BD$2323,I$1,FALSE),VLOOKUP($A500,Pit!$A$4:$AZ$2261,I$2,FALSE))</f>
        <v>R</v>
      </c>
      <c r="J500" s="16" t="str">
        <f>IF($C500="B",VLOOKUP($A500,Bat!$A$4:$BD$2323,J$1,FALSE),VLOOKUP($A500,Pit!$A$4:$AZ$2261,J$2,FALSE))</f>
        <v>Very Low</v>
      </c>
      <c r="K500" s="17" t="str">
        <f>IF($C500="B",VLOOKUP($A500,Bat!$A$4:$BD$2323,K$1,FALSE),VLOOKUP($A500,Pit!$A$4:$AZ$2261,K$2,FALSE))</f>
        <v>Very High</v>
      </c>
      <c r="L500" s="16">
        <f>IF($C500="B",VLOOKUP($A500,Bat!$A$4:$BD$2323,L$1,FALSE),VLOOKUP($A500,Pit!$A$4:$AZ$2261,L$2,FALSE))</f>
        <v>4</v>
      </c>
      <c r="M500" s="16">
        <f>IF($C500="B",VLOOKUP($A500,Bat!$A$4:$BD$2323,M$1,FALSE),VLOOKUP($A500,Pit!$A$4:$AZ$2261,M$2,FALSE))</f>
        <v>3</v>
      </c>
      <c r="N500" s="16">
        <f>IF($C500="B",VLOOKUP($A500,Bat!$A$4:$BD$2323,N$1,FALSE),VLOOKUP($A500,Pit!$A$4:$AZ$2261,N$2,FALSE))</f>
        <v>4</v>
      </c>
      <c r="O500" s="16" t="str">
        <f>IF($C500="B",VLOOKUP($A500,Bat!$A$4:$BD$2323,O$1,FALSE),VLOOKUP($A500,Pit!$A$4:$AZ$2261,O$2,FALSE))</f>
        <v>95-97 Mph</v>
      </c>
      <c r="P500" s="17">
        <f>IF($C500="B",VLOOKUP($A500,Bat!$A$4:$BD$2323,P$1,FALSE),VLOOKUP($A500,Pit!$A$4:$AZ$2261,P$2,FALSE))</f>
        <v>3</v>
      </c>
      <c r="Q500" s="18">
        <f>IF($C500="B",VLOOKUP($A500,Bat!$A$4:$BD$2323,Q$1,FALSE),VLOOKUP($A500,Pit!$A$4:$AZ$2261,Q$2,FALSE))</f>
        <v>19.442918725550342</v>
      </c>
      <c r="R500" s="19">
        <f>IF($C500="B",VLOOKUP($A500,Bat!$A$4:$BD$2323,R$1,FALSE),VLOOKUP($A500,Pit!$A$4:$AZ$2261,R$2,FALSE))</f>
        <v>-1.1493829937607003</v>
      </c>
      <c r="S500" s="20" t="str">
        <f>IF($C500="B",VLOOKUP($A500,Bat!$A$4:$BD$2323,S$1,FALSE),VLOOKUP($A500,Pit!$A$4:$AZ$2261,S$2,FALSE))</f>
        <v>Slot</v>
      </c>
      <c r="T500" s="17" t="str">
        <f>IF(S500="Slot","",VLOOKUP(IF($C500="B",VLOOKUP($A500,Bat!$A$4:$AT$2323,T$1,FALSE),VLOOKUP($A500,Pit!$A$4:$BD$2261,T$2,FALSE)),COND!$A$34:$B$40,2,FALSE))</f>
        <v/>
      </c>
      <c r="U500" s="21">
        <f>IF($C500="B",VLOOKUP($A500,Bat!$A$4:$AR$1287,44,FALSE),VLOOKUP($A500,Pit!$A$4:$BB$1239,54,FALSE))</f>
        <v>0</v>
      </c>
      <c r="W500" s="21">
        <f t="shared" si="30"/>
        <v>0</v>
      </c>
      <c r="X500" s="22" t="e">
        <f t="shared" si="31"/>
        <v>#N/A</v>
      </c>
      <c r="Y500" s="16" t="str">
        <f>IF(ISERROR(VLOOKUP($E500&amp;$F500,Results!$A$2:$G$413,Y$1,FALSE)),"",VLOOKUP($E500&amp;$F500,Results!$A$2:$G$413,Y$1,FALSE))</f>
        <v/>
      </c>
      <c r="Z500" s="16" t="str">
        <f>IF(ISERROR(VLOOKUP($E500&amp;$F500,Results!$A$2:$G$413,Z$1,FALSE)),"",VLOOKUP($E500&amp;$F500,Results!$A$2:$G$413,Z$1,FALSE))</f>
        <v/>
      </c>
      <c r="AA500" s="16" t="str">
        <f>IF(ISERROR(VLOOKUP($E500&amp;$F500,Results!$A$2:$G$413,AA$1,FALSE)),"",VLOOKUP($E500&amp;$F500,Results!$A$2:$G$413,AA$1,FALSE))</f>
        <v/>
      </c>
      <c r="AB500" s="16" t="str">
        <f>IF(ISERROR(VLOOKUP($E500&amp;$F500,Results!$A$2:$G$413,AB$1,FALSE)),"",VLOOKUP($E500&amp;$F500,Results!$A$2:$G$413,AB$1,FALSE))</f>
        <v/>
      </c>
      <c r="AC500" s="16"/>
      <c r="AD500" s="20" t="str">
        <f>IF(ISERROR(VLOOKUP($AB500&amp;"-"&amp;$F500,Bonuses!$B$1:$G$1000,4,FALSE)),"",INT(VLOOKUP($AB500&amp;"-"&amp;$F500,Bonuses!$B$1:$G$1000,4,FALSE)))</f>
        <v/>
      </c>
      <c r="AE500" s="16" t="str">
        <f>IF(ISERROR(VLOOKUP($AB500&amp;"-"&amp;$F500,Bonuses!$B$1:$G$1000,5,FALSE)),"",IF(VLOOKUP($AB500&amp;"-"&amp;$F500,Bonuses!$B$1:$G$1000,5,FALSE)="","",VLOOKUP($AB500&amp;"-"&amp;$F500,Bonuses!$B$1:$G$1000,6,FALSE)&amp;" yrs, "&amp;VLOOKUP($AB500&amp;"-"&amp;$F500,Bonuses!$B$1:$G$1000,5,FALSE)))</f>
        <v/>
      </c>
    </row>
    <row r="501" spans="1:31" s="21" customFormat="1">
      <c r="A501" s="21" t="s">
        <v>605</v>
      </c>
      <c r="B501" s="21">
        <f t="shared" si="28"/>
        <v>1</v>
      </c>
      <c r="C501" s="21" t="str">
        <f t="shared" si="29"/>
        <v>P</v>
      </c>
      <c r="D501" s="17">
        <f>IF($C501="B",VLOOKUP($A501,Bat!$A$4:$BD$2323,D$1,FALSE),VLOOKUP($A501,Pit!$A$4:$AZ$2261,D$2,FALSE))</f>
        <v>4109</v>
      </c>
      <c r="E501" s="16" t="str">
        <f>IF($C501="B",VLOOKUP($A501,Bat!$A$4:$BD$2323,E$1,FALSE),VLOOKUP($A501,Pit!$A$4:$AZ$2261,E$2,FALSE))</f>
        <v>MR</v>
      </c>
      <c r="F501" s="16" t="str">
        <f>IF($C501="B",VLOOKUP($A501,Bat!$A$4:$BD$2323,F$1,FALSE),VLOOKUP($A501,Pit!$A$4:$AZ$2261,F$2,FALSE))</f>
        <v>Alvin Tinker</v>
      </c>
      <c r="G501" s="16">
        <f>IF($C501="B",VLOOKUP($A501,Bat!$A$4:$BD$2323,G$1,FALSE),VLOOKUP($A501,Pit!$A$4:$AZ$2261,G$2,FALSE))</f>
        <v>21</v>
      </c>
      <c r="H501" s="16" t="str">
        <f>IF($C501="B",VLOOKUP($A501,Bat!$A$4:$BD$2323,H$1,FALSE),VLOOKUP($A501,Pit!$A$4:$AZ$2261,H$2,FALSE))</f>
        <v>R</v>
      </c>
      <c r="I501" s="16" t="str">
        <f>IF($C501="B",VLOOKUP($A501,Bat!$A$4:$BD$2323,I$1,FALSE),VLOOKUP($A501,Pit!$A$4:$AZ$2261,I$2,FALSE))</f>
        <v>R</v>
      </c>
      <c r="J501" s="16" t="str">
        <f>IF($C501="B",VLOOKUP($A501,Bat!$A$4:$BD$2323,J$1,FALSE),VLOOKUP($A501,Pit!$A$4:$AZ$2261,J$2,FALSE))</f>
        <v>High</v>
      </c>
      <c r="K501" s="17" t="str">
        <f>IF($C501="B",VLOOKUP($A501,Bat!$A$4:$BD$2323,K$1,FALSE),VLOOKUP($A501,Pit!$A$4:$AZ$2261,K$2,FALSE))</f>
        <v>Very High</v>
      </c>
      <c r="L501" s="16">
        <f>IF($C501="B",VLOOKUP($A501,Bat!$A$4:$BD$2323,L$1,FALSE),VLOOKUP($A501,Pit!$A$4:$AZ$2261,L$2,FALSE))</f>
        <v>4</v>
      </c>
      <c r="M501" s="16">
        <f>IF($C501="B",VLOOKUP($A501,Bat!$A$4:$BD$2323,M$1,FALSE),VLOOKUP($A501,Pit!$A$4:$AZ$2261,M$2,FALSE))</f>
        <v>4</v>
      </c>
      <c r="N501" s="16">
        <f>IF($C501="B",VLOOKUP($A501,Bat!$A$4:$BD$2323,N$1,FALSE),VLOOKUP($A501,Pit!$A$4:$AZ$2261,N$2,FALSE))</f>
        <v>3</v>
      </c>
      <c r="O501" s="16" t="str">
        <f>IF($C501="B",VLOOKUP($A501,Bat!$A$4:$BD$2323,O$1,FALSE),VLOOKUP($A501,Pit!$A$4:$AZ$2261,O$2,FALSE))</f>
        <v>90-92 Mph</v>
      </c>
      <c r="P501" s="17">
        <f>IF($C501="B",VLOOKUP($A501,Bat!$A$4:$BD$2323,P$1,FALSE),VLOOKUP($A501,Pit!$A$4:$AZ$2261,P$2,FALSE))</f>
        <v>4</v>
      </c>
      <c r="Q501" s="18">
        <f>IF($C501="B",VLOOKUP($A501,Bat!$A$4:$BD$2323,Q$1,FALSE),VLOOKUP($A501,Pit!$A$4:$AZ$2261,Q$2,FALSE))</f>
        <v>21.040482714333763</v>
      </c>
      <c r="R501" s="19">
        <f>IF($C501="B",VLOOKUP($A501,Bat!$A$4:$BD$2323,R$1,FALSE),VLOOKUP($A501,Pit!$A$4:$AZ$2261,R$2,FALSE))</f>
        <v>-1.0225579156660143</v>
      </c>
      <c r="S501" s="20" t="str">
        <f>IF($C501="B",VLOOKUP($A501,Bat!$A$4:$BD$2323,S$1,FALSE),VLOOKUP($A501,Pit!$A$4:$AZ$2261,S$2,FALSE))</f>
        <v>Slot</v>
      </c>
      <c r="T501" s="17" t="str">
        <f>IF(S501="Slot","",VLOOKUP(IF($C501="B",VLOOKUP($A501,Bat!$A$4:$AT$2323,T$1,FALSE),VLOOKUP($A501,Pit!$A$4:$BD$2261,T$2,FALSE)),COND!$A$34:$B$40,2,FALSE))</f>
        <v/>
      </c>
      <c r="U501" s="21">
        <f>IF($C501="B",VLOOKUP($A501,Bat!$A$4:$AR$1287,44,FALSE),VLOOKUP($A501,Pit!$A$4:$BB$1239,54,FALSE))</f>
        <v>0</v>
      </c>
      <c r="W501" s="21">
        <f t="shared" si="30"/>
        <v>0</v>
      </c>
      <c r="X501" s="22" t="e">
        <f t="shared" si="31"/>
        <v>#N/A</v>
      </c>
      <c r="Y501" s="16" t="str">
        <f>IF(ISERROR(VLOOKUP($E501&amp;$F501,Results!$A$2:$G$413,Y$1,FALSE)),"",VLOOKUP($E501&amp;$F501,Results!$A$2:$G$413,Y$1,FALSE))</f>
        <v/>
      </c>
      <c r="Z501" s="16" t="str">
        <f>IF(ISERROR(VLOOKUP($E501&amp;$F501,Results!$A$2:$G$413,Z$1,FALSE)),"",VLOOKUP($E501&amp;$F501,Results!$A$2:$G$413,Z$1,FALSE))</f>
        <v/>
      </c>
      <c r="AA501" s="16" t="str">
        <f>IF(ISERROR(VLOOKUP($E501&amp;$F501,Results!$A$2:$G$413,AA$1,FALSE)),"",VLOOKUP($E501&amp;$F501,Results!$A$2:$G$413,AA$1,FALSE))</f>
        <v/>
      </c>
      <c r="AB501" s="16" t="str">
        <f>IF(ISERROR(VLOOKUP($E501&amp;$F501,Results!$A$2:$G$413,AB$1,FALSE)),"",VLOOKUP($E501&amp;$F501,Results!$A$2:$G$413,AB$1,FALSE))</f>
        <v/>
      </c>
      <c r="AC501" s="16"/>
      <c r="AD501" s="20" t="str">
        <f>IF(ISERROR(VLOOKUP($AB501&amp;"-"&amp;$F501,Bonuses!$B$1:$G$1000,4,FALSE)),"",INT(VLOOKUP($AB501&amp;"-"&amp;$F501,Bonuses!$B$1:$G$1000,4,FALSE)))</f>
        <v/>
      </c>
      <c r="AE501" s="16" t="str">
        <f>IF(ISERROR(VLOOKUP($AB501&amp;"-"&amp;$F501,Bonuses!$B$1:$G$1000,5,FALSE)),"",IF(VLOOKUP($AB501&amp;"-"&amp;$F501,Bonuses!$B$1:$G$1000,5,FALSE)="","",VLOOKUP($AB501&amp;"-"&amp;$F501,Bonuses!$B$1:$G$1000,6,FALSE)&amp;" yrs, "&amp;VLOOKUP($AB501&amp;"-"&amp;$F501,Bonuses!$B$1:$G$1000,5,FALSE)))</f>
        <v/>
      </c>
    </row>
    <row r="502" spans="1:31" s="21" customFormat="1">
      <c r="A502" s="21" t="s">
        <v>623</v>
      </c>
      <c r="B502" s="21">
        <f t="shared" si="28"/>
        <v>1</v>
      </c>
      <c r="C502" s="21" t="str">
        <f t="shared" si="29"/>
        <v>P</v>
      </c>
      <c r="D502" s="17">
        <f>IF($C502="B",VLOOKUP($A502,Bat!$A$4:$BD$2323,D$1,FALSE),VLOOKUP($A502,Pit!$A$4:$AZ$2261,D$2,FALSE))</f>
        <v>13840</v>
      </c>
      <c r="E502" s="16" t="str">
        <f>IF($C502="B",VLOOKUP($A502,Bat!$A$4:$BD$2323,E$1,FALSE),VLOOKUP($A502,Pit!$A$4:$AZ$2261,E$2,FALSE))</f>
        <v>MR</v>
      </c>
      <c r="F502" s="16" t="str">
        <f>IF($C502="B",VLOOKUP($A502,Bat!$A$4:$BD$2323,F$1,FALSE),VLOOKUP($A502,Pit!$A$4:$AZ$2261,F$2,FALSE))</f>
        <v>Richard Peterson</v>
      </c>
      <c r="G502" s="16">
        <f>IF($C502="B",VLOOKUP($A502,Bat!$A$4:$BD$2323,G$1,FALSE),VLOOKUP($A502,Pit!$A$4:$AZ$2261,G$2,FALSE))</f>
        <v>18</v>
      </c>
      <c r="H502" s="16" t="str">
        <f>IF($C502="B",VLOOKUP($A502,Bat!$A$4:$BD$2323,H$1,FALSE),VLOOKUP($A502,Pit!$A$4:$AZ$2261,H$2,FALSE))</f>
        <v>L</v>
      </c>
      <c r="I502" s="16" t="str">
        <f>IF($C502="B",VLOOKUP($A502,Bat!$A$4:$BD$2323,I$1,FALSE),VLOOKUP($A502,Pit!$A$4:$AZ$2261,I$2,FALSE))</f>
        <v>R</v>
      </c>
      <c r="J502" s="16" t="str">
        <f>IF($C502="B",VLOOKUP($A502,Bat!$A$4:$BD$2323,J$1,FALSE),VLOOKUP($A502,Pit!$A$4:$AZ$2261,J$2,FALSE))</f>
        <v>Very Low</v>
      </c>
      <c r="K502" s="17" t="str">
        <f>IF($C502="B",VLOOKUP($A502,Bat!$A$4:$BD$2323,K$1,FALSE),VLOOKUP($A502,Pit!$A$4:$AZ$2261,K$2,FALSE))</f>
        <v>Normal</v>
      </c>
      <c r="L502" s="16">
        <f>IF($C502="B",VLOOKUP($A502,Bat!$A$4:$BD$2323,L$1,FALSE),VLOOKUP($A502,Pit!$A$4:$AZ$2261,L$2,FALSE))</f>
        <v>4</v>
      </c>
      <c r="M502" s="16">
        <f>IF($C502="B",VLOOKUP($A502,Bat!$A$4:$BD$2323,M$1,FALSE),VLOOKUP($A502,Pit!$A$4:$AZ$2261,M$2,FALSE))</f>
        <v>3</v>
      </c>
      <c r="N502" s="16">
        <f>IF($C502="B",VLOOKUP($A502,Bat!$A$4:$BD$2323,N$1,FALSE),VLOOKUP($A502,Pit!$A$4:$AZ$2261,N$2,FALSE))</f>
        <v>4</v>
      </c>
      <c r="O502" s="16" t="str">
        <f>IF($C502="B",VLOOKUP($A502,Bat!$A$4:$BD$2323,O$1,FALSE),VLOOKUP($A502,Pit!$A$4:$AZ$2261,O$2,FALSE))</f>
        <v>83-85 Mph</v>
      </c>
      <c r="P502" s="17">
        <f>IF($C502="B",VLOOKUP($A502,Bat!$A$4:$BD$2323,P$1,FALSE),VLOOKUP($A502,Pit!$A$4:$AZ$2261,P$2,FALSE))</f>
        <v>4</v>
      </c>
      <c r="Q502" s="18">
        <f>IF($C502="B",VLOOKUP($A502,Bat!$A$4:$BD$2323,Q$1,FALSE),VLOOKUP($A502,Pit!$A$4:$AZ$2261,Q$2,FALSE))</f>
        <v>18.445730514980045</v>
      </c>
      <c r="R502" s="19">
        <f>IF($C502="B",VLOOKUP($A502,Bat!$A$4:$BD$2323,R$1,FALSE),VLOOKUP($A502,Pit!$A$4:$AZ$2261,R$2,FALSE))</f>
        <v>-1.2285463158990433</v>
      </c>
      <c r="S502" s="20" t="str">
        <f>IF($C502="B",VLOOKUP($A502,Bat!$A$4:$BD$2323,S$1,FALSE),VLOOKUP($A502,Pit!$A$4:$AZ$2261,S$2,FALSE))</f>
        <v>Slot</v>
      </c>
      <c r="T502" s="17" t="str">
        <f>IF(S502="Slot","",VLOOKUP(IF($C502="B",VLOOKUP($A502,Bat!$A$4:$AT$2323,T$1,FALSE),VLOOKUP($A502,Pit!$A$4:$BD$2261,T$2,FALSE)),COND!$A$34:$B$40,2,FALSE))</f>
        <v/>
      </c>
      <c r="U502" s="21">
        <f>IF($C502="B",VLOOKUP($A502,Bat!$A$4:$AR$1287,44,FALSE),VLOOKUP($A502,Pit!$A$4:$BB$1239,54,FALSE))</f>
        <v>0</v>
      </c>
      <c r="W502" s="21">
        <f t="shared" si="30"/>
        <v>0</v>
      </c>
      <c r="X502" s="22" t="e">
        <f t="shared" si="31"/>
        <v>#N/A</v>
      </c>
      <c r="Y502" s="16" t="str">
        <f>IF(ISERROR(VLOOKUP($E502&amp;$F502,Results!$A$2:$G$413,Y$1,FALSE)),"",VLOOKUP($E502&amp;$F502,Results!$A$2:$G$413,Y$1,FALSE))</f>
        <v/>
      </c>
      <c r="Z502" s="16" t="str">
        <f>IF(ISERROR(VLOOKUP($E502&amp;$F502,Results!$A$2:$G$413,Z$1,FALSE)),"",VLOOKUP($E502&amp;$F502,Results!$A$2:$G$413,Z$1,FALSE))</f>
        <v/>
      </c>
      <c r="AA502" s="16" t="str">
        <f>IF(ISERROR(VLOOKUP($E502&amp;$F502,Results!$A$2:$G$413,AA$1,FALSE)),"",VLOOKUP($E502&amp;$F502,Results!$A$2:$G$413,AA$1,FALSE))</f>
        <v/>
      </c>
      <c r="AB502" s="16" t="str">
        <f>IF(ISERROR(VLOOKUP($E502&amp;$F502,Results!$A$2:$G$413,AB$1,FALSE)),"",VLOOKUP($E502&amp;$F502,Results!$A$2:$G$413,AB$1,FALSE))</f>
        <v/>
      </c>
      <c r="AC502" s="16"/>
      <c r="AD502" s="20" t="str">
        <f>IF(ISERROR(VLOOKUP($AB502&amp;"-"&amp;$F502,Bonuses!$B$1:$G$1000,4,FALSE)),"",INT(VLOOKUP($AB502&amp;"-"&amp;$F502,Bonuses!$B$1:$G$1000,4,FALSE)))</f>
        <v/>
      </c>
      <c r="AE502" s="16" t="str">
        <f>IF(ISERROR(VLOOKUP($AB502&amp;"-"&amp;$F502,Bonuses!$B$1:$G$1000,5,FALSE)),"",IF(VLOOKUP($AB502&amp;"-"&amp;$F502,Bonuses!$B$1:$G$1000,5,FALSE)="","",VLOOKUP($AB502&amp;"-"&amp;$F502,Bonuses!$B$1:$G$1000,6,FALSE)&amp;" yrs, "&amp;VLOOKUP($AB502&amp;"-"&amp;$F502,Bonuses!$B$1:$G$1000,5,FALSE)))</f>
        <v/>
      </c>
    </row>
    <row r="503" spans="1:31" s="21" customFormat="1">
      <c r="A503" s="21" t="s">
        <v>603</v>
      </c>
      <c r="B503" s="21">
        <f t="shared" si="28"/>
        <v>1</v>
      </c>
      <c r="C503" s="21" t="str">
        <f t="shared" si="29"/>
        <v>P</v>
      </c>
      <c r="D503" s="17">
        <f>IF($C503="B",VLOOKUP($A503,Bat!$A$4:$BD$2323,D$1,FALSE),VLOOKUP($A503,Pit!$A$4:$AZ$2261,D$2,FALSE))</f>
        <v>2268</v>
      </c>
      <c r="E503" s="16" t="str">
        <f>IF($C503="B",VLOOKUP($A503,Bat!$A$4:$BD$2323,E$1,FALSE),VLOOKUP($A503,Pit!$A$4:$AZ$2261,E$2,FALSE))</f>
        <v>MR</v>
      </c>
      <c r="F503" s="16" t="str">
        <f>IF($C503="B",VLOOKUP($A503,Bat!$A$4:$BD$2323,F$1,FALSE),VLOOKUP($A503,Pit!$A$4:$AZ$2261,F$2,FALSE))</f>
        <v>Júlio Cortéz</v>
      </c>
      <c r="G503" s="16">
        <f>IF($C503="B",VLOOKUP($A503,Bat!$A$4:$BD$2323,G$1,FALSE),VLOOKUP($A503,Pit!$A$4:$AZ$2261,G$2,FALSE))</f>
        <v>21</v>
      </c>
      <c r="H503" s="16" t="str">
        <f>IF($C503="B",VLOOKUP($A503,Bat!$A$4:$BD$2323,H$1,FALSE),VLOOKUP($A503,Pit!$A$4:$AZ$2261,H$2,FALSE))</f>
        <v>L</v>
      </c>
      <c r="I503" s="16" t="str">
        <f>IF($C503="B",VLOOKUP($A503,Bat!$A$4:$BD$2323,I$1,FALSE),VLOOKUP($A503,Pit!$A$4:$AZ$2261,I$2,FALSE))</f>
        <v>L</v>
      </c>
      <c r="J503" s="16" t="str">
        <f>IF($C503="B",VLOOKUP($A503,Bat!$A$4:$BD$2323,J$1,FALSE),VLOOKUP($A503,Pit!$A$4:$AZ$2261,J$2,FALSE))</f>
        <v>Low</v>
      </c>
      <c r="K503" s="17" t="str">
        <f>IF($C503="B",VLOOKUP($A503,Bat!$A$4:$BD$2323,K$1,FALSE),VLOOKUP($A503,Pit!$A$4:$AZ$2261,K$2,FALSE))</f>
        <v>Normal</v>
      </c>
      <c r="L503" s="16">
        <f>IF($C503="B",VLOOKUP($A503,Bat!$A$4:$BD$2323,L$1,FALSE),VLOOKUP($A503,Pit!$A$4:$AZ$2261,L$2,FALSE))</f>
        <v>4</v>
      </c>
      <c r="M503" s="16">
        <f>IF($C503="B",VLOOKUP($A503,Bat!$A$4:$BD$2323,M$1,FALSE),VLOOKUP($A503,Pit!$A$4:$AZ$2261,M$2,FALSE))</f>
        <v>4</v>
      </c>
      <c r="N503" s="16">
        <f>IF($C503="B",VLOOKUP($A503,Bat!$A$4:$BD$2323,N$1,FALSE),VLOOKUP($A503,Pit!$A$4:$AZ$2261,N$2,FALSE))</f>
        <v>3</v>
      </c>
      <c r="O503" s="16" t="str">
        <f>IF($C503="B",VLOOKUP($A503,Bat!$A$4:$BD$2323,O$1,FALSE),VLOOKUP($A503,Pit!$A$4:$AZ$2261,O$2,FALSE))</f>
        <v>91-93 Mph</v>
      </c>
      <c r="P503" s="17">
        <f>IF($C503="B",VLOOKUP($A503,Bat!$A$4:$BD$2323,P$1,FALSE),VLOOKUP($A503,Pit!$A$4:$AZ$2261,P$2,FALSE))</f>
        <v>2</v>
      </c>
      <c r="Q503" s="18">
        <f>IF($C503="B",VLOOKUP($A503,Bat!$A$4:$BD$2323,Q$1,FALSE),VLOOKUP($A503,Pit!$A$4:$AZ$2261,Q$2,FALSE))</f>
        <v>19.440482714333761</v>
      </c>
      <c r="R503" s="19">
        <f>IF($C503="B",VLOOKUP($A503,Bat!$A$4:$BD$2323,R$1,FALSE),VLOOKUP($A503,Pit!$A$4:$AZ$2261,R$2,FALSE))</f>
        <v>-1.1495763802634955</v>
      </c>
      <c r="S503" s="20" t="str">
        <f>IF($C503="B",VLOOKUP($A503,Bat!$A$4:$BD$2323,S$1,FALSE),VLOOKUP($A503,Pit!$A$4:$AZ$2261,S$2,FALSE))</f>
        <v>Slot</v>
      </c>
      <c r="T503" s="17" t="str">
        <f>IF(S503="Slot","",VLOOKUP(IF($C503="B",VLOOKUP($A503,Bat!$A$4:$AT$2323,T$1,FALSE),VLOOKUP($A503,Pit!$A$4:$BD$2261,T$2,FALSE)),COND!$A$34:$B$40,2,FALSE))</f>
        <v/>
      </c>
      <c r="U503" s="21">
        <f>IF($C503="B",VLOOKUP($A503,Bat!$A$4:$AR$1287,44,FALSE),VLOOKUP($A503,Pit!$A$4:$BB$1239,54,FALSE))</f>
        <v>0</v>
      </c>
      <c r="W503" s="21">
        <f t="shared" si="30"/>
        <v>0</v>
      </c>
      <c r="X503" s="22" t="e">
        <f t="shared" si="31"/>
        <v>#N/A</v>
      </c>
      <c r="Y503" s="16" t="str">
        <f>IF(ISERROR(VLOOKUP($E503&amp;$F503,Results!$A$2:$G$413,Y$1,FALSE)),"",VLOOKUP($E503&amp;$F503,Results!$A$2:$G$413,Y$1,FALSE))</f>
        <v/>
      </c>
      <c r="Z503" s="16" t="str">
        <f>IF(ISERROR(VLOOKUP($E503&amp;$F503,Results!$A$2:$G$413,Z$1,FALSE)),"",VLOOKUP($E503&amp;$F503,Results!$A$2:$G$413,Z$1,FALSE))</f>
        <v/>
      </c>
      <c r="AA503" s="16" t="str">
        <f>IF(ISERROR(VLOOKUP($E503&amp;$F503,Results!$A$2:$G$413,AA$1,FALSE)),"",VLOOKUP($E503&amp;$F503,Results!$A$2:$G$413,AA$1,FALSE))</f>
        <v/>
      </c>
      <c r="AB503" s="16" t="str">
        <f>IF(ISERROR(VLOOKUP($E503&amp;$F503,Results!$A$2:$G$413,AB$1,FALSE)),"",VLOOKUP($E503&amp;$F503,Results!$A$2:$G$413,AB$1,FALSE))</f>
        <v/>
      </c>
      <c r="AC503" s="16"/>
      <c r="AD503" s="20" t="str">
        <f>IF(ISERROR(VLOOKUP($AB503&amp;"-"&amp;$F503,Bonuses!$B$1:$G$1000,4,FALSE)),"",INT(VLOOKUP($AB503&amp;"-"&amp;$F503,Bonuses!$B$1:$G$1000,4,FALSE)))</f>
        <v/>
      </c>
      <c r="AE503" s="16" t="str">
        <f>IF(ISERROR(VLOOKUP($AB503&amp;"-"&amp;$F503,Bonuses!$B$1:$G$1000,5,FALSE)),"",IF(VLOOKUP($AB503&amp;"-"&amp;$F503,Bonuses!$B$1:$G$1000,5,FALSE)="","",VLOOKUP($AB503&amp;"-"&amp;$F503,Bonuses!$B$1:$G$1000,6,FALSE)&amp;" yrs, "&amp;VLOOKUP($AB503&amp;"-"&amp;$F503,Bonuses!$B$1:$G$1000,5,FALSE)))</f>
        <v/>
      </c>
    </row>
    <row r="504" spans="1:31" s="21" customFormat="1">
      <c r="A504" s="21" t="s">
        <v>602</v>
      </c>
      <c r="B504" s="21">
        <f t="shared" si="28"/>
        <v>1</v>
      </c>
      <c r="C504" s="21" t="str">
        <f t="shared" si="29"/>
        <v>P</v>
      </c>
      <c r="D504" s="17">
        <f>IF($C504="B",VLOOKUP($A504,Bat!$A$4:$BD$2323,D$1,FALSE),VLOOKUP($A504,Pit!$A$4:$AZ$2261,D$2,FALSE))</f>
        <v>4043</v>
      </c>
      <c r="E504" s="16" t="str">
        <f>IF($C504="B",VLOOKUP($A504,Bat!$A$4:$BD$2323,E$1,FALSE),VLOOKUP($A504,Pit!$A$4:$AZ$2261,E$2,FALSE))</f>
        <v>MR</v>
      </c>
      <c r="F504" s="16" t="str">
        <f>IF($C504="B",VLOOKUP($A504,Bat!$A$4:$BD$2323,F$1,FALSE),VLOOKUP($A504,Pit!$A$4:$AZ$2261,F$2,FALSE))</f>
        <v>Ed Logan</v>
      </c>
      <c r="G504" s="16">
        <f>IF($C504="B",VLOOKUP($A504,Bat!$A$4:$BD$2323,G$1,FALSE),VLOOKUP($A504,Pit!$A$4:$AZ$2261,G$2,FALSE))</f>
        <v>21</v>
      </c>
      <c r="H504" s="16" t="str">
        <f>IF($C504="B",VLOOKUP($A504,Bat!$A$4:$BD$2323,H$1,FALSE),VLOOKUP($A504,Pit!$A$4:$AZ$2261,H$2,FALSE))</f>
        <v>S</v>
      </c>
      <c r="I504" s="16" t="str">
        <f>IF($C504="B",VLOOKUP($A504,Bat!$A$4:$BD$2323,I$1,FALSE),VLOOKUP($A504,Pit!$A$4:$AZ$2261,I$2,FALSE))</f>
        <v>R</v>
      </c>
      <c r="J504" s="16" t="str">
        <f>IF($C504="B",VLOOKUP($A504,Bat!$A$4:$BD$2323,J$1,FALSE),VLOOKUP($A504,Pit!$A$4:$AZ$2261,J$2,FALSE))</f>
        <v>Very Low</v>
      </c>
      <c r="K504" s="17" t="str">
        <f>IF($C504="B",VLOOKUP($A504,Bat!$A$4:$BD$2323,K$1,FALSE),VLOOKUP($A504,Pit!$A$4:$AZ$2261,K$2,FALSE))</f>
        <v>Very Low</v>
      </c>
      <c r="L504" s="16">
        <f>IF($C504="B",VLOOKUP($A504,Bat!$A$4:$BD$2323,L$1,FALSE),VLOOKUP($A504,Pit!$A$4:$AZ$2261,L$2,FALSE))</f>
        <v>4</v>
      </c>
      <c r="M504" s="16">
        <f>IF($C504="B",VLOOKUP($A504,Bat!$A$4:$BD$2323,M$1,FALSE),VLOOKUP($A504,Pit!$A$4:$AZ$2261,M$2,FALSE))</f>
        <v>3</v>
      </c>
      <c r="N504" s="16">
        <f>IF($C504="B",VLOOKUP($A504,Bat!$A$4:$BD$2323,N$1,FALSE),VLOOKUP($A504,Pit!$A$4:$AZ$2261,N$2,FALSE))</f>
        <v>4</v>
      </c>
      <c r="O504" s="16" t="str">
        <f>IF($C504="B",VLOOKUP($A504,Bat!$A$4:$BD$2323,O$1,FALSE),VLOOKUP($A504,Pit!$A$4:$AZ$2261,O$2,FALSE))</f>
        <v>92-94 Mph</v>
      </c>
      <c r="P504" s="17">
        <f>IF($C504="B",VLOOKUP($A504,Bat!$A$4:$BD$2323,P$1,FALSE),VLOOKUP($A504,Pit!$A$4:$AZ$2261,P$2,FALSE))</f>
        <v>5</v>
      </c>
      <c r="Q504" s="18">
        <f>IF($C504="B",VLOOKUP($A504,Bat!$A$4:$BD$2323,Q$1,FALSE),VLOOKUP($A504,Pit!$A$4:$AZ$2261,Q$2,FALSE))</f>
        <v>16.808560905570911</v>
      </c>
      <c r="R504" s="19">
        <f>IF($C504="B",VLOOKUP($A504,Bat!$A$4:$BD$2323,R$1,FALSE),VLOOKUP($A504,Pit!$A$4:$AZ$2261,R$2,FALSE))</f>
        <v>-1.3585155471945471</v>
      </c>
      <c r="S504" s="20" t="str">
        <f>IF($C504="B",VLOOKUP($A504,Bat!$A$4:$BD$2323,S$1,FALSE),VLOOKUP($A504,Pit!$A$4:$AZ$2261,S$2,FALSE))</f>
        <v>Slot</v>
      </c>
      <c r="T504" s="17" t="str">
        <f>IF(S504="Slot","",VLOOKUP(IF($C504="B",VLOOKUP($A504,Bat!$A$4:$AT$2323,T$1,FALSE),VLOOKUP($A504,Pit!$A$4:$BD$2261,T$2,FALSE)),COND!$A$34:$B$40,2,FALSE))</f>
        <v/>
      </c>
      <c r="U504" s="21">
        <f>IF($C504="B",VLOOKUP($A504,Bat!$A$4:$AR$1287,44,FALSE),VLOOKUP($A504,Pit!$A$4:$BB$1239,54,FALSE))</f>
        <v>0</v>
      </c>
      <c r="W504" s="21">
        <f t="shared" si="30"/>
        <v>0</v>
      </c>
      <c r="X504" s="22" t="e">
        <f t="shared" si="31"/>
        <v>#N/A</v>
      </c>
      <c r="Y504" s="16" t="str">
        <f>IF(ISERROR(VLOOKUP($E504&amp;$F504,Results!$A$2:$G$413,Y$1,FALSE)),"",VLOOKUP($E504&amp;$F504,Results!$A$2:$G$413,Y$1,FALSE))</f>
        <v/>
      </c>
      <c r="Z504" s="16" t="str">
        <f>IF(ISERROR(VLOOKUP($E504&amp;$F504,Results!$A$2:$G$413,Z$1,FALSE)),"",VLOOKUP($E504&amp;$F504,Results!$A$2:$G$413,Z$1,FALSE))</f>
        <v/>
      </c>
      <c r="AA504" s="16" t="str">
        <f>IF(ISERROR(VLOOKUP($E504&amp;$F504,Results!$A$2:$G$413,AA$1,FALSE)),"",VLOOKUP($E504&amp;$F504,Results!$A$2:$G$413,AA$1,FALSE))</f>
        <v/>
      </c>
      <c r="AB504" s="16" t="str">
        <f>IF(ISERROR(VLOOKUP($E504&amp;$F504,Results!$A$2:$G$413,AB$1,FALSE)),"",VLOOKUP($E504&amp;$F504,Results!$A$2:$G$413,AB$1,FALSE))</f>
        <v/>
      </c>
      <c r="AC504" s="16"/>
      <c r="AD504" s="20" t="str">
        <f>IF(ISERROR(VLOOKUP($AB504&amp;"-"&amp;$F504,Bonuses!$B$1:$G$1000,4,FALSE)),"",INT(VLOOKUP($AB504&amp;"-"&amp;$F504,Bonuses!$B$1:$G$1000,4,FALSE)))</f>
        <v/>
      </c>
      <c r="AE504" s="16" t="str">
        <f>IF(ISERROR(VLOOKUP($AB504&amp;"-"&amp;$F504,Bonuses!$B$1:$G$1000,5,FALSE)),"",IF(VLOOKUP($AB504&amp;"-"&amp;$F504,Bonuses!$B$1:$G$1000,5,FALSE)="","",VLOOKUP($AB504&amp;"-"&amp;$F504,Bonuses!$B$1:$G$1000,6,FALSE)&amp;" yrs, "&amp;VLOOKUP($AB504&amp;"-"&amp;$F504,Bonuses!$B$1:$G$1000,5,FALSE)))</f>
        <v/>
      </c>
    </row>
    <row r="505" spans="1:31" s="21" customFormat="1">
      <c r="A505" s="21" t="s">
        <v>606</v>
      </c>
      <c r="B505" s="21">
        <f t="shared" si="28"/>
        <v>1</v>
      </c>
      <c r="C505" s="21" t="str">
        <f t="shared" si="29"/>
        <v>P</v>
      </c>
      <c r="D505" s="17">
        <f>IF($C505="B",VLOOKUP($A505,Bat!$A$4:$BD$2323,D$1,FALSE),VLOOKUP($A505,Pit!$A$4:$AZ$2261,D$2,FALSE))</f>
        <v>2958</v>
      </c>
      <c r="E505" s="16" t="str">
        <f>IF($C505="B",VLOOKUP($A505,Bat!$A$4:$BD$2323,E$1,FALSE),VLOOKUP($A505,Pit!$A$4:$AZ$2261,E$2,FALSE))</f>
        <v>MR</v>
      </c>
      <c r="F505" s="16" t="str">
        <f>IF($C505="B",VLOOKUP($A505,Bat!$A$4:$BD$2323,F$1,FALSE),VLOOKUP($A505,Pit!$A$4:$AZ$2261,F$2,FALSE))</f>
        <v>Jack Miller</v>
      </c>
      <c r="G505" s="16">
        <f>IF($C505="B",VLOOKUP($A505,Bat!$A$4:$BD$2323,G$1,FALSE),VLOOKUP($A505,Pit!$A$4:$AZ$2261,G$2,FALSE))</f>
        <v>21</v>
      </c>
      <c r="H505" s="16" t="str">
        <f>IF($C505="B",VLOOKUP($A505,Bat!$A$4:$BD$2323,H$1,FALSE),VLOOKUP($A505,Pit!$A$4:$AZ$2261,H$2,FALSE))</f>
        <v>R</v>
      </c>
      <c r="I505" s="16" t="str">
        <f>IF($C505="B",VLOOKUP($A505,Bat!$A$4:$BD$2323,I$1,FALSE),VLOOKUP($A505,Pit!$A$4:$AZ$2261,I$2,FALSE))</f>
        <v>R</v>
      </c>
      <c r="J505" s="16" t="str">
        <f>IF($C505="B",VLOOKUP($A505,Bat!$A$4:$BD$2323,J$1,FALSE),VLOOKUP($A505,Pit!$A$4:$AZ$2261,J$2,FALSE))</f>
        <v>Normal</v>
      </c>
      <c r="K505" s="17" t="str">
        <f>IF($C505="B",VLOOKUP($A505,Bat!$A$4:$BD$2323,K$1,FALSE),VLOOKUP($A505,Pit!$A$4:$AZ$2261,K$2,FALSE))</f>
        <v>Normal</v>
      </c>
      <c r="L505" s="16">
        <f>IF($C505="B",VLOOKUP($A505,Bat!$A$4:$BD$2323,L$1,FALSE),VLOOKUP($A505,Pit!$A$4:$AZ$2261,L$2,FALSE))</f>
        <v>5</v>
      </c>
      <c r="M505" s="16">
        <f>IF($C505="B",VLOOKUP($A505,Bat!$A$4:$BD$2323,M$1,FALSE),VLOOKUP($A505,Pit!$A$4:$AZ$2261,M$2,FALSE))</f>
        <v>3</v>
      </c>
      <c r="N505" s="16">
        <f>IF($C505="B",VLOOKUP($A505,Bat!$A$4:$BD$2323,N$1,FALSE),VLOOKUP($A505,Pit!$A$4:$AZ$2261,N$2,FALSE))</f>
        <v>3</v>
      </c>
      <c r="O505" s="16" t="str">
        <f>IF($C505="B",VLOOKUP($A505,Bat!$A$4:$BD$2323,O$1,FALSE),VLOOKUP($A505,Pit!$A$4:$AZ$2261,O$2,FALSE))</f>
        <v>89-90 Mph</v>
      </c>
      <c r="P505" s="17">
        <f>IF($C505="B",VLOOKUP($A505,Bat!$A$4:$BD$2323,P$1,FALSE),VLOOKUP($A505,Pit!$A$4:$AZ$2261,P$2,FALSE))</f>
        <v>4</v>
      </c>
      <c r="Q505" s="18">
        <f>IF($C505="B",VLOOKUP($A505,Bat!$A$4:$BD$2323,Q$1,FALSE),VLOOKUP($A505,Pit!$A$4:$AZ$2261,Q$2,FALSE))</f>
        <v>19.664283241715292</v>
      </c>
      <c r="R505" s="19">
        <f>IF($C505="B",VLOOKUP($A505,Bat!$A$4:$BD$2323,R$1,FALSE),VLOOKUP($A505,Pit!$A$4:$AZ$2261,R$2,FALSE))</f>
        <v>-1.1318096306609278</v>
      </c>
      <c r="S505" s="20" t="str">
        <f>IF($C505="B",VLOOKUP($A505,Bat!$A$4:$BD$2323,S$1,FALSE),VLOOKUP($A505,Pit!$A$4:$AZ$2261,S$2,FALSE))</f>
        <v>Slot</v>
      </c>
      <c r="T505" s="17" t="str">
        <f>IF(S505="Slot","",VLOOKUP(IF($C505="B",VLOOKUP($A505,Bat!$A$4:$AT$2323,T$1,FALSE),VLOOKUP($A505,Pit!$A$4:$BD$2261,T$2,FALSE)),COND!$A$34:$B$40,2,FALSE))</f>
        <v/>
      </c>
      <c r="U505" s="21">
        <f>IF($C505="B",VLOOKUP($A505,Bat!$A$4:$AR$1287,44,FALSE),VLOOKUP($A505,Pit!$A$4:$BB$1239,54,FALSE))</f>
        <v>0</v>
      </c>
      <c r="W505" s="21">
        <f t="shared" si="30"/>
        <v>0</v>
      </c>
      <c r="X505" s="22" t="e">
        <f t="shared" si="31"/>
        <v>#N/A</v>
      </c>
      <c r="Y505" s="16" t="str">
        <f>IF(ISERROR(VLOOKUP($E505&amp;$F505,Results!$A$2:$G$413,Y$1,FALSE)),"",VLOOKUP($E505&amp;$F505,Results!$A$2:$G$413,Y$1,FALSE))</f>
        <v/>
      </c>
      <c r="Z505" s="16" t="str">
        <f>IF(ISERROR(VLOOKUP($E505&amp;$F505,Results!$A$2:$G$413,Z$1,FALSE)),"",VLOOKUP($E505&amp;$F505,Results!$A$2:$G$413,Z$1,FALSE))</f>
        <v/>
      </c>
      <c r="AA505" s="16" t="str">
        <f>IF(ISERROR(VLOOKUP($E505&amp;$F505,Results!$A$2:$G$413,AA$1,FALSE)),"",VLOOKUP($E505&amp;$F505,Results!$A$2:$G$413,AA$1,FALSE))</f>
        <v/>
      </c>
      <c r="AB505" s="16" t="str">
        <f>IF(ISERROR(VLOOKUP($E505&amp;$F505,Results!$A$2:$G$413,AB$1,FALSE)),"",VLOOKUP($E505&amp;$F505,Results!$A$2:$G$413,AB$1,FALSE))</f>
        <v/>
      </c>
      <c r="AC505" s="16"/>
      <c r="AD505" s="20" t="str">
        <f>IF(ISERROR(VLOOKUP($AB505&amp;"-"&amp;$F505,Bonuses!$B$1:$G$1000,4,FALSE)),"",INT(VLOOKUP($AB505&amp;"-"&amp;$F505,Bonuses!$B$1:$G$1000,4,FALSE)))</f>
        <v/>
      </c>
      <c r="AE505" s="16" t="str">
        <f>IF(ISERROR(VLOOKUP($AB505&amp;"-"&amp;$F505,Bonuses!$B$1:$G$1000,5,FALSE)),"",IF(VLOOKUP($AB505&amp;"-"&amp;$F505,Bonuses!$B$1:$G$1000,5,FALSE)="","",VLOOKUP($AB505&amp;"-"&amp;$F505,Bonuses!$B$1:$G$1000,6,FALSE)&amp;" yrs, "&amp;VLOOKUP($AB505&amp;"-"&amp;$F505,Bonuses!$B$1:$G$1000,5,FALSE)))</f>
        <v/>
      </c>
    </row>
    <row r="506" spans="1:31" s="21" customFormat="1">
      <c r="A506" s="21" t="s">
        <v>594</v>
      </c>
      <c r="B506" s="21">
        <f t="shared" si="28"/>
        <v>1</v>
      </c>
      <c r="C506" s="21" t="str">
        <f t="shared" si="29"/>
        <v>P</v>
      </c>
      <c r="D506" s="17">
        <f>IF($C506="B",VLOOKUP($A506,Bat!$A$4:$BD$2323,D$1,FALSE),VLOOKUP($A506,Pit!$A$4:$AZ$2261,D$2,FALSE))</f>
        <v>8868</v>
      </c>
      <c r="E506" s="16" t="str">
        <f>IF($C506="B",VLOOKUP($A506,Bat!$A$4:$BD$2323,E$1,FALSE),VLOOKUP($A506,Pit!$A$4:$AZ$2261,E$2,FALSE))</f>
        <v>MR</v>
      </c>
      <c r="F506" s="16" t="str">
        <f>IF($C506="B",VLOOKUP($A506,Bat!$A$4:$BD$2323,F$1,FALSE),VLOOKUP($A506,Pit!$A$4:$AZ$2261,F$2,FALSE))</f>
        <v>Jonathan Hampshire</v>
      </c>
      <c r="G506" s="16">
        <f>IF($C506="B",VLOOKUP($A506,Bat!$A$4:$BD$2323,G$1,FALSE),VLOOKUP($A506,Pit!$A$4:$AZ$2261,G$2,FALSE))</f>
        <v>21</v>
      </c>
      <c r="H506" s="16" t="str">
        <f>IF($C506="B",VLOOKUP($A506,Bat!$A$4:$BD$2323,H$1,FALSE),VLOOKUP($A506,Pit!$A$4:$AZ$2261,H$2,FALSE))</f>
        <v>L</v>
      </c>
      <c r="I506" s="16" t="str">
        <f>IF($C506="B",VLOOKUP($A506,Bat!$A$4:$BD$2323,I$1,FALSE),VLOOKUP($A506,Pit!$A$4:$AZ$2261,I$2,FALSE))</f>
        <v>R</v>
      </c>
      <c r="J506" s="16" t="str">
        <f>IF($C506="B",VLOOKUP($A506,Bat!$A$4:$BD$2323,J$1,FALSE),VLOOKUP($A506,Pit!$A$4:$AZ$2261,J$2,FALSE))</f>
        <v>Normal</v>
      </c>
      <c r="K506" s="17" t="str">
        <f>IF($C506="B",VLOOKUP($A506,Bat!$A$4:$BD$2323,K$1,FALSE),VLOOKUP($A506,Pit!$A$4:$AZ$2261,K$2,FALSE))</f>
        <v>Low</v>
      </c>
      <c r="L506" s="16">
        <f>IF($C506="B",VLOOKUP($A506,Bat!$A$4:$BD$2323,L$1,FALSE),VLOOKUP($A506,Pit!$A$4:$AZ$2261,L$2,FALSE))</f>
        <v>4</v>
      </c>
      <c r="M506" s="16">
        <f>IF($C506="B",VLOOKUP($A506,Bat!$A$4:$BD$2323,M$1,FALSE),VLOOKUP($A506,Pit!$A$4:$AZ$2261,M$2,FALSE))</f>
        <v>4</v>
      </c>
      <c r="N506" s="16">
        <f>IF($C506="B",VLOOKUP($A506,Bat!$A$4:$BD$2323,N$1,FALSE),VLOOKUP($A506,Pit!$A$4:$AZ$2261,N$2,FALSE))</f>
        <v>3</v>
      </c>
      <c r="O506" s="16" t="str">
        <f>IF($C506="B",VLOOKUP($A506,Bat!$A$4:$BD$2323,O$1,FALSE),VLOOKUP($A506,Pit!$A$4:$AZ$2261,O$2,FALSE))</f>
        <v>93-95 Mph</v>
      </c>
      <c r="P506" s="17">
        <f>IF($C506="B",VLOOKUP($A506,Bat!$A$4:$BD$2323,P$1,FALSE),VLOOKUP($A506,Pit!$A$4:$AZ$2261,P$2,FALSE))</f>
        <v>3</v>
      </c>
      <c r="Q506" s="18">
        <f>IF($C506="B",VLOOKUP($A506,Bat!$A$4:$BD$2323,Q$1,FALSE),VLOOKUP($A506,Pit!$A$4:$AZ$2261,Q$2,FALSE))</f>
        <v>29.25</v>
      </c>
      <c r="R506" s="19">
        <f>IF($C506="B",VLOOKUP($A506,Bat!$A$4:$BD$2323,R$1,FALSE),VLOOKUP($A506,Pit!$A$4:$AZ$2261,R$2,FALSE))</f>
        <v>-0.37083274022113549</v>
      </c>
      <c r="S506" s="20" t="str">
        <f>IF($C506="B",VLOOKUP($A506,Bat!$A$4:$BD$2323,S$1,FALSE),VLOOKUP($A506,Pit!$A$4:$AZ$2261,S$2,FALSE))</f>
        <v>Slot</v>
      </c>
      <c r="T506" s="17" t="str">
        <f>IF(S506="Slot","",VLOOKUP(IF($C506="B",VLOOKUP($A506,Bat!$A$4:$AT$2323,T$1,FALSE),VLOOKUP($A506,Pit!$A$4:$BD$2261,T$2,FALSE)),COND!$A$34:$B$40,2,FALSE))</f>
        <v/>
      </c>
      <c r="U506" s="21">
        <f>IF($C506="B",VLOOKUP($A506,Bat!$A$4:$AR$1287,44,FALSE),VLOOKUP($A506,Pit!$A$4:$BB$1239,54,FALSE))</f>
        <v>0</v>
      </c>
      <c r="W506" s="21">
        <f t="shared" si="30"/>
        <v>0</v>
      </c>
      <c r="X506" s="22" t="e">
        <f t="shared" si="31"/>
        <v>#N/A</v>
      </c>
      <c r="Y506" s="16" t="str">
        <f>IF(ISERROR(VLOOKUP($E506&amp;$F506,Results!$A$2:$G$413,Y$1,FALSE)),"",VLOOKUP($E506&amp;$F506,Results!$A$2:$G$413,Y$1,FALSE))</f>
        <v/>
      </c>
      <c r="Z506" s="16" t="str">
        <f>IF(ISERROR(VLOOKUP($E506&amp;$F506,Results!$A$2:$G$413,Z$1,FALSE)),"",VLOOKUP($E506&amp;$F506,Results!$A$2:$G$413,Z$1,FALSE))</f>
        <v/>
      </c>
      <c r="AA506" s="16" t="str">
        <f>IF(ISERROR(VLOOKUP($E506&amp;$F506,Results!$A$2:$G$413,AA$1,FALSE)),"",VLOOKUP($E506&amp;$F506,Results!$A$2:$G$413,AA$1,FALSE))</f>
        <v/>
      </c>
      <c r="AB506" s="16" t="str">
        <f>IF(ISERROR(VLOOKUP($E506&amp;$F506,Results!$A$2:$G$413,AB$1,FALSE)),"",VLOOKUP($E506&amp;$F506,Results!$A$2:$G$413,AB$1,FALSE))</f>
        <v/>
      </c>
      <c r="AC506" s="16"/>
      <c r="AD506" s="20" t="str">
        <f>IF(ISERROR(VLOOKUP($AB506&amp;"-"&amp;$F506,Bonuses!$B$1:$G$1000,4,FALSE)),"",INT(VLOOKUP($AB506&amp;"-"&amp;$F506,Bonuses!$B$1:$G$1000,4,FALSE)))</f>
        <v/>
      </c>
      <c r="AE506" s="16" t="str">
        <f>IF(ISERROR(VLOOKUP($AB506&amp;"-"&amp;$F506,Bonuses!$B$1:$G$1000,5,FALSE)),"",IF(VLOOKUP($AB506&amp;"-"&amp;$F506,Bonuses!$B$1:$G$1000,5,FALSE)="","",VLOOKUP($AB506&amp;"-"&amp;$F506,Bonuses!$B$1:$G$1000,6,FALSE)&amp;" yrs, "&amp;VLOOKUP($AB506&amp;"-"&amp;$F506,Bonuses!$B$1:$G$1000,5,FALSE)))</f>
        <v/>
      </c>
    </row>
    <row r="507" spans="1:31" s="21" customFormat="1">
      <c r="A507" s="21" t="s">
        <v>613</v>
      </c>
      <c r="B507" s="21">
        <f t="shared" si="28"/>
        <v>1</v>
      </c>
      <c r="C507" s="21" t="str">
        <f t="shared" si="29"/>
        <v>P</v>
      </c>
      <c r="D507" s="17">
        <f>IF($C507="B",VLOOKUP($A507,Bat!$A$4:$BD$2323,D$1,FALSE),VLOOKUP($A507,Pit!$A$4:$AZ$2261,D$2,FALSE))</f>
        <v>13794</v>
      </c>
      <c r="E507" s="16" t="str">
        <f>IF($C507="B",VLOOKUP($A507,Bat!$A$4:$BD$2323,E$1,FALSE),VLOOKUP($A507,Pit!$A$4:$AZ$2261,E$2,FALSE))</f>
        <v>MR</v>
      </c>
      <c r="F507" s="16" t="str">
        <f>IF($C507="B",VLOOKUP($A507,Bat!$A$4:$BD$2323,F$1,FALSE),VLOOKUP($A507,Pit!$A$4:$AZ$2261,F$2,FALSE))</f>
        <v>Corey Green</v>
      </c>
      <c r="G507" s="16">
        <f>IF($C507="B",VLOOKUP($A507,Bat!$A$4:$BD$2323,G$1,FALSE),VLOOKUP($A507,Pit!$A$4:$AZ$2261,G$2,FALSE))</f>
        <v>18</v>
      </c>
      <c r="H507" s="16" t="str">
        <f>IF($C507="B",VLOOKUP($A507,Bat!$A$4:$BD$2323,H$1,FALSE),VLOOKUP($A507,Pit!$A$4:$AZ$2261,H$2,FALSE))</f>
        <v>R</v>
      </c>
      <c r="I507" s="16" t="str">
        <f>IF($C507="B",VLOOKUP($A507,Bat!$A$4:$BD$2323,I$1,FALSE),VLOOKUP($A507,Pit!$A$4:$AZ$2261,I$2,FALSE))</f>
        <v>R</v>
      </c>
      <c r="J507" s="16" t="str">
        <f>IF($C507="B",VLOOKUP($A507,Bat!$A$4:$BD$2323,J$1,FALSE),VLOOKUP($A507,Pit!$A$4:$AZ$2261,J$2,FALSE))</f>
        <v>Low</v>
      </c>
      <c r="K507" s="17" t="str">
        <f>IF($C507="B",VLOOKUP($A507,Bat!$A$4:$BD$2323,K$1,FALSE),VLOOKUP($A507,Pit!$A$4:$AZ$2261,K$2,FALSE))</f>
        <v>Very Low</v>
      </c>
      <c r="L507" s="16">
        <f>IF($C507="B",VLOOKUP($A507,Bat!$A$4:$BD$2323,L$1,FALSE),VLOOKUP($A507,Pit!$A$4:$AZ$2261,L$2,FALSE))</f>
        <v>3</v>
      </c>
      <c r="M507" s="16">
        <f>IF($C507="B",VLOOKUP($A507,Bat!$A$4:$BD$2323,M$1,FALSE),VLOOKUP($A507,Pit!$A$4:$AZ$2261,M$2,FALSE))</f>
        <v>4</v>
      </c>
      <c r="N507" s="16">
        <f>IF($C507="B",VLOOKUP($A507,Bat!$A$4:$BD$2323,N$1,FALSE),VLOOKUP($A507,Pit!$A$4:$AZ$2261,N$2,FALSE))</f>
        <v>4</v>
      </c>
      <c r="O507" s="16" t="str">
        <f>IF($C507="B",VLOOKUP($A507,Bat!$A$4:$BD$2323,O$1,FALSE),VLOOKUP($A507,Pit!$A$4:$AZ$2261,O$2,FALSE))</f>
        <v>87-89 Mph</v>
      </c>
      <c r="P507" s="17">
        <f>IF($C507="B",VLOOKUP($A507,Bat!$A$4:$BD$2323,P$1,FALSE),VLOOKUP($A507,Pit!$A$4:$AZ$2261,P$2,FALSE))</f>
        <v>4</v>
      </c>
      <c r="Q507" s="18">
        <f>IF($C507="B",VLOOKUP($A507,Bat!$A$4:$BD$2323,Q$1,FALSE),VLOOKUP($A507,Pit!$A$4:$AZ$2261,Q$2,FALSE))</f>
        <v>17.271455600374072</v>
      </c>
      <c r="R507" s="19">
        <f>IF($C507="B",VLOOKUP($A507,Bat!$A$4:$BD$2323,R$1,FALSE),VLOOKUP($A507,Pit!$A$4:$AZ$2261,R$2,FALSE))</f>
        <v>-1.3217679388169115</v>
      </c>
      <c r="S507" s="20" t="str">
        <f>IF($C507="B",VLOOKUP($A507,Bat!$A$4:$BD$2323,S$1,FALSE),VLOOKUP($A507,Pit!$A$4:$AZ$2261,S$2,FALSE))</f>
        <v>Slot</v>
      </c>
      <c r="T507" s="17" t="str">
        <f>IF(S507="Slot","",VLOOKUP(IF($C507="B",VLOOKUP($A507,Bat!$A$4:$AT$2323,T$1,FALSE),VLOOKUP($A507,Pit!$A$4:$BD$2261,T$2,FALSE)),COND!$A$34:$B$40,2,FALSE))</f>
        <v/>
      </c>
      <c r="U507" s="21">
        <f>IF($C507="B",VLOOKUP($A507,Bat!$A$4:$AR$1287,44,FALSE),VLOOKUP($A507,Pit!$A$4:$BB$1239,54,FALSE))</f>
        <v>0</v>
      </c>
      <c r="W507" s="21">
        <f t="shared" si="30"/>
        <v>0</v>
      </c>
      <c r="X507" s="22" t="e">
        <f t="shared" si="31"/>
        <v>#N/A</v>
      </c>
      <c r="Y507" s="16" t="str">
        <f>IF(ISERROR(VLOOKUP($E507&amp;$F507,Results!$A$2:$G$413,Y$1,FALSE)),"",VLOOKUP($E507&amp;$F507,Results!$A$2:$G$413,Y$1,FALSE))</f>
        <v/>
      </c>
      <c r="Z507" s="16" t="str">
        <f>IF(ISERROR(VLOOKUP($E507&amp;$F507,Results!$A$2:$G$413,Z$1,FALSE)),"",VLOOKUP($E507&amp;$F507,Results!$A$2:$G$413,Z$1,FALSE))</f>
        <v/>
      </c>
      <c r="AA507" s="16" t="str">
        <f>IF(ISERROR(VLOOKUP($E507&amp;$F507,Results!$A$2:$G$413,AA$1,FALSE)),"",VLOOKUP($E507&amp;$F507,Results!$A$2:$G$413,AA$1,FALSE))</f>
        <v/>
      </c>
      <c r="AB507" s="16" t="str">
        <f>IF(ISERROR(VLOOKUP($E507&amp;$F507,Results!$A$2:$G$413,AB$1,FALSE)),"",VLOOKUP($E507&amp;$F507,Results!$A$2:$G$413,AB$1,FALSE))</f>
        <v/>
      </c>
      <c r="AC507" s="16"/>
      <c r="AD507" s="20" t="str">
        <f>IF(ISERROR(VLOOKUP($AB507&amp;"-"&amp;$F507,Bonuses!$B$1:$G$1000,4,FALSE)),"",INT(VLOOKUP($AB507&amp;"-"&amp;$F507,Bonuses!$B$1:$G$1000,4,FALSE)))</f>
        <v/>
      </c>
      <c r="AE507" s="16" t="str">
        <f>IF(ISERROR(VLOOKUP($AB507&amp;"-"&amp;$F507,Bonuses!$B$1:$G$1000,5,FALSE)),"",IF(VLOOKUP($AB507&amp;"-"&amp;$F507,Bonuses!$B$1:$G$1000,5,FALSE)="","",VLOOKUP($AB507&amp;"-"&amp;$F507,Bonuses!$B$1:$G$1000,6,FALSE)&amp;" yrs, "&amp;VLOOKUP($AB507&amp;"-"&amp;$F507,Bonuses!$B$1:$G$1000,5,FALSE)))</f>
        <v/>
      </c>
    </row>
    <row r="508" spans="1:31" s="21" customFormat="1">
      <c r="A508" s="21" t="s">
        <v>622</v>
      </c>
      <c r="B508" s="21">
        <f t="shared" si="28"/>
        <v>1</v>
      </c>
      <c r="C508" s="21" t="str">
        <f t="shared" si="29"/>
        <v>P</v>
      </c>
      <c r="D508" s="17">
        <f>IF($C508="B",VLOOKUP($A508,Bat!$A$4:$BD$2323,D$1,FALSE),VLOOKUP($A508,Pit!$A$4:$AZ$2261,D$2,FALSE))</f>
        <v>13753</v>
      </c>
      <c r="E508" s="16" t="str">
        <f>IF($C508="B",VLOOKUP($A508,Bat!$A$4:$BD$2323,E$1,FALSE),VLOOKUP($A508,Pit!$A$4:$AZ$2261,E$2,FALSE))</f>
        <v>MR</v>
      </c>
      <c r="F508" s="16" t="str">
        <f>IF($C508="B",VLOOKUP($A508,Bat!$A$4:$BD$2323,F$1,FALSE),VLOOKUP($A508,Pit!$A$4:$AZ$2261,F$2,FALSE))</f>
        <v>Diego Chávez</v>
      </c>
      <c r="G508" s="16">
        <f>IF($C508="B",VLOOKUP($A508,Bat!$A$4:$BD$2323,G$1,FALSE),VLOOKUP($A508,Pit!$A$4:$AZ$2261,G$2,FALSE))</f>
        <v>18</v>
      </c>
      <c r="H508" s="16" t="str">
        <f>IF($C508="B",VLOOKUP($A508,Bat!$A$4:$BD$2323,H$1,FALSE),VLOOKUP($A508,Pit!$A$4:$AZ$2261,H$2,FALSE))</f>
        <v>R</v>
      </c>
      <c r="I508" s="16" t="str">
        <f>IF($C508="B",VLOOKUP($A508,Bat!$A$4:$BD$2323,I$1,FALSE),VLOOKUP($A508,Pit!$A$4:$AZ$2261,I$2,FALSE))</f>
        <v>R</v>
      </c>
      <c r="J508" s="16" t="str">
        <f>IF($C508="B",VLOOKUP($A508,Bat!$A$4:$BD$2323,J$1,FALSE),VLOOKUP($A508,Pit!$A$4:$AZ$2261,J$2,FALSE))</f>
        <v>Low</v>
      </c>
      <c r="K508" s="17" t="str">
        <f>IF($C508="B",VLOOKUP($A508,Bat!$A$4:$BD$2323,K$1,FALSE),VLOOKUP($A508,Pit!$A$4:$AZ$2261,K$2,FALSE))</f>
        <v>Low</v>
      </c>
      <c r="L508" s="16">
        <f>IF($C508="B",VLOOKUP($A508,Bat!$A$4:$BD$2323,L$1,FALSE),VLOOKUP($A508,Pit!$A$4:$AZ$2261,L$2,FALSE))</f>
        <v>2</v>
      </c>
      <c r="M508" s="16">
        <f>IF($C508="B",VLOOKUP($A508,Bat!$A$4:$BD$2323,M$1,FALSE),VLOOKUP($A508,Pit!$A$4:$AZ$2261,M$2,FALSE))</f>
        <v>4</v>
      </c>
      <c r="N508" s="16">
        <f>IF($C508="B",VLOOKUP($A508,Bat!$A$4:$BD$2323,N$1,FALSE),VLOOKUP($A508,Pit!$A$4:$AZ$2261,N$2,FALSE))</f>
        <v>4</v>
      </c>
      <c r="O508" s="16" t="str">
        <f>IF($C508="B",VLOOKUP($A508,Bat!$A$4:$BD$2323,O$1,FALSE),VLOOKUP($A508,Pit!$A$4:$AZ$2261,O$2,FALSE))</f>
        <v>82-84 Mph</v>
      </c>
      <c r="P508" s="17">
        <f>IF($C508="B",VLOOKUP($A508,Bat!$A$4:$BD$2323,P$1,FALSE),VLOOKUP($A508,Pit!$A$4:$AZ$2261,P$2,FALSE))</f>
        <v>3</v>
      </c>
      <c r="Q508" s="18">
        <f>IF($C508="B",VLOOKUP($A508,Bat!$A$4:$BD$2323,Q$1,FALSE),VLOOKUP($A508,Pit!$A$4:$AZ$2261,Q$2,FALSE))</f>
        <v>17.660967498383126</v>
      </c>
      <c r="R508" s="19">
        <f>IF($C508="B",VLOOKUP($A508,Bat!$A$4:$BD$2323,R$1,FALSE),VLOOKUP($A508,Pit!$A$4:$AZ$2261,R$2,FALSE))</f>
        <v>-1.2908459367996861</v>
      </c>
      <c r="S508" s="20" t="str">
        <f>IF($C508="B",VLOOKUP($A508,Bat!$A$4:$BD$2323,S$1,FALSE),VLOOKUP($A508,Pit!$A$4:$AZ$2261,S$2,FALSE))</f>
        <v>Slot</v>
      </c>
      <c r="T508" s="17" t="str">
        <f>IF(S508="Slot","",VLOOKUP(IF($C508="B",VLOOKUP($A508,Bat!$A$4:$AT$2323,T$1,FALSE),VLOOKUP($A508,Pit!$A$4:$BD$2261,T$2,FALSE)),COND!$A$34:$B$40,2,FALSE))</f>
        <v/>
      </c>
      <c r="U508" s="21">
        <f>IF($C508="B",VLOOKUP($A508,Bat!$A$4:$AR$1287,44,FALSE),VLOOKUP($A508,Pit!$A$4:$BB$1239,54,FALSE))</f>
        <v>0</v>
      </c>
      <c r="W508" s="21">
        <f t="shared" si="30"/>
        <v>0</v>
      </c>
      <c r="X508" s="22" t="e">
        <f t="shared" si="31"/>
        <v>#N/A</v>
      </c>
      <c r="Y508" s="16" t="str">
        <f>IF(ISERROR(VLOOKUP($E508&amp;$F508,Results!$A$2:$G$413,Y$1,FALSE)),"",VLOOKUP($E508&amp;$F508,Results!$A$2:$G$413,Y$1,FALSE))</f>
        <v/>
      </c>
      <c r="Z508" s="16" t="str">
        <f>IF(ISERROR(VLOOKUP($E508&amp;$F508,Results!$A$2:$G$413,Z$1,FALSE)),"",VLOOKUP($E508&amp;$F508,Results!$A$2:$G$413,Z$1,FALSE))</f>
        <v/>
      </c>
      <c r="AA508" s="16" t="str">
        <f>IF(ISERROR(VLOOKUP($E508&amp;$F508,Results!$A$2:$G$413,AA$1,FALSE)),"",VLOOKUP($E508&amp;$F508,Results!$A$2:$G$413,AA$1,FALSE))</f>
        <v/>
      </c>
      <c r="AB508" s="16" t="str">
        <f>IF(ISERROR(VLOOKUP($E508&amp;$F508,Results!$A$2:$G$413,AB$1,FALSE)),"",VLOOKUP($E508&amp;$F508,Results!$A$2:$G$413,AB$1,FALSE))</f>
        <v/>
      </c>
      <c r="AC508" s="16"/>
      <c r="AD508" s="20" t="str">
        <f>IF(ISERROR(VLOOKUP($AB508&amp;"-"&amp;$F508,Bonuses!$B$1:$G$1000,4,FALSE)),"",INT(VLOOKUP($AB508&amp;"-"&amp;$F508,Bonuses!$B$1:$G$1000,4,FALSE)))</f>
        <v/>
      </c>
      <c r="AE508" s="16" t="str">
        <f>IF(ISERROR(VLOOKUP($AB508&amp;"-"&amp;$F508,Bonuses!$B$1:$G$1000,5,FALSE)),"",IF(VLOOKUP($AB508&amp;"-"&amp;$F508,Bonuses!$B$1:$G$1000,5,FALSE)="","",VLOOKUP($AB508&amp;"-"&amp;$F508,Bonuses!$B$1:$G$1000,6,FALSE)&amp;" yrs, "&amp;VLOOKUP($AB508&amp;"-"&amp;$F508,Bonuses!$B$1:$G$1000,5,FALSE)))</f>
        <v/>
      </c>
    </row>
    <row r="509" spans="1:31" s="21" customFormat="1">
      <c r="A509" s="21" t="s">
        <v>279</v>
      </c>
      <c r="B509" s="21">
        <f t="shared" si="28"/>
        <v>1</v>
      </c>
      <c r="C509" s="21" t="str">
        <f t="shared" si="29"/>
        <v>P</v>
      </c>
      <c r="D509" s="17" t="e">
        <f>IF($C509="B",VLOOKUP($A509,Bat!$A$4:$BD$2323,D$1,FALSE),VLOOKUP($A509,Pit!$A$4:$AZ$2261,D$2,FALSE))</f>
        <v>#N/A</v>
      </c>
      <c r="E509" s="16" t="e">
        <f>IF($C509="B",VLOOKUP($A509,Bat!$A$4:$BD$2323,E$1,FALSE),VLOOKUP($A509,Pit!$A$4:$AZ$2261,E$2,FALSE))</f>
        <v>#N/A</v>
      </c>
      <c r="F509" s="16" t="e">
        <f>IF($C509="B",VLOOKUP($A509,Bat!$A$4:$BD$2323,F$1,FALSE),VLOOKUP($A509,Pit!$A$4:$AZ$2261,F$2,FALSE))</f>
        <v>#N/A</v>
      </c>
      <c r="G509" s="16" t="e">
        <f>IF($C509="B",VLOOKUP($A509,Bat!$A$4:$BD$2323,G$1,FALSE),VLOOKUP($A509,Pit!$A$4:$AZ$2261,G$2,FALSE))</f>
        <v>#N/A</v>
      </c>
      <c r="H509" s="16" t="e">
        <f>IF($C509="B",VLOOKUP($A509,Bat!$A$4:$BD$2323,H$1,FALSE),VLOOKUP($A509,Pit!$A$4:$AZ$2261,H$2,FALSE))</f>
        <v>#N/A</v>
      </c>
      <c r="I509" s="16" t="e">
        <f>IF($C509="B",VLOOKUP($A509,Bat!$A$4:$BD$2323,I$1,FALSE),VLOOKUP($A509,Pit!$A$4:$AZ$2261,I$2,FALSE))</f>
        <v>#N/A</v>
      </c>
      <c r="J509" s="16" t="e">
        <f>IF($C509="B",VLOOKUP($A509,Bat!$A$4:$BD$2323,J$1,FALSE),VLOOKUP($A509,Pit!$A$4:$AZ$2261,J$2,FALSE))</f>
        <v>#N/A</v>
      </c>
      <c r="K509" s="17" t="e">
        <f>IF($C509="B",VLOOKUP($A509,Bat!$A$4:$BD$2323,K$1,FALSE),VLOOKUP($A509,Pit!$A$4:$AZ$2261,K$2,FALSE))</f>
        <v>#N/A</v>
      </c>
      <c r="L509" s="16" t="e">
        <f>IF($C509="B",VLOOKUP($A509,Bat!$A$4:$BD$2323,L$1,FALSE),VLOOKUP($A509,Pit!$A$4:$AZ$2261,L$2,FALSE))</f>
        <v>#N/A</v>
      </c>
      <c r="M509" s="16" t="e">
        <f>IF($C509="B",VLOOKUP($A509,Bat!$A$4:$BD$2323,M$1,FALSE),VLOOKUP($A509,Pit!$A$4:$AZ$2261,M$2,FALSE))</f>
        <v>#N/A</v>
      </c>
      <c r="N509" s="16" t="e">
        <f>IF($C509="B",VLOOKUP($A509,Bat!$A$4:$BD$2323,N$1,FALSE),VLOOKUP($A509,Pit!$A$4:$AZ$2261,N$2,FALSE))</f>
        <v>#N/A</v>
      </c>
      <c r="O509" s="16" t="e">
        <f>IF($C509="B",VLOOKUP($A509,Bat!$A$4:$BD$2323,O$1,FALSE),VLOOKUP($A509,Pit!$A$4:$AZ$2261,O$2,FALSE))</f>
        <v>#N/A</v>
      </c>
      <c r="P509" s="17" t="e">
        <f>IF($C509="B",VLOOKUP($A509,Bat!$A$4:$BD$2323,P$1,FALSE),VLOOKUP($A509,Pit!$A$4:$AZ$2261,P$2,FALSE))</f>
        <v>#N/A</v>
      </c>
      <c r="Q509" s="18" t="e">
        <f>IF($C509="B",VLOOKUP($A509,Bat!$A$4:$BD$2323,Q$1,FALSE),VLOOKUP($A509,Pit!$A$4:$AZ$2261,Q$2,FALSE))</f>
        <v>#N/A</v>
      </c>
      <c r="R509" s="19" t="e">
        <f>IF($C509="B",VLOOKUP($A509,Bat!$A$4:$BD$2323,R$1,FALSE),VLOOKUP($A509,Pit!$A$4:$AZ$2261,R$2,FALSE))</f>
        <v>#N/A</v>
      </c>
      <c r="S509" s="20" t="e">
        <f>IF($C509="B",VLOOKUP($A509,Bat!$A$4:$BD$2323,S$1,FALSE),VLOOKUP($A509,Pit!$A$4:$AZ$2261,S$2,FALSE))</f>
        <v>#N/A</v>
      </c>
      <c r="T509" s="17" t="e">
        <f>IF(S509="Slot","",VLOOKUP(IF($C509="B",VLOOKUP($A509,Bat!$A$4:$AT$2323,T$1,FALSE),VLOOKUP($A509,Pit!$A$4:$BD$2261,T$2,FALSE)),COND!$A$34:$B$40,2,FALSE))</f>
        <v>#N/A</v>
      </c>
      <c r="U509" s="21" t="e">
        <f>IF($C509="B",VLOOKUP($A509,Bat!$A$4:$AR$1287,44,FALSE),VLOOKUP($A509,Pit!$A$4:$BB$1239,54,FALSE))</f>
        <v>#N/A</v>
      </c>
      <c r="W509" s="21" t="e">
        <f t="shared" si="30"/>
        <v>#N/A</v>
      </c>
      <c r="X509" s="22" t="e">
        <f t="shared" si="31"/>
        <v>#N/A</v>
      </c>
      <c r="Y509" s="16" t="str">
        <f>IF(ISERROR(VLOOKUP($E509&amp;$F509,Results!$A$2:$G$413,Y$1,FALSE)),"",VLOOKUP($E509&amp;$F509,Results!$A$2:$G$413,Y$1,FALSE))</f>
        <v/>
      </c>
      <c r="Z509" s="16" t="str">
        <f>IF(ISERROR(VLOOKUP($E509&amp;$F509,Results!$A$2:$G$413,Z$1,FALSE)),"",VLOOKUP($E509&amp;$F509,Results!$A$2:$G$413,Z$1,FALSE))</f>
        <v/>
      </c>
      <c r="AA509" s="16" t="str">
        <f>IF(ISERROR(VLOOKUP($E509&amp;$F509,Results!$A$2:$G$413,AA$1,FALSE)),"",VLOOKUP($E509&amp;$F509,Results!$A$2:$G$413,AA$1,FALSE))</f>
        <v/>
      </c>
      <c r="AB509" s="16" t="str">
        <f>IF(ISERROR(VLOOKUP($E509&amp;$F509,Results!$A$2:$G$413,AB$1,FALSE)),"",VLOOKUP($E509&amp;$F509,Results!$A$2:$G$413,AB$1,FALSE))</f>
        <v/>
      </c>
      <c r="AC509" s="16"/>
      <c r="AD509" s="20" t="str">
        <f>IF(ISERROR(VLOOKUP($AB509&amp;"-"&amp;$F509,Bonuses!$B$1:$G$1000,4,FALSE)),"",INT(VLOOKUP($AB509&amp;"-"&amp;$F509,Bonuses!$B$1:$G$1000,4,FALSE)))</f>
        <v/>
      </c>
      <c r="AE509" s="16" t="str">
        <f>IF(ISERROR(VLOOKUP($AB509&amp;"-"&amp;$F509,Bonuses!$B$1:$G$1000,5,FALSE)),"",IF(VLOOKUP($AB509&amp;"-"&amp;$F509,Bonuses!$B$1:$G$1000,5,FALSE)="","",VLOOKUP($AB509&amp;"-"&amp;$F509,Bonuses!$B$1:$G$1000,6,FALSE)&amp;" yrs, "&amp;VLOOKUP($AB509&amp;"-"&amp;$F509,Bonuses!$B$1:$G$1000,5,FALSE)))</f>
        <v/>
      </c>
    </row>
    <row r="510" spans="1:31" s="21" customFormat="1">
      <c r="A510" s="21" t="s">
        <v>607</v>
      </c>
      <c r="B510" s="21">
        <f t="shared" si="28"/>
        <v>1</v>
      </c>
      <c r="C510" s="21" t="str">
        <f t="shared" si="29"/>
        <v>P</v>
      </c>
      <c r="D510" s="17">
        <f>IF($C510="B",VLOOKUP($A510,Bat!$A$4:$BD$2323,D$1,FALSE),VLOOKUP($A510,Pit!$A$4:$AZ$2261,D$2,FALSE))</f>
        <v>13775</v>
      </c>
      <c r="E510" s="16" t="str">
        <f>IF($C510="B",VLOOKUP($A510,Bat!$A$4:$BD$2323,E$1,FALSE),VLOOKUP($A510,Pit!$A$4:$AZ$2261,E$2,FALSE))</f>
        <v>MR</v>
      </c>
      <c r="F510" s="16" t="str">
        <f>IF($C510="B",VLOOKUP($A510,Bat!$A$4:$BD$2323,F$1,FALSE),VLOOKUP($A510,Pit!$A$4:$AZ$2261,F$2,FALSE))</f>
        <v>Ken Charles</v>
      </c>
      <c r="G510" s="16">
        <f>IF($C510="B",VLOOKUP($A510,Bat!$A$4:$BD$2323,G$1,FALSE),VLOOKUP($A510,Pit!$A$4:$AZ$2261,G$2,FALSE))</f>
        <v>18</v>
      </c>
      <c r="H510" s="16" t="str">
        <f>IF($C510="B",VLOOKUP($A510,Bat!$A$4:$BD$2323,H$1,FALSE),VLOOKUP($A510,Pit!$A$4:$AZ$2261,H$2,FALSE))</f>
        <v>R</v>
      </c>
      <c r="I510" s="16" t="str">
        <f>IF($C510="B",VLOOKUP($A510,Bat!$A$4:$BD$2323,I$1,FALSE),VLOOKUP($A510,Pit!$A$4:$AZ$2261,I$2,FALSE))</f>
        <v>R</v>
      </c>
      <c r="J510" s="16" t="str">
        <f>IF($C510="B",VLOOKUP($A510,Bat!$A$4:$BD$2323,J$1,FALSE),VLOOKUP($A510,Pit!$A$4:$AZ$2261,J$2,FALSE))</f>
        <v>Very Low</v>
      </c>
      <c r="K510" s="17" t="str">
        <f>IF($C510="B",VLOOKUP($A510,Bat!$A$4:$BD$2323,K$1,FALSE),VLOOKUP($A510,Pit!$A$4:$AZ$2261,K$2,FALSE))</f>
        <v>Low</v>
      </c>
      <c r="L510" s="16">
        <f>IF($C510="B",VLOOKUP($A510,Bat!$A$4:$BD$2323,L$1,FALSE),VLOOKUP($A510,Pit!$A$4:$AZ$2261,L$2,FALSE))</f>
        <v>3</v>
      </c>
      <c r="M510" s="16">
        <f>IF($C510="B",VLOOKUP($A510,Bat!$A$4:$BD$2323,M$1,FALSE),VLOOKUP($A510,Pit!$A$4:$AZ$2261,M$2,FALSE))</f>
        <v>3</v>
      </c>
      <c r="N510" s="16">
        <f>IF($C510="B",VLOOKUP($A510,Bat!$A$4:$BD$2323,N$1,FALSE),VLOOKUP($A510,Pit!$A$4:$AZ$2261,N$2,FALSE))</f>
        <v>4</v>
      </c>
      <c r="O510" s="16" t="str">
        <f>IF($C510="B",VLOOKUP($A510,Bat!$A$4:$BD$2323,O$1,FALSE),VLOOKUP($A510,Pit!$A$4:$AZ$2261,O$2,FALSE))</f>
        <v>83-85 Mph</v>
      </c>
      <c r="P510" s="17">
        <f>IF($C510="B",VLOOKUP($A510,Bat!$A$4:$BD$2323,P$1,FALSE),VLOOKUP($A510,Pit!$A$4:$AZ$2261,P$2,FALSE))</f>
        <v>7</v>
      </c>
      <c r="Q510" s="18">
        <f>IF($C510="B",VLOOKUP($A510,Bat!$A$4:$BD$2323,Q$1,FALSE),VLOOKUP($A510,Pit!$A$4:$AZ$2261,Q$2,FALSE))</f>
        <v>16.156017525665384</v>
      </c>
      <c r="R510" s="19">
        <f>IF($C510="B",VLOOKUP($A510,Bat!$A$4:$BD$2323,R$1,FALSE),VLOOKUP($A510,Pit!$A$4:$AZ$2261,R$2,FALSE))</f>
        <v>-1.4103187085688289</v>
      </c>
      <c r="S510" s="20" t="str">
        <f>IF($C510="B",VLOOKUP($A510,Bat!$A$4:$BD$2323,S$1,FALSE),VLOOKUP($A510,Pit!$A$4:$AZ$2261,S$2,FALSE))</f>
        <v>Slot</v>
      </c>
      <c r="T510" s="17" t="str">
        <f>IF(S510="Slot","",VLOOKUP(IF($C510="B",VLOOKUP($A510,Bat!$A$4:$AT$2323,T$1,FALSE),VLOOKUP($A510,Pit!$A$4:$BD$2261,T$2,FALSE)),COND!$A$34:$B$40,2,FALSE))</f>
        <v/>
      </c>
      <c r="U510" s="21">
        <f>IF($C510="B",VLOOKUP($A510,Bat!$A$4:$AR$1287,44,FALSE),VLOOKUP($A510,Pit!$A$4:$BB$1239,54,FALSE))</f>
        <v>0</v>
      </c>
      <c r="W510" s="21">
        <f t="shared" si="30"/>
        <v>0</v>
      </c>
      <c r="X510" s="22" t="e">
        <f t="shared" si="31"/>
        <v>#N/A</v>
      </c>
      <c r="Y510" s="16" t="str">
        <f>IF(ISERROR(VLOOKUP($E510&amp;$F510,Results!$A$2:$G$413,Y$1,FALSE)),"",VLOOKUP($E510&amp;$F510,Results!$A$2:$G$413,Y$1,FALSE))</f>
        <v/>
      </c>
      <c r="Z510" s="16" t="str">
        <f>IF(ISERROR(VLOOKUP($E510&amp;$F510,Results!$A$2:$G$413,Z$1,FALSE)),"",VLOOKUP($E510&amp;$F510,Results!$A$2:$G$413,Z$1,FALSE))</f>
        <v/>
      </c>
      <c r="AA510" s="16" t="str">
        <f>IF(ISERROR(VLOOKUP($E510&amp;$F510,Results!$A$2:$G$413,AA$1,FALSE)),"",VLOOKUP($E510&amp;$F510,Results!$A$2:$G$413,AA$1,FALSE))</f>
        <v/>
      </c>
      <c r="AB510" s="16" t="str">
        <f>IF(ISERROR(VLOOKUP($E510&amp;$F510,Results!$A$2:$G$413,AB$1,FALSE)),"",VLOOKUP($E510&amp;$F510,Results!$A$2:$G$413,AB$1,FALSE))</f>
        <v/>
      </c>
      <c r="AC510" s="16"/>
      <c r="AD510" s="20" t="str">
        <f>IF(ISERROR(VLOOKUP($AB510&amp;"-"&amp;$F510,Bonuses!$B$1:$G$1000,4,FALSE)),"",INT(VLOOKUP($AB510&amp;"-"&amp;$F510,Bonuses!$B$1:$G$1000,4,FALSE)))</f>
        <v/>
      </c>
      <c r="AE510" s="16" t="str">
        <f>IF(ISERROR(VLOOKUP($AB510&amp;"-"&amp;$F510,Bonuses!$B$1:$G$1000,5,FALSE)),"",IF(VLOOKUP($AB510&amp;"-"&amp;$F510,Bonuses!$B$1:$G$1000,5,FALSE)="","",VLOOKUP($AB510&amp;"-"&amp;$F510,Bonuses!$B$1:$G$1000,6,FALSE)&amp;" yrs, "&amp;VLOOKUP($AB510&amp;"-"&amp;$F510,Bonuses!$B$1:$G$1000,5,FALSE)))</f>
        <v/>
      </c>
    </row>
    <row r="511" spans="1:31" s="21" customFormat="1">
      <c r="A511" s="21" t="s">
        <v>621</v>
      </c>
      <c r="B511" s="21">
        <f t="shared" si="28"/>
        <v>1</v>
      </c>
      <c r="C511" s="21" t="str">
        <f t="shared" si="29"/>
        <v>P</v>
      </c>
      <c r="D511" s="17">
        <f>IF($C511="B",VLOOKUP($A511,Bat!$A$4:$BD$2323,D$1,FALSE),VLOOKUP($A511,Pit!$A$4:$AZ$2261,D$2,FALSE))</f>
        <v>2672</v>
      </c>
      <c r="E511" s="16" t="str">
        <f>IF($C511="B",VLOOKUP($A511,Bat!$A$4:$BD$2323,E$1,FALSE),VLOOKUP($A511,Pit!$A$4:$AZ$2261,E$2,FALSE))</f>
        <v>MR</v>
      </c>
      <c r="F511" s="16" t="str">
        <f>IF($C511="B",VLOOKUP($A511,Bat!$A$4:$BD$2323,F$1,FALSE),VLOOKUP($A511,Pit!$A$4:$AZ$2261,F$2,FALSE))</f>
        <v>Rudy Barber</v>
      </c>
      <c r="G511" s="16">
        <f>IF($C511="B",VLOOKUP($A511,Bat!$A$4:$BD$2323,G$1,FALSE),VLOOKUP($A511,Pit!$A$4:$AZ$2261,G$2,FALSE))</f>
        <v>21</v>
      </c>
      <c r="H511" s="16" t="str">
        <f>IF($C511="B",VLOOKUP($A511,Bat!$A$4:$BD$2323,H$1,FALSE),VLOOKUP($A511,Pit!$A$4:$AZ$2261,H$2,FALSE))</f>
        <v>R</v>
      </c>
      <c r="I511" s="16" t="str">
        <f>IF($C511="B",VLOOKUP($A511,Bat!$A$4:$BD$2323,I$1,FALSE),VLOOKUP($A511,Pit!$A$4:$AZ$2261,I$2,FALSE))</f>
        <v>R</v>
      </c>
      <c r="J511" s="16" t="str">
        <f>IF($C511="B",VLOOKUP($A511,Bat!$A$4:$BD$2323,J$1,FALSE),VLOOKUP($A511,Pit!$A$4:$AZ$2261,J$2,FALSE))</f>
        <v>Very Low</v>
      </c>
      <c r="K511" s="17" t="str">
        <f>IF($C511="B",VLOOKUP($A511,Bat!$A$4:$BD$2323,K$1,FALSE),VLOOKUP($A511,Pit!$A$4:$AZ$2261,K$2,FALSE))</f>
        <v>High</v>
      </c>
      <c r="L511" s="16">
        <f>IF($C511="B",VLOOKUP($A511,Bat!$A$4:$BD$2323,L$1,FALSE),VLOOKUP($A511,Pit!$A$4:$AZ$2261,L$2,FALSE))</f>
        <v>5</v>
      </c>
      <c r="M511" s="16">
        <f>IF($C511="B",VLOOKUP($A511,Bat!$A$4:$BD$2323,M$1,FALSE),VLOOKUP($A511,Pit!$A$4:$AZ$2261,M$2,FALSE))</f>
        <v>3</v>
      </c>
      <c r="N511" s="16">
        <f>IF($C511="B",VLOOKUP($A511,Bat!$A$4:$BD$2323,N$1,FALSE),VLOOKUP($A511,Pit!$A$4:$AZ$2261,N$2,FALSE))</f>
        <v>3</v>
      </c>
      <c r="O511" s="16" t="str">
        <f>IF($C511="B",VLOOKUP($A511,Bat!$A$4:$BD$2323,O$1,FALSE),VLOOKUP($A511,Pit!$A$4:$AZ$2261,O$2,FALSE))</f>
        <v>90-92 Mph</v>
      </c>
      <c r="P511" s="17">
        <f>IF($C511="B",VLOOKUP($A511,Bat!$A$4:$BD$2323,P$1,FALSE),VLOOKUP($A511,Pit!$A$4:$AZ$2261,P$2,FALSE))</f>
        <v>2</v>
      </c>
      <c r="Q511" s="18">
        <f>IF($C511="B",VLOOKUP($A511,Bat!$A$4:$BD$2323,Q$1,FALSE),VLOOKUP($A511,Pit!$A$4:$AZ$2261,Q$2,FALSE))</f>
        <v>16.985324149265573</v>
      </c>
      <c r="R511" s="19">
        <f>IF($C511="B",VLOOKUP($A511,Bat!$A$4:$BD$2323,R$1,FALSE),VLOOKUP($A511,Pit!$A$4:$AZ$2261,R$2,FALSE))</f>
        <v>-1.3444829248124432</v>
      </c>
      <c r="S511" s="20" t="str">
        <f>IF($C511="B",VLOOKUP($A511,Bat!$A$4:$BD$2323,S$1,FALSE),VLOOKUP($A511,Pit!$A$4:$AZ$2261,S$2,FALSE))</f>
        <v>Slot</v>
      </c>
      <c r="T511" s="17" t="str">
        <f>IF(S511="Slot","",VLOOKUP(IF($C511="B",VLOOKUP($A511,Bat!$A$4:$AT$2323,T$1,FALSE),VLOOKUP($A511,Pit!$A$4:$BD$2261,T$2,FALSE)),COND!$A$34:$B$40,2,FALSE))</f>
        <v/>
      </c>
      <c r="U511" s="21">
        <f>IF($C511="B",VLOOKUP($A511,Bat!$A$4:$AR$1287,44,FALSE),VLOOKUP($A511,Pit!$A$4:$BB$1239,54,FALSE))</f>
        <v>0</v>
      </c>
      <c r="W511" s="21">
        <f t="shared" si="30"/>
        <v>0</v>
      </c>
      <c r="X511" s="22" t="e">
        <f t="shared" si="31"/>
        <v>#N/A</v>
      </c>
      <c r="Y511" s="16" t="str">
        <f>IF(ISERROR(VLOOKUP($E511&amp;$F511,Results!$A$2:$G$413,Y$1,FALSE)),"",VLOOKUP($E511&amp;$F511,Results!$A$2:$G$413,Y$1,FALSE))</f>
        <v/>
      </c>
      <c r="Z511" s="16" t="str">
        <f>IF(ISERROR(VLOOKUP($E511&amp;$F511,Results!$A$2:$G$413,Z$1,FALSE)),"",VLOOKUP($E511&amp;$F511,Results!$A$2:$G$413,Z$1,FALSE))</f>
        <v/>
      </c>
      <c r="AA511" s="16" t="str">
        <f>IF(ISERROR(VLOOKUP($E511&amp;$F511,Results!$A$2:$G$413,AA$1,FALSE)),"",VLOOKUP($E511&amp;$F511,Results!$A$2:$G$413,AA$1,FALSE))</f>
        <v/>
      </c>
      <c r="AB511" s="16" t="str">
        <f>IF(ISERROR(VLOOKUP($E511&amp;$F511,Results!$A$2:$G$413,AB$1,FALSE)),"",VLOOKUP($E511&amp;$F511,Results!$A$2:$G$413,AB$1,FALSE))</f>
        <v/>
      </c>
      <c r="AC511" s="16"/>
      <c r="AD511" s="20" t="str">
        <f>IF(ISERROR(VLOOKUP($AB511&amp;"-"&amp;$F511,Bonuses!$B$1:$G$1000,4,FALSE)),"",INT(VLOOKUP($AB511&amp;"-"&amp;$F511,Bonuses!$B$1:$G$1000,4,FALSE)))</f>
        <v/>
      </c>
      <c r="AE511" s="16" t="str">
        <f>IF(ISERROR(VLOOKUP($AB511&amp;"-"&amp;$F511,Bonuses!$B$1:$G$1000,5,FALSE)),"",IF(VLOOKUP($AB511&amp;"-"&amp;$F511,Bonuses!$B$1:$G$1000,5,FALSE)="","",VLOOKUP($AB511&amp;"-"&amp;$F511,Bonuses!$B$1:$G$1000,6,FALSE)&amp;" yrs, "&amp;VLOOKUP($AB511&amp;"-"&amp;$F511,Bonuses!$B$1:$G$1000,5,FALSE)))</f>
        <v/>
      </c>
    </row>
    <row r="512" spans="1:31" s="21" customFormat="1">
      <c r="A512" s="21" t="s">
        <v>95</v>
      </c>
      <c r="B512" s="21">
        <f t="shared" si="28"/>
        <v>1</v>
      </c>
      <c r="C512" s="21" t="str">
        <f t="shared" si="29"/>
        <v>P</v>
      </c>
      <c r="D512" s="17">
        <f>IF($C512="B",VLOOKUP($A512,Bat!$A$4:$BD$2323,D$1,FALSE),VLOOKUP($A512,Pit!$A$4:$AZ$2261,D$2,FALSE))</f>
        <v>13805</v>
      </c>
      <c r="E512" s="16" t="str">
        <f>IF($C512="B",VLOOKUP($A512,Bat!$A$4:$BD$2323,E$1,FALSE),VLOOKUP($A512,Pit!$A$4:$AZ$2261,E$2,FALSE))</f>
        <v>MR</v>
      </c>
      <c r="F512" s="16" t="str">
        <f>IF($C512="B",VLOOKUP($A512,Bat!$A$4:$BD$2323,F$1,FALSE),VLOOKUP($A512,Pit!$A$4:$AZ$2261,F$2,FALSE))</f>
        <v>Keith Yeo</v>
      </c>
      <c r="G512" s="16">
        <f>IF($C512="B",VLOOKUP($A512,Bat!$A$4:$BD$2323,G$1,FALSE),VLOOKUP($A512,Pit!$A$4:$AZ$2261,G$2,FALSE))</f>
        <v>18</v>
      </c>
      <c r="H512" s="16" t="str">
        <f>IF($C512="B",VLOOKUP($A512,Bat!$A$4:$BD$2323,H$1,FALSE),VLOOKUP($A512,Pit!$A$4:$AZ$2261,H$2,FALSE))</f>
        <v>R</v>
      </c>
      <c r="I512" s="16" t="str">
        <f>IF($C512="B",VLOOKUP($A512,Bat!$A$4:$BD$2323,I$1,FALSE),VLOOKUP($A512,Pit!$A$4:$AZ$2261,I$2,FALSE))</f>
        <v>R</v>
      </c>
      <c r="J512" s="16" t="str">
        <f>IF($C512="B",VLOOKUP($A512,Bat!$A$4:$BD$2323,J$1,FALSE),VLOOKUP($A512,Pit!$A$4:$AZ$2261,J$2,FALSE))</f>
        <v>Very Low</v>
      </c>
      <c r="K512" s="17" t="str">
        <f>IF($C512="B",VLOOKUP($A512,Bat!$A$4:$BD$2323,K$1,FALSE),VLOOKUP($A512,Pit!$A$4:$AZ$2261,K$2,FALSE))</f>
        <v>Very Low</v>
      </c>
      <c r="L512" s="16">
        <f>IF($C512="B",VLOOKUP($A512,Bat!$A$4:$BD$2323,L$1,FALSE),VLOOKUP($A512,Pit!$A$4:$AZ$2261,L$2,FALSE))</f>
        <v>2</v>
      </c>
      <c r="M512" s="16">
        <f>IF($C512="B",VLOOKUP($A512,Bat!$A$4:$BD$2323,M$1,FALSE),VLOOKUP($A512,Pit!$A$4:$AZ$2261,M$2,FALSE))</f>
        <v>4</v>
      </c>
      <c r="N512" s="16">
        <f>IF($C512="B",VLOOKUP($A512,Bat!$A$4:$BD$2323,N$1,FALSE),VLOOKUP($A512,Pit!$A$4:$AZ$2261,N$2,FALSE))</f>
        <v>4</v>
      </c>
      <c r="O512" s="16" t="str">
        <f>IF($C512="B",VLOOKUP($A512,Bat!$A$4:$BD$2323,O$1,FALSE),VLOOKUP($A512,Pit!$A$4:$AZ$2261,O$2,FALSE))</f>
        <v>82-84 Mph</v>
      </c>
      <c r="P512" s="17">
        <f>IF($C512="B",VLOOKUP($A512,Bat!$A$4:$BD$2323,P$1,FALSE),VLOOKUP($A512,Pit!$A$4:$AZ$2261,P$2,FALSE))</f>
        <v>10</v>
      </c>
      <c r="Q512" s="18">
        <f>IF($C512="B",VLOOKUP($A512,Bat!$A$4:$BD$2323,Q$1,FALSE),VLOOKUP($A512,Pit!$A$4:$AZ$2261,Q$2,FALSE))</f>
        <v>14.623715495354295</v>
      </c>
      <c r="R512" s="19">
        <f>IF($C512="B",VLOOKUP($A512,Bat!$A$4:$BD$2323,R$1,FALSE),VLOOKUP($A512,Pit!$A$4:$AZ$2261,R$2,FALSE))</f>
        <v>-1.5319628655624022</v>
      </c>
      <c r="S512" s="20" t="str">
        <f>IF($C512="B",VLOOKUP($A512,Bat!$A$4:$BD$2323,S$1,FALSE),VLOOKUP($A512,Pit!$A$4:$AZ$2261,S$2,FALSE))</f>
        <v>Slot</v>
      </c>
      <c r="T512" s="17" t="str">
        <f>IF(S512="Slot","",VLOOKUP(IF($C512="B",VLOOKUP($A512,Bat!$A$4:$AT$2323,T$1,FALSE),VLOOKUP($A512,Pit!$A$4:$BD$2261,T$2,FALSE)),COND!$A$34:$B$40,2,FALSE))</f>
        <v/>
      </c>
      <c r="U512" s="21">
        <f>IF($C512="B",VLOOKUP($A512,Bat!$A$4:$AR$1287,44,FALSE),VLOOKUP($A512,Pit!$A$4:$BB$1239,54,FALSE))</f>
        <v>0</v>
      </c>
      <c r="W512" s="21">
        <f t="shared" si="30"/>
        <v>0</v>
      </c>
      <c r="X512" s="22" t="e">
        <f t="shared" si="31"/>
        <v>#N/A</v>
      </c>
      <c r="Y512" s="16" t="str">
        <f>IF(ISERROR(VLOOKUP($E512&amp;$F512,Results!$A$2:$G$413,Y$1,FALSE)),"",VLOOKUP($E512&amp;$F512,Results!$A$2:$G$413,Y$1,FALSE))</f>
        <v/>
      </c>
      <c r="Z512" s="16" t="str">
        <f>IF(ISERROR(VLOOKUP($E512&amp;$F512,Results!$A$2:$G$413,Z$1,FALSE)),"",VLOOKUP($E512&amp;$F512,Results!$A$2:$G$413,Z$1,FALSE))</f>
        <v/>
      </c>
      <c r="AA512" s="16" t="str">
        <f>IF(ISERROR(VLOOKUP($E512&amp;$F512,Results!$A$2:$G$413,AA$1,FALSE)),"",VLOOKUP($E512&amp;$F512,Results!$A$2:$G$413,AA$1,FALSE))</f>
        <v/>
      </c>
      <c r="AB512" s="16" t="str">
        <f>IF(ISERROR(VLOOKUP($E512&amp;$F512,Results!$A$2:$G$413,AB$1,FALSE)),"",VLOOKUP($E512&amp;$F512,Results!$A$2:$G$413,AB$1,FALSE))</f>
        <v/>
      </c>
      <c r="AC512" s="16"/>
      <c r="AD512" s="20" t="str">
        <f>IF(ISERROR(VLOOKUP($AB512&amp;"-"&amp;$F512,Bonuses!$B$1:$G$1000,4,FALSE)),"",INT(VLOOKUP($AB512&amp;"-"&amp;$F512,Bonuses!$B$1:$G$1000,4,FALSE)))</f>
        <v/>
      </c>
      <c r="AE512" s="16" t="str">
        <f>IF(ISERROR(VLOOKUP($AB512&amp;"-"&amp;$F512,Bonuses!$B$1:$G$1000,5,FALSE)),"",IF(VLOOKUP($AB512&amp;"-"&amp;$F512,Bonuses!$B$1:$G$1000,5,FALSE)="","",VLOOKUP($AB512&amp;"-"&amp;$F512,Bonuses!$B$1:$G$1000,6,FALSE)&amp;" yrs, "&amp;VLOOKUP($AB512&amp;"-"&amp;$F512,Bonuses!$B$1:$G$1000,5,FALSE)))</f>
        <v/>
      </c>
    </row>
    <row r="513" spans="1:31" s="21" customFormat="1">
      <c r="A513" s="21" t="s">
        <v>617</v>
      </c>
      <c r="B513" s="21">
        <f t="shared" si="28"/>
        <v>1</v>
      </c>
      <c r="C513" s="21" t="str">
        <f t="shared" si="29"/>
        <v>P</v>
      </c>
      <c r="D513" s="17">
        <f>IF($C513="B",VLOOKUP($A513,Bat!$A$4:$BD$2323,D$1,FALSE),VLOOKUP($A513,Pit!$A$4:$AZ$2261,D$2,FALSE))</f>
        <v>2295</v>
      </c>
      <c r="E513" s="16" t="str">
        <f>IF($C513="B",VLOOKUP($A513,Bat!$A$4:$BD$2323,E$1,FALSE),VLOOKUP($A513,Pit!$A$4:$AZ$2261,E$2,FALSE))</f>
        <v>MR</v>
      </c>
      <c r="F513" s="16" t="str">
        <f>IF($C513="B",VLOOKUP($A513,Bat!$A$4:$BD$2323,F$1,FALSE),VLOOKUP($A513,Pit!$A$4:$AZ$2261,F$2,FALSE))</f>
        <v>Pancho González</v>
      </c>
      <c r="G513" s="16">
        <f>IF($C513="B",VLOOKUP($A513,Bat!$A$4:$BD$2323,G$1,FALSE),VLOOKUP($A513,Pit!$A$4:$AZ$2261,G$2,FALSE))</f>
        <v>21</v>
      </c>
      <c r="H513" s="16" t="str">
        <f>IF($C513="B",VLOOKUP($A513,Bat!$A$4:$BD$2323,H$1,FALSE),VLOOKUP($A513,Pit!$A$4:$AZ$2261,H$2,FALSE))</f>
        <v>R</v>
      </c>
      <c r="I513" s="16" t="str">
        <f>IF($C513="B",VLOOKUP($A513,Bat!$A$4:$BD$2323,I$1,FALSE),VLOOKUP($A513,Pit!$A$4:$AZ$2261,I$2,FALSE))</f>
        <v>L</v>
      </c>
      <c r="J513" s="16" t="str">
        <f>IF($C513="B",VLOOKUP($A513,Bat!$A$4:$BD$2323,J$1,FALSE),VLOOKUP($A513,Pit!$A$4:$AZ$2261,J$2,FALSE))</f>
        <v>Very Low</v>
      </c>
      <c r="K513" s="17" t="str">
        <f>IF($C513="B",VLOOKUP($A513,Bat!$A$4:$BD$2323,K$1,FALSE),VLOOKUP($A513,Pit!$A$4:$AZ$2261,K$2,FALSE))</f>
        <v>High</v>
      </c>
      <c r="L513" s="16">
        <f>IF($C513="B",VLOOKUP($A513,Bat!$A$4:$BD$2323,L$1,FALSE),VLOOKUP($A513,Pit!$A$4:$AZ$2261,L$2,FALSE))</f>
        <v>4</v>
      </c>
      <c r="M513" s="16">
        <f>IF($C513="B",VLOOKUP($A513,Bat!$A$4:$BD$2323,M$1,FALSE),VLOOKUP($A513,Pit!$A$4:$AZ$2261,M$2,FALSE))</f>
        <v>4</v>
      </c>
      <c r="N513" s="16">
        <f>IF($C513="B",VLOOKUP($A513,Bat!$A$4:$BD$2323,N$1,FALSE),VLOOKUP($A513,Pit!$A$4:$AZ$2261,N$2,FALSE))</f>
        <v>3</v>
      </c>
      <c r="O513" s="16" t="str">
        <f>IF($C513="B",VLOOKUP($A513,Bat!$A$4:$BD$2323,O$1,FALSE),VLOOKUP($A513,Pit!$A$4:$AZ$2261,O$2,FALSE))</f>
        <v>91-93 Mph</v>
      </c>
      <c r="P513" s="17">
        <f>IF($C513="B",VLOOKUP($A513,Bat!$A$4:$BD$2323,P$1,FALSE),VLOOKUP($A513,Pit!$A$4:$AZ$2261,P$2,FALSE))</f>
        <v>7</v>
      </c>
      <c r="Q513" s="18">
        <f>IF($C513="B",VLOOKUP($A513,Bat!$A$4:$BD$2323,Q$1,FALSE),VLOOKUP($A513,Pit!$A$4:$AZ$2261,Q$2,FALSE))</f>
        <v>16.424192330877641</v>
      </c>
      <c r="R513" s="19">
        <f>IF($C513="B",VLOOKUP($A513,Bat!$A$4:$BD$2323,R$1,FALSE),VLOOKUP($A513,Pit!$A$4:$AZ$2261,R$2,FALSE))</f>
        <v>-1.3890292385677105</v>
      </c>
      <c r="S513" s="20" t="str">
        <f>IF($C513="B",VLOOKUP($A513,Bat!$A$4:$BD$2323,S$1,FALSE),VLOOKUP($A513,Pit!$A$4:$AZ$2261,S$2,FALSE))</f>
        <v>Slot</v>
      </c>
      <c r="T513" s="17" t="str">
        <f>IF(S513="Slot","",VLOOKUP(IF($C513="B",VLOOKUP($A513,Bat!$A$4:$AT$2323,T$1,FALSE),VLOOKUP($A513,Pit!$A$4:$BD$2261,T$2,FALSE)),COND!$A$34:$B$40,2,FALSE))</f>
        <v/>
      </c>
      <c r="U513" s="21">
        <f>IF($C513="B",VLOOKUP($A513,Bat!$A$4:$AR$1287,44,FALSE),VLOOKUP($A513,Pit!$A$4:$BB$1239,54,FALSE))</f>
        <v>0</v>
      </c>
      <c r="W513" s="21">
        <f t="shared" si="30"/>
        <v>0</v>
      </c>
      <c r="X513" s="22" t="e">
        <f t="shared" si="31"/>
        <v>#N/A</v>
      </c>
      <c r="Y513" s="16" t="str">
        <f>IF(ISERROR(VLOOKUP($E513&amp;$F513,Results!$A$2:$G$413,Y$1,FALSE)),"",VLOOKUP($E513&amp;$F513,Results!$A$2:$G$413,Y$1,FALSE))</f>
        <v/>
      </c>
      <c r="Z513" s="16" t="str">
        <f>IF(ISERROR(VLOOKUP($E513&amp;$F513,Results!$A$2:$G$413,Z$1,FALSE)),"",VLOOKUP($E513&amp;$F513,Results!$A$2:$G$413,Z$1,FALSE))</f>
        <v/>
      </c>
      <c r="AA513" s="16" t="str">
        <f>IF(ISERROR(VLOOKUP($E513&amp;$F513,Results!$A$2:$G$413,AA$1,FALSE)),"",VLOOKUP($E513&amp;$F513,Results!$A$2:$G$413,AA$1,FALSE))</f>
        <v/>
      </c>
      <c r="AB513" s="16" t="str">
        <f>IF(ISERROR(VLOOKUP($E513&amp;$F513,Results!$A$2:$G$413,AB$1,FALSE)),"",VLOOKUP($E513&amp;$F513,Results!$A$2:$G$413,AB$1,FALSE))</f>
        <v/>
      </c>
      <c r="AC513" s="16"/>
      <c r="AD513" s="20" t="str">
        <f>IF(ISERROR(VLOOKUP($AB513&amp;"-"&amp;$F513,Bonuses!$B$1:$G$1000,4,FALSE)),"",INT(VLOOKUP($AB513&amp;"-"&amp;$F513,Bonuses!$B$1:$G$1000,4,FALSE)))</f>
        <v/>
      </c>
      <c r="AE513" s="16" t="str">
        <f>IF(ISERROR(VLOOKUP($AB513&amp;"-"&amp;$F513,Bonuses!$B$1:$G$1000,5,FALSE)),"",IF(VLOOKUP($AB513&amp;"-"&amp;$F513,Bonuses!$B$1:$G$1000,5,FALSE)="","",VLOOKUP($AB513&amp;"-"&amp;$F513,Bonuses!$B$1:$G$1000,6,FALSE)&amp;" yrs, "&amp;VLOOKUP($AB513&amp;"-"&amp;$F513,Bonuses!$B$1:$G$1000,5,FALSE)))</f>
        <v/>
      </c>
    </row>
    <row r="514" spans="1:31" s="21" customFormat="1">
      <c r="A514" s="21" t="s">
        <v>618</v>
      </c>
      <c r="B514" s="21">
        <f t="shared" si="28"/>
        <v>1</v>
      </c>
      <c r="C514" s="21" t="str">
        <f t="shared" si="29"/>
        <v>P</v>
      </c>
      <c r="D514" s="17">
        <f>IF($C514="B",VLOOKUP($A514,Bat!$A$4:$BD$2323,D$1,FALSE),VLOOKUP($A514,Pit!$A$4:$AZ$2261,D$2,FALSE))</f>
        <v>2307</v>
      </c>
      <c r="E514" s="16" t="str">
        <f>IF($C514="B",VLOOKUP($A514,Bat!$A$4:$BD$2323,E$1,FALSE),VLOOKUP($A514,Pit!$A$4:$AZ$2261,E$2,FALSE))</f>
        <v>MR</v>
      </c>
      <c r="F514" s="16" t="str">
        <f>IF($C514="B",VLOOKUP($A514,Bat!$A$4:$BD$2323,F$1,FALSE),VLOOKUP($A514,Pit!$A$4:$AZ$2261,F$2,FALSE))</f>
        <v>Eiichi Yamamoto</v>
      </c>
      <c r="G514" s="16">
        <f>IF($C514="B",VLOOKUP($A514,Bat!$A$4:$BD$2323,G$1,FALSE),VLOOKUP($A514,Pit!$A$4:$AZ$2261,G$2,FALSE))</f>
        <v>21</v>
      </c>
      <c r="H514" s="16" t="str">
        <f>IF($C514="B",VLOOKUP($A514,Bat!$A$4:$BD$2323,H$1,FALSE),VLOOKUP($A514,Pit!$A$4:$AZ$2261,H$2,FALSE))</f>
        <v>R</v>
      </c>
      <c r="I514" s="16" t="str">
        <f>IF($C514="B",VLOOKUP($A514,Bat!$A$4:$BD$2323,I$1,FALSE),VLOOKUP($A514,Pit!$A$4:$AZ$2261,I$2,FALSE))</f>
        <v>R</v>
      </c>
      <c r="J514" s="16" t="str">
        <f>IF($C514="B",VLOOKUP($A514,Bat!$A$4:$BD$2323,J$1,FALSE),VLOOKUP($A514,Pit!$A$4:$AZ$2261,J$2,FALSE))</f>
        <v>Very Low</v>
      </c>
      <c r="K514" s="17" t="str">
        <f>IF($C514="B",VLOOKUP($A514,Bat!$A$4:$BD$2323,K$1,FALSE),VLOOKUP($A514,Pit!$A$4:$AZ$2261,K$2,FALSE))</f>
        <v>Normal</v>
      </c>
      <c r="L514" s="16">
        <f>IF($C514="B",VLOOKUP($A514,Bat!$A$4:$BD$2323,L$1,FALSE),VLOOKUP($A514,Pit!$A$4:$AZ$2261,L$2,FALSE))</f>
        <v>4</v>
      </c>
      <c r="M514" s="16">
        <f>IF($C514="B",VLOOKUP($A514,Bat!$A$4:$BD$2323,M$1,FALSE),VLOOKUP($A514,Pit!$A$4:$AZ$2261,M$2,FALSE))</f>
        <v>4</v>
      </c>
      <c r="N514" s="16">
        <f>IF($C514="B",VLOOKUP($A514,Bat!$A$4:$BD$2323,N$1,FALSE),VLOOKUP($A514,Pit!$A$4:$AZ$2261,N$2,FALSE))</f>
        <v>3</v>
      </c>
      <c r="O514" s="16" t="str">
        <f>IF($C514="B",VLOOKUP($A514,Bat!$A$4:$BD$2323,O$1,FALSE),VLOOKUP($A514,Pit!$A$4:$AZ$2261,O$2,FALSE))</f>
        <v>93-95 Mph</v>
      </c>
      <c r="P514" s="17">
        <f>IF($C514="B",VLOOKUP($A514,Bat!$A$4:$BD$2323,P$1,FALSE),VLOOKUP($A514,Pit!$A$4:$AZ$2261,P$2,FALSE))</f>
        <v>1</v>
      </c>
      <c r="Q514" s="18">
        <f>IF($C514="B",VLOOKUP($A514,Bat!$A$4:$BD$2323,Q$1,FALSE),VLOOKUP($A514,Pit!$A$4:$AZ$2261,Q$2,FALSE))</f>
        <v>15.971494782192105</v>
      </c>
      <c r="R514" s="19">
        <f>IF($C514="B",VLOOKUP($A514,Bat!$A$4:$BD$2323,R$1,FALSE),VLOOKUP($A514,Pit!$A$4:$AZ$2261,R$2,FALSE))</f>
        <v>-1.4249673307933859</v>
      </c>
      <c r="S514" s="20" t="str">
        <f>IF($C514="B",VLOOKUP($A514,Bat!$A$4:$BD$2323,S$1,FALSE),VLOOKUP($A514,Pit!$A$4:$AZ$2261,S$2,FALSE))</f>
        <v>Slot</v>
      </c>
      <c r="T514" s="17" t="str">
        <f>IF(S514="Slot","",VLOOKUP(IF($C514="B",VLOOKUP($A514,Bat!$A$4:$AT$2323,T$1,FALSE),VLOOKUP($A514,Pit!$A$4:$BD$2261,T$2,FALSE)),COND!$A$34:$B$40,2,FALSE))</f>
        <v/>
      </c>
      <c r="U514" s="21">
        <f>IF($C514="B",VLOOKUP($A514,Bat!$A$4:$AR$1287,44,FALSE),VLOOKUP($A514,Pit!$A$4:$BB$1239,54,FALSE))</f>
        <v>0</v>
      </c>
      <c r="W514" s="21">
        <f t="shared" si="30"/>
        <v>0</v>
      </c>
      <c r="X514" s="22" t="e">
        <f t="shared" si="31"/>
        <v>#N/A</v>
      </c>
      <c r="Y514" s="16" t="str">
        <f>IF(ISERROR(VLOOKUP($E514&amp;$F514,Results!$A$2:$G$413,Y$1,FALSE)),"",VLOOKUP($E514&amp;$F514,Results!$A$2:$G$413,Y$1,FALSE))</f>
        <v/>
      </c>
      <c r="Z514" s="16" t="str">
        <f>IF(ISERROR(VLOOKUP($E514&amp;$F514,Results!$A$2:$G$413,Z$1,FALSE)),"",VLOOKUP($E514&amp;$F514,Results!$A$2:$G$413,Z$1,FALSE))</f>
        <v/>
      </c>
      <c r="AA514" s="16" t="str">
        <f>IF(ISERROR(VLOOKUP($E514&amp;$F514,Results!$A$2:$G$413,AA$1,FALSE)),"",VLOOKUP($E514&amp;$F514,Results!$A$2:$G$413,AA$1,FALSE))</f>
        <v/>
      </c>
      <c r="AB514" s="16" t="str">
        <f>IF(ISERROR(VLOOKUP($E514&amp;$F514,Results!$A$2:$G$413,AB$1,FALSE)),"",VLOOKUP($E514&amp;$F514,Results!$A$2:$G$413,AB$1,FALSE))</f>
        <v/>
      </c>
      <c r="AC514" s="16"/>
      <c r="AD514" s="20" t="str">
        <f>IF(ISERROR(VLOOKUP($AB514&amp;"-"&amp;$F514,Bonuses!$B$1:$G$1000,4,FALSE)),"",INT(VLOOKUP($AB514&amp;"-"&amp;$F514,Bonuses!$B$1:$G$1000,4,FALSE)))</f>
        <v/>
      </c>
      <c r="AE514" s="16" t="str">
        <f>IF(ISERROR(VLOOKUP($AB514&amp;"-"&amp;$F514,Bonuses!$B$1:$G$1000,5,FALSE)),"",IF(VLOOKUP($AB514&amp;"-"&amp;$F514,Bonuses!$B$1:$G$1000,5,FALSE)="","",VLOOKUP($AB514&amp;"-"&amp;$F514,Bonuses!$B$1:$G$1000,6,FALSE)&amp;" yrs, "&amp;VLOOKUP($AB514&amp;"-"&amp;$F514,Bonuses!$B$1:$G$1000,5,FALSE)))</f>
        <v/>
      </c>
    </row>
    <row r="515" spans="1:31" s="21" customFormat="1">
      <c r="A515" s="21" t="s">
        <v>588</v>
      </c>
      <c r="B515" s="21">
        <f t="shared" si="28"/>
        <v>1</v>
      </c>
      <c r="C515" s="21" t="str">
        <f t="shared" si="29"/>
        <v>P</v>
      </c>
      <c r="D515" s="17">
        <f>IF($C515="B",VLOOKUP($A515,Bat!$A$4:$BD$2323,D$1,FALSE),VLOOKUP($A515,Pit!$A$4:$AZ$2261,D$2,FALSE))</f>
        <v>9392</v>
      </c>
      <c r="E515" s="16" t="str">
        <f>IF($C515="B",VLOOKUP($A515,Bat!$A$4:$BD$2323,E$1,FALSE),VLOOKUP($A515,Pit!$A$4:$AZ$2261,E$2,FALSE))</f>
        <v>MR</v>
      </c>
      <c r="F515" s="16" t="str">
        <f>IF($C515="B",VLOOKUP($A515,Bat!$A$4:$BD$2323,F$1,FALSE),VLOOKUP($A515,Pit!$A$4:$AZ$2261,F$2,FALSE))</f>
        <v>Dan Lutz</v>
      </c>
      <c r="G515" s="16">
        <f>IF($C515="B",VLOOKUP($A515,Bat!$A$4:$BD$2323,G$1,FALSE),VLOOKUP($A515,Pit!$A$4:$AZ$2261,G$2,FALSE))</f>
        <v>21</v>
      </c>
      <c r="H515" s="16" t="str">
        <f>IF($C515="B",VLOOKUP($A515,Bat!$A$4:$BD$2323,H$1,FALSE),VLOOKUP($A515,Pit!$A$4:$AZ$2261,H$2,FALSE))</f>
        <v>R</v>
      </c>
      <c r="I515" s="16" t="str">
        <f>IF($C515="B",VLOOKUP($A515,Bat!$A$4:$BD$2323,I$1,FALSE),VLOOKUP($A515,Pit!$A$4:$AZ$2261,I$2,FALSE))</f>
        <v>R</v>
      </c>
      <c r="J515" s="16" t="str">
        <f>IF($C515="B",VLOOKUP($A515,Bat!$A$4:$BD$2323,J$1,FALSE),VLOOKUP($A515,Pit!$A$4:$AZ$2261,J$2,FALSE))</f>
        <v>Very Low</v>
      </c>
      <c r="K515" s="17" t="str">
        <f>IF($C515="B",VLOOKUP($A515,Bat!$A$4:$BD$2323,K$1,FALSE),VLOOKUP($A515,Pit!$A$4:$AZ$2261,K$2,FALSE))</f>
        <v>High</v>
      </c>
      <c r="L515" s="16">
        <f>IF($C515="B",VLOOKUP($A515,Bat!$A$4:$BD$2323,L$1,FALSE),VLOOKUP($A515,Pit!$A$4:$AZ$2261,L$2,FALSE))</f>
        <v>4</v>
      </c>
      <c r="M515" s="16">
        <f>IF($C515="B",VLOOKUP($A515,Bat!$A$4:$BD$2323,M$1,FALSE),VLOOKUP($A515,Pit!$A$4:$AZ$2261,M$2,FALSE))</f>
        <v>3</v>
      </c>
      <c r="N515" s="16">
        <f>IF($C515="B",VLOOKUP($A515,Bat!$A$4:$BD$2323,N$1,FALSE),VLOOKUP($A515,Pit!$A$4:$AZ$2261,N$2,FALSE))</f>
        <v>3</v>
      </c>
      <c r="O515" s="16" t="str">
        <f>IF($C515="B",VLOOKUP($A515,Bat!$A$4:$BD$2323,O$1,FALSE),VLOOKUP($A515,Pit!$A$4:$AZ$2261,O$2,FALSE))</f>
        <v>91-93 Mph</v>
      </c>
      <c r="P515" s="17">
        <f>IF($C515="B",VLOOKUP($A515,Bat!$A$4:$BD$2323,P$1,FALSE),VLOOKUP($A515,Pit!$A$4:$AZ$2261,P$2,FALSE))</f>
        <v>8</v>
      </c>
      <c r="Q515" s="18">
        <f>IF($C515="B",VLOOKUP($A515,Bat!$A$4:$BD$2323,Q$1,FALSE),VLOOKUP($A515,Pit!$A$4:$AZ$2261,Q$2,FALSE))</f>
        <v>15.524935772201346</v>
      </c>
      <c r="R515" s="19">
        <f>IF($C515="B",VLOOKUP($A515,Bat!$A$4:$BD$2323,R$1,FALSE),VLOOKUP($A515,Pit!$A$4:$AZ$2261,R$2,FALSE))</f>
        <v>-1.4604181056691341</v>
      </c>
      <c r="S515" s="20" t="str">
        <f>IF($C515="B",VLOOKUP($A515,Bat!$A$4:$BD$2323,S$1,FALSE),VLOOKUP($A515,Pit!$A$4:$AZ$2261,S$2,FALSE))</f>
        <v>Slot</v>
      </c>
      <c r="T515" s="17" t="str">
        <f>IF(S515="Slot","",VLOOKUP(IF($C515="B",VLOOKUP($A515,Bat!$A$4:$AT$2323,T$1,FALSE),VLOOKUP($A515,Pit!$A$4:$BD$2261,T$2,FALSE)),COND!$A$34:$B$40,2,FALSE))</f>
        <v/>
      </c>
      <c r="U515" s="21">
        <f>IF($C515="B",VLOOKUP($A515,Bat!$A$4:$AR$1287,44,FALSE),VLOOKUP($A515,Pit!$A$4:$BB$1239,54,FALSE))</f>
        <v>0</v>
      </c>
      <c r="W515" s="21">
        <f t="shared" si="30"/>
        <v>0</v>
      </c>
      <c r="X515" s="22" t="e">
        <f t="shared" si="31"/>
        <v>#N/A</v>
      </c>
      <c r="Y515" s="16" t="str">
        <f>IF(ISERROR(VLOOKUP($E515&amp;$F515,Results!$A$2:$G$413,Y$1,FALSE)),"",VLOOKUP($E515&amp;$F515,Results!$A$2:$G$413,Y$1,FALSE))</f>
        <v/>
      </c>
      <c r="Z515" s="16" t="str">
        <f>IF(ISERROR(VLOOKUP($E515&amp;$F515,Results!$A$2:$G$413,Z$1,FALSE)),"",VLOOKUP($E515&amp;$F515,Results!$A$2:$G$413,Z$1,FALSE))</f>
        <v/>
      </c>
      <c r="AA515" s="16" t="str">
        <f>IF(ISERROR(VLOOKUP($E515&amp;$F515,Results!$A$2:$G$413,AA$1,FALSE)),"",VLOOKUP($E515&amp;$F515,Results!$A$2:$G$413,AA$1,FALSE))</f>
        <v/>
      </c>
      <c r="AB515" s="16" t="str">
        <f>IF(ISERROR(VLOOKUP($E515&amp;$F515,Results!$A$2:$G$413,AB$1,FALSE)),"",VLOOKUP($E515&amp;$F515,Results!$A$2:$G$413,AB$1,FALSE))</f>
        <v/>
      </c>
      <c r="AC515" s="16"/>
      <c r="AD515" s="20" t="str">
        <f>IF(ISERROR(VLOOKUP($AB515&amp;"-"&amp;$F515,Bonuses!$B$1:$G$1000,4,FALSE)),"",INT(VLOOKUP($AB515&amp;"-"&amp;$F515,Bonuses!$B$1:$G$1000,4,FALSE)))</f>
        <v/>
      </c>
      <c r="AE515" s="16" t="str">
        <f>IF(ISERROR(VLOOKUP($AB515&amp;"-"&amp;$F515,Bonuses!$B$1:$G$1000,5,FALSE)),"",IF(VLOOKUP($AB515&amp;"-"&amp;$F515,Bonuses!$B$1:$G$1000,5,FALSE)="","",VLOOKUP($AB515&amp;"-"&amp;$F515,Bonuses!$B$1:$G$1000,6,FALSE)&amp;" yrs, "&amp;VLOOKUP($AB515&amp;"-"&amp;$F515,Bonuses!$B$1:$G$1000,5,FALSE)))</f>
        <v/>
      </c>
    </row>
    <row r="516" spans="1:31" s="21" customFormat="1">
      <c r="A516" s="21" t="s">
        <v>627</v>
      </c>
      <c r="B516" s="21">
        <f t="shared" si="28"/>
        <v>1</v>
      </c>
      <c r="C516" s="21" t="str">
        <f t="shared" si="29"/>
        <v>P</v>
      </c>
      <c r="D516" s="17">
        <f>IF($C516="B",VLOOKUP($A516,Bat!$A$4:$BD$2323,D$1,FALSE),VLOOKUP($A516,Pit!$A$4:$AZ$2261,D$2,FALSE))</f>
        <v>1133</v>
      </c>
      <c r="E516" s="16" t="str">
        <f>IF($C516="B",VLOOKUP($A516,Bat!$A$4:$BD$2323,E$1,FALSE),VLOOKUP($A516,Pit!$A$4:$AZ$2261,E$2,FALSE))</f>
        <v>MR</v>
      </c>
      <c r="F516" s="16" t="str">
        <f>IF($C516="B",VLOOKUP($A516,Bat!$A$4:$BD$2323,F$1,FALSE),VLOOKUP($A516,Pit!$A$4:$AZ$2261,F$2,FALSE))</f>
        <v>Frank Cantrell</v>
      </c>
      <c r="G516" s="16">
        <f>IF($C516="B",VLOOKUP($A516,Bat!$A$4:$BD$2323,G$1,FALSE),VLOOKUP($A516,Pit!$A$4:$AZ$2261,G$2,FALSE))</f>
        <v>18</v>
      </c>
      <c r="H516" s="16" t="str">
        <f>IF($C516="B",VLOOKUP($A516,Bat!$A$4:$BD$2323,H$1,FALSE),VLOOKUP($A516,Pit!$A$4:$AZ$2261,H$2,FALSE))</f>
        <v>R</v>
      </c>
      <c r="I516" s="16" t="str">
        <f>IF($C516="B",VLOOKUP($A516,Bat!$A$4:$BD$2323,I$1,FALSE),VLOOKUP($A516,Pit!$A$4:$AZ$2261,I$2,FALSE))</f>
        <v>R</v>
      </c>
      <c r="J516" s="16" t="str">
        <f>IF($C516="B",VLOOKUP($A516,Bat!$A$4:$BD$2323,J$1,FALSE),VLOOKUP($A516,Pit!$A$4:$AZ$2261,J$2,FALSE))</f>
        <v>Very Low</v>
      </c>
      <c r="K516" s="17" t="str">
        <f>IF($C516="B",VLOOKUP($A516,Bat!$A$4:$BD$2323,K$1,FALSE),VLOOKUP($A516,Pit!$A$4:$AZ$2261,K$2,FALSE))</f>
        <v>Low</v>
      </c>
      <c r="L516" s="16">
        <f>IF($C516="B",VLOOKUP($A516,Bat!$A$4:$BD$2323,L$1,FALSE),VLOOKUP($A516,Pit!$A$4:$AZ$2261,L$2,FALSE))</f>
        <v>3</v>
      </c>
      <c r="M516" s="16">
        <f>IF($C516="B",VLOOKUP($A516,Bat!$A$4:$BD$2323,M$1,FALSE),VLOOKUP($A516,Pit!$A$4:$AZ$2261,M$2,FALSE))</f>
        <v>3</v>
      </c>
      <c r="N516" s="16">
        <f>IF($C516="B",VLOOKUP($A516,Bat!$A$4:$BD$2323,N$1,FALSE),VLOOKUP($A516,Pit!$A$4:$AZ$2261,N$2,FALSE))</f>
        <v>4</v>
      </c>
      <c r="O516" s="16" t="str">
        <f>IF($C516="B",VLOOKUP($A516,Bat!$A$4:$BD$2323,O$1,FALSE),VLOOKUP($A516,Pit!$A$4:$AZ$2261,O$2,FALSE))</f>
        <v>82-84 Mph</v>
      </c>
      <c r="P516" s="17">
        <f>IF($C516="B",VLOOKUP($A516,Bat!$A$4:$BD$2323,P$1,FALSE),VLOOKUP($A516,Pit!$A$4:$AZ$2261,P$2,FALSE))</f>
        <v>1</v>
      </c>
      <c r="Q516" s="18">
        <f>IF($C516="B",VLOOKUP($A516,Bat!$A$4:$BD$2323,Q$1,FALSE),VLOOKUP($A516,Pit!$A$4:$AZ$2261,Q$2,FALSE))</f>
        <v>14.622952817769118</v>
      </c>
      <c r="R516" s="19">
        <f>IF($C516="B",VLOOKUP($A516,Bat!$A$4:$BD$2323,R$1,FALSE),VLOOKUP($A516,Pit!$A$4:$AZ$2261,R$2,FALSE))</f>
        <v>-1.53202341189731</v>
      </c>
      <c r="S516" s="20" t="str">
        <f>IF($C516="B",VLOOKUP($A516,Bat!$A$4:$BD$2323,S$1,FALSE),VLOOKUP($A516,Pit!$A$4:$AZ$2261,S$2,FALSE))</f>
        <v>Slot</v>
      </c>
      <c r="T516" s="17" t="str">
        <f>IF(S516="Slot","",VLOOKUP(IF($C516="B",VLOOKUP($A516,Bat!$A$4:$AT$2323,T$1,FALSE),VLOOKUP($A516,Pit!$A$4:$BD$2261,T$2,FALSE)),COND!$A$34:$B$40,2,FALSE))</f>
        <v/>
      </c>
      <c r="U516" s="21">
        <f>IF($C516="B",VLOOKUP($A516,Bat!$A$4:$AR$1287,44,FALSE),VLOOKUP($A516,Pit!$A$4:$BB$1239,54,FALSE))</f>
        <v>0</v>
      </c>
      <c r="W516" s="21">
        <f t="shared" si="30"/>
        <v>0</v>
      </c>
      <c r="X516" s="22" t="e">
        <f t="shared" si="31"/>
        <v>#N/A</v>
      </c>
      <c r="Y516" s="16" t="str">
        <f>IF(ISERROR(VLOOKUP($E516&amp;$F516,Results!$A$2:$G$413,Y$1,FALSE)),"",VLOOKUP($E516&amp;$F516,Results!$A$2:$G$413,Y$1,FALSE))</f>
        <v/>
      </c>
      <c r="Z516" s="16" t="str">
        <f>IF(ISERROR(VLOOKUP($E516&amp;$F516,Results!$A$2:$G$413,Z$1,FALSE)),"",VLOOKUP($E516&amp;$F516,Results!$A$2:$G$413,Z$1,FALSE))</f>
        <v/>
      </c>
      <c r="AA516" s="16" t="str">
        <f>IF(ISERROR(VLOOKUP($E516&amp;$F516,Results!$A$2:$G$413,AA$1,FALSE)),"",VLOOKUP($E516&amp;$F516,Results!$A$2:$G$413,AA$1,FALSE))</f>
        <v/>
      </c>
      <c r="AB516" s="16" t="str">
        <f>IF(ISERROR(VLOOKUP($E516&amp;$F516,Results!$A$2:$G$413,AB$1,FALSE)),"",VLOOKUP($E516&amp;$F516,Results!$A$2:$G$413,AB$1,FALSE))</f>
        <v/>
      </c>
      <c r="AC516" s="16"/>
      <c r="AD516" s="20" t="str">
        <f>IF(ISERROR(VLOOKUP($AB516&amp;"-"&amp;$F516,Bonuses!$B$1:$G$1000,4,FALSE)),"",INT(VLOOKUP($AB516&amp;"-"&amp;$F516,Bonuses!$B$1:$G$1000,4,FALSE)))</f>
        <v/>
      </c>
      <c r="AE516" s="16" t="str">
        <f>IF(ISERROR(VLOOKUP($AB516&amp;"-"&amp;$F516,Bonuses!$B$1:$G$1000,5,FALSE)),"",IF(VLOOKUP($AB516&amp;"-"&amp;$F516,Bonuses!$B$1:$G$1000,5,FALSE)="","",VLOOKUP($AB516&amp;"-"&amp;$F516,Bonuses!$B$1:$G$1000,6,FALSE)&amp;" yrs, "&amp;VLOOKUP($AB516&amp;"-"&amp;$F516,Bonuses!$B$1:$G$1000,5,FALSE)))</f>
        <v/>
      </c>
    </row>
    <row r="517" spans="1:31" s="21" customFormat="1">
      <c r="A517" s="21" t="s">
        <v>626</v>
      </c>
      <c r="B517" s="21">
        <f t="shared" ref="B517:B580" si="32">COUNTIF($A$5:$A$598,A517)</f>
        <v>1</v>
      </c>
      <c r="C517" s="21" t="str">
        <f t="shared" ref="C517:C530" si="33">IF(OR(MID(A517,1,2)="SP",MID(A517,1,2)="MR",MID(A517,1,2)="CL",MID(A517,1,2)="RP"),"P","B")</f>
        <v>P</v>
      </c>
      <c r="D517" s="17">
        <f>IF($C517="B",VLOOKUP($A517,Bat!$A$4:$BD$2323,D$1,FALSE),VLOOKUP($A517,Pit!$A$4:$AZ$2261,D$2,FALSE))</f>
        <v>1301</v>
      </c>
      <c r="E517" s="16" t="str">
        <f>IF($C517="B",VLOOKUP($A517,Bat!$A$4:$BD$2323,E$1,FALSE),VLOOKUP($A517,Pit!$A$4:$AZ$2261,E$2,FALSE))</f>
        <v>MR</v>
      </c>
      <c r="F517" s="16" t="str">
        <f>IF($C517="B",VLOOKUP($A517,Bat!$A$4:$BD$2323,F$1,FALSE),VLOOKUP($A517,Pit!$A$4:$AZ$2261,F$2,FALSE))</f>
        <v>Steve Delp</v>
      </c>
      <c r="G517" s="16">
        <f>IF($C517="B",VLOOKUP($A517,Bat!$A$4:$BD$2323,G$1,FALSE),VLOOKUP($A517,Pit!$A$4:$AZ$2261,G$2,FALSE))</f>
        <v>18</v>
      </c>
      <c r="H517" s="16" t="str">
        <f>IF($C517="B",VLOOKUP($A517,Bat!$A$4:$BD$2323,H$1,FALSE),VLOOKUP($A517,Pit!$A$4:$AZ$2261,H$2,FALSE))</f>
        <v>L</v>
      </c>
      <c r="I517" s="16" t="str">
        <f>IF($C517="B",VLOOKUP($A517,Bat!$A$4:$BD$2323,I$1,FALSE),VLOOKUP($A517,Pit!$A$4:$AZ$2261,I$2,FALSE))</f>
        <v>L</v>
      </c>
      <c r="J517" s="16" t="str">
        <f>IF($C517="B",VLOOKUP($A517,Bat!$A$4:$BD$2323,J$1,FALSE),VLOOKUP($A517,Pit!$A$4:$AZ$2261,J$2,FALSE))</f>
        <v>Low</v>
      </c>
      <c r="K517" s="17" t="str">
        <f>IF($C517="B",VLOOKUP($A517,Bat!$A$4:$BD$2323,K$1,FALSE),VLOOKUP($A517,Pit!$A$4:$AZ$2261,K$2,FALSE))</f>
        <v>Very Low</v>
      </c>
      <c r="L517" s="16">
        <f>IF($C517="B",VLOOKUP($A517,Bat!$A$4:$BD$2323,L$1,FALSE),VLOOKUP($A517,Pit!$A$4:$AZ$2261,L$2,FALSE))</f>
        <v>3</v>
      </c>
      <c r="M517" s="16">
        <f>IF($C517="B",VLOOKUP($A517,Bat!$A$4:$BD$2323,M$1,FALSE),VLOOKUP($A517,Pit!$A$4:$AZ$2261,M$2,FALSE))</f>
        <v>4</v>
      </c>
      <c r="N517" s="16">
        <f>IF($C517="B",VLOOKUP($A517,Bat!$A$4:$BD$2323,N$1,FALSE),VLOOKUP($A517,Pit!$A$4:$AZ$2261,N$2,FALSE))</f>
        <v>3</v>
      </c>
      <c r="O517" s="16" t="str">
        <f>IF($C517="B",VLOOKUP($A517,Bat!$A$4:$BD$2323,O$1,FALSE),VLOOKUP($A517,Pit!$A$4:$AZ$2261,O$2,FALSE))</f>
        <v>84-86 Mph</v>
      </c>
      <c r="P517" s="17">
        <f>IF($C517="B",VLOOKUP($A517,Bat!$A$4:$BD$2323,P$1,FALSE),VLOOKUP($A517,Pit!$A$4:$AZ$2261,P$2,FALSE))</f>
        <v>2</v>
      </c>
      <c r="Q517" s="18">
        <f>IF($C517="B",VLOOKUP($A517,Bat!$A$4:$BD$2323,Q$1,FALSE),VLOOKUP($A517,Pit!$A$4:$AZ$2261,Q$2,FALSE))</f>
        <v>26.25</v>
      </c>
      <c r="R517" s="19">
        <f>IF($C517="B",VLOOKUP($A517,Bat!$A$4:$BD$2323,R$1,FALSE),VLOOKUP($A517,Pit!$A$4:$AZ$2261,R$2,FALSE))</f>
        <v>-0.60899236134141255</v>
      </c>
      <c r="S517" s="20" t="str">
        <f>IF($C517="B",VLOOKUP($A517,Bat!$A$4:$BD$2323,S$1,FALSE),VLOOKUP($A517,Pit!$A$4:$AZ$2261,S$2,FALSE))</f>
        <v>Slot</v>
      </c>
      <c r="T517" s="17" t="str">
        <f>IF(S517="Slot","",VLOOKUP(IF($C517="B",VLOOKUP($A517,Bat!$A$4:$AT$2323,T$1,FALSE),VLOOKUP($A517,Pit!$A$4:$BD$2261,T$2,FALSE)),COND!$A$34:$B$40,2,FALSE))</f>
        <v/>
      </c>
      <c r="U517" s="21">
        <f>IF($C517="B",VLOOKUP($A517,Bat!$A$4:$AR$1287,44,FALSE),VLOOKUP($A517,Pit!$A$4:$BB$1239,54,FALSE))</f>
        <v>0</v>
      </c>
      <c r="W517" s="21">
        <f t="shared" ref="W517:W530" si="34">IF(OR(U517=999,AND(S517&gt;$S$3,S517&lt;&gt;"Slot")),"",U517)</f>
        <v>0</v>
      </c>
      <c r="X517" s="22" t="e">
        <f t="shared" ref="X517:X530" si="35">RANK(R517,$R$5:$R$1469)</f>
        <v>#N/A</v>
      </c>
      <c r="Y517" s="16" t="str">
        <f>IF(ISERROR(VLOOKUP($E517&amp;$F517,Results!$A$2:$G$413,Y$1,FALSE)),"",VLOOKUP($E517&amp;$F517,Results!$A$2:$G$413,Y$1,FALSE))</f>
        <v/>
      </c>
      <c r="Z517" s="16" t="str">
        <f>IF(ISERROR(VLOOKUP($E517&amp;$F517,Results!$A$2:$G$413,Z$1,FALSE)),"",VLOOKUP($E517&amp;$F517,Results!$A$2:$G$413,Z$1,FALSE))</f>
        <v/>
      </c>
      <c r="AA517" s="16" t="str">
        <f>IF(ISERROR(VLOOKUP($E517&amp;$F517,Results!$A$2:$G$413,AA$1,FALSE)),"",VLOOKUP($E517&amp;$F517,Results!$A$2:$G$413,AA$1,FALSE))</f>
        <v/>
      </c>
      <c r="AB517" s="16" t="str">
        <f>IF(ISERROR(VLOOKUP($E517&amp;$F517,Results!$A$2:$G$413,AB$1,FALSE)),"",VLOOKUP($E517&amp;$F517,Results!$A$2:$G$413,AB$1,FALSE))</f>
        <v/>
      </c>
      <c r="AC517" s="16"/>
      <c r="AD517" s="20" t="str">
        <f>IF(ISERROR(VLOOKUP($AB517&amp;"-"&amp;$F517,Bonuses!$B$1:$G$1000,4,FALSE)),"",INT(VLOOKUP($AB517&amp;"-"&amp;$F517,Bonuses!$B$1:$G$1000,4,FALSE)))</f>
        <v/>
      </c>
      <c r="AE517" s="16" t="str">
        <f>IF(ISERROR(VLOOKUP($AB517&amp;"-"&amp;$F517,Bonuses!$B$1:$G$1000,5,FALSE)),"",IF(VLOOKUP($AB517&amp;"-"&amp;$F517,Bonuses!$B$1:$G$1000,5,FALSE)="","",VLOOKUP($AB517&amp;"-"&amp;$F517,Bonuses!$B$1:$G$1000,6,FALSE)&amp;" yrs, "&amp;VLOOKUP($AB517&amp;"-"&amp;$F517,Bonuses!$B$1:$G$1000,5,FALSE)))</f>
        <v/>
      </c>
    </row>
    <row r="518" spans="1:31" s="21" customFormat="1">
      <c r="A518" s="21" t="s">
        <v>625</v>
      </c>
      <c r="B518" s="21">
        <f t="shared" si="32"/>
        <v>1</v>
      </c>
      <c r="C518" s="21" t="str">
        <f t="shared" si="33"/>
        <v>P</v>
      </c>
      <c r="D518" s="17">
        <f>IF($C518="B",VLOOKUP($A518,Bat!$A$4:$BD$2323,D$1,FALSE),VLOOKUP($A518,Pit!$A$4:$AZ$2261,D$2,FALSE))</f>
        <v>13823</v>
      </c>
      <c r="E518" s="16" t="str">
        <f>IF($C518="B",VLOOKUP($A518,Bat!$A$4:$BD$2323,E$1,FALSE),VLOOKUP($A518,Pit!$A$4:$AZ$2261,E$2,FALSE))</f>
        <v>MR</v>
      </c>
      <c r="F518" s="16" t="str">
        <f>IF($C518="B",VLOOKUP($A518,Bat!$A$4:$BD$2323,F$1,FALSE),VLOOKUP($A518,Pit!$A$4:$AZ$2261,F$2,FALSE))</f>
        <v>Harris Robinson</v>
      </c>
      <c r="G518" s="16">
        <f>IF($C518="B",VLOOKUP($A518,Bat!$A$4:$BD$2323,G$1,FALSE),VLOOKUP($A518,Pit!$A$4:$AZ$2261,G$2,FALSE))</f>
        <v>18</v>
      </c>
      <c r="H518" s="16" t="str">
        <f>IF($C518="B",VLOOKUP($A518,Bat!$A$4:$BD$2323,H$1,FALSE),VLOOKUP($A518,Pit!$A$4:$AZ$2261,H$2,FALSE))</f>
        <v>R</v>
      </c>
      <c r="I518" s="16" t="str">
        <f>IF($C518="B",VLOOKUP($A518,Bat!$A$4:$BD$2323,I$1,FALSE),VLOOKUP($A518,Pit!$A$4:$AZ$2261,I$2,FALSE))</f>
        <v>L</v>
      </c>
      <c r="J518" s="16" t="str">
        <f>IF($C518="B",VLOOKUP($A518,Bat!$A$4:$BD$2323,J$1,FALSE),VLOOKUP($A518,Pit!$A$4:$AZ$2261,J$2,FALSE))</f>
        <v>Very Low</v>
      </c>
      <c r="K518" s="17" t="str">
        <f>IF($C518="B",VLOOKUP($A518,Bat!$A$4:$BD$2323,K$1,FALSE),VLOOKUP($A518,Pit!$A$4:$AZ$2261,K$2,FALSE))</f>
        <v>Normal</v>
      </c>
      <c r="L518" s="16">
        <f>IF($C518="B",VLOOKUP($A518,Bat!$A$4:$BD$2323,L$1,FALSE),VLOOKUP($A518,Pit!$A$4:$AZ$2261,L$2,FALSE))</f>
        <v>4</v>
      </c>
      <c r="M518" s="16">
        <f>IF($C518="B",VLOOKUP($A518,Bat!$A$4:$BD$2323,M$1,FALSE),VLOOKUP($A518,Pit!$A$4:$AZ$2261,M$2,FALSE))</f>
        <v>3</v>
      </c>
      <c r="N518" s="16">
        <f>IF($C518="B",VLOOKUP($A518,Bat!$A$4:$BD$2323,N$1,FALSE),VLOOKUP($A518,Pit!$A$4:$AZ$2261,N$2,FALSE))</f>
        <v>3</v>
      </c>
      <c r="O518" s="16" t="str">
        <f>IF($C518="B",VLOOKUP($A518,Bat!$A$4:$BD$2323,O$1,FALSE),VLOOKUP($A518,Pit!$A$4:$AZ$2261,O$2,FALSE))</f>
        <v>90-92 Mph</v>
      </c>
      <c r="P518" s="17">
        <f>IF($C518="B",VLOOKUP($A518,Bat!$A$4:$BD$2323,P$1,FALSE),VLOOKUP($A518,Pit!$A$4:$AZ$2261,P$2,FALSE))</f>
        <v>3</v>
      </c>
      <c r="Q518" s="18">
        <f>IF($C518="B",VLOOKUP($A518,Bat!$A$4:$BD$2323,Q$1,FALSE),VLOOKUP($A518,Pit!$A$4:$AZ$2261,Q$2,FALSE))</f>
        <v>12.453156724384256</v>
      </c>
      <c r="R518" s="19">
        <f>IF($C518="B",VLOOKUP($A518,Bat!$A$4:$BD$2323,R$1,FALSE),VLOOKUP($A518,Pit!$A$4:$AZ$2261,R$2,FALSE))</f>
        <v>-1.7042760170669085</v>
      </c>
      <c r="S518" s="20">
        <f>IF($C518="B",VLOOKUP($A518,Bat!$A$4:$BD$2323,S$1,FALSE),VLOOKUP($A518,Pit!$A$4:$AZ$2261,S$2,FALSE))</f>
        <v>3000000</v>
      </c>
      <c r="T518" s="17" t="str">
        <f>IF(S518="Slot","",VLOOKUP(IF($C518="B",VLOOKUP($A518,Bat!$A$4:$AT$2323,T$1,FALSE),VLOOKUP($A518,Pit!$A$4:$BD$2261,T$2,FALSE)),COND!$A$34:$B$40,2,FALSE))</f>
        <v>EH</v>
      </c>
      <c r="U518" s="21">
        <f>IF($C518="B",VLOOKUP($A518,Bat!$A$4:$AR$1287,44,FALSE),VLOOKUP($A518,Pit!$A$4:$BB$1239,54,FALSE))</f>
        <v>0</v>
      </c>
      <c r="W518" s="21">
        <f t="shared" si="34"/>
        <v>0</v>
      </c>
      <c r="X518" s="22" t="e">
        <f t="shared" si="35"/>
        <v>#N/A</v>
      </c>
      <c r="Y518" s="16" t="str">
        <f>IF(ISERROR(VLOOKUP($E518&amp;$F518,Results!$A$2:$G$413,Y$1,FALSE)),"",VLOOKUP($E518&amp;$F518,Results!$A$2:$G$413,Y$1,FALSE))</f>
        <v/>
      </c>
      <c r="Z518" s="16" t="str">
        <f>IF(ISERROR(VLOOKUP($E518&amp;$F518,Results!$A$2:$G$413,Z$1,FALSE)),"",VLOOKUP($E518&amp;$F518,Results!$A$2:$G$413,Z$1,FALSE))</f>
        <v/>
      </c>
      <c r="AA518" s="16" t="str">
        <f>IF(ISERROR(VLOOKUP($E518&amp;$F518,Results!$A$2:$G$413,AA$1,FALSE)),"",VLOOKUP($E518&amp;$F518,Results!$A$2:$G$413,AA$1,FALSE))</f>
        <v/>
      </c>
      <c r="AB518" s="16" t="str">
        <f>IF(ISERROR(VLOOKUP($E518&amp;$F518,Results!$A$2:$G$413,AB$1,FALSE)),"",VLOOKUP($E518&amp;$F518,Results!$A$2:$G$413,AB$1,FALSE))</f>
        <v/>
      </c>
      <c r="AC518" s="16"/>
      <c r="AD518" s="20" t="str">
        <f>IF(ISERROR(VLOOKUP($AB518&amp;"-"&amp;$F518,Bonuses!$B$1:$G$1000,4,FALSE)),"",INT(VLOOKUP($AB518&amp;"-"&amp;$F518,Bonuses!$B$1:$G$1000,4,FALSE)))</f>
        <v/>
      </c>
      <c r="AE518" s="16" t="str">
        <f>IF(ISERROR(VLOOKUP($AB518&amp;"-"&amp;$F518,Bonuses!$B$1:$G$1000,5,FALSE)),"",IF(VLOOKUP($AB518&amp;"-"&amp;$F518,Bonuses!$B$1:$G$1000,5,FALSE)="","",VLOOKUP($AB518&amp;"-"&amp;$F518,Bonuses!$B$1:$G$1000,6,FALSE)&amp;" yrs, "&amp;VLOOKUP($AB518&amp;"-"&amp;$F518,Bonuses!$B$1:$G$1000,5,FALSE)))</f>
        <v/>
      </c>
    </row>
    <row r="519" spans="1:31" s="21" customFormat="1">
      <c r="A519" s="21" t="s">
        <v>608</v>
      </c>
      <c r="B519" s="21">
        <f t="shared" si="32"/>
        <v>1</v>
      </c>
      <c r="C519" s="21" t="str">
        <f t="shared" si="33"/>
        <v>P</v>
      </c>
      <c r="D519" s="17">
        <f>IF($C519="B",VLOOKUP($A519,Bat!$A$4:$BD$2323,D$1,FALSE),VLOOKUP($A519,Pit!$A$4:$AZ$2261,D$2,FALSE))</f>
        <v>1350</v>
      </c>
      <c r="E519" s="16" t="str">
        <f>IF($C519="B",VLOOKUP($A519,Bat!$A$4:$BD$2323,E$1,FALSE),VLOOKUP($A519,Pit!$A$4:$AZ$2261,E$2,FALSE))</f>
        <v>MR</v>
      </c>
      <c r="F519" s="16" t="str">
        <f>IF($C519="B",VLOOKUP($A519,Bat!$A$4:$BD$2323,F$1,FALSE),VLOOKUP($A519,Pit!$A$4:$AZ$2261,F$2,FALSE))</f>
        <v>Vincent Huff</v>
      </c>
      <c r="G519" s="16">
        <f>IF($C519="B",VLOOKUP($A519,Bat!$A$4:$BD$2323,G$1,FALSE),VLOOKUP($A519,Pit!$A$4:$AZ$2261,G$2,FALSE))</f>
        <v>22</v>
      </c>
      <c r="H519" s="16" t="str">
        <f>IF($C519="B",VLOOKUP($A519,Bat!$A$4:$BD$2323,H$1,FALSE),VLOOKUP($A519,Pit!$A$4:$AZ$2261,H$2,FALSE))</f>
        <v>L</v>
      </c>
      <c r="I519" s="16" t="str">
        <f>IF($C519="B",VLOOKUP($A519,Bat!$A$4:$BD$2323,I$1,FALSE),VLOOKUP($A519,Pit!$A$4:$AZ$2261,I$2,FALSE))</f>
        <v>R</v>
      </c>
      <c r="J519" s="16" t="str">
        <f>IF($C519="B",VLOOKUP($A519,Bat!$A$4:$BD$2323,J$1,FALSE),VLOOKUP($A519,Pit!$A$4:$AZ$2261,J$2,FALSE))</f>
        <v>Very Low</v>
      </c>
      <c r="K519" s="17" t="str">
        <f>IF($C519="B",VLOOKUP($A519,Bat!$A$4:$BD$2323,K$1,FALSE),VLOOKUP($A519,Pit!$A$4:$AZ$2261,K$2,FALSE))</f>
        <v>Normal</v>
      </c>
      <c r="L519" s="16">
        <f>IF($C519="B",VLOOKUP($A519,Bat!$A$4:$BD$2323,L$1,FALSE),VLOOKUP($A519,Pit!$A$4:$AZ$2261,L$2,FALSE))</f>
        <v>4</v>
      </c>
      <c r="M519" s="16">
        <f>IF($C519="B",VLOOKUP($A519,Bat!$A$4:$BD$2323,M$1,FALSE),VLOOKUP($A519,Pit!$A$4:$AZ$2261,M$2,FALSE))</f>
        <v>4</v>
      </c>
      <c r="N519" s="16">
        <f>IF($C519="B",VLOOKUP($A519,Bat!$A$4:$BD$2323,N$1,FALSE),VLOOKUP($A519,Pit!$A$4:$AZ$2261,N$2,FALSE))</f>
        <v>1</v>
      </c>
      <c r="O519" s="16" t="str">
        <f>IF($C519="B",VLOOKUP($A519,Bat!$A$4:$BD$2323,O$1,FALSE),VLOOKUP($A519,Pit!$A$4:$AZ$2261,O$2,FALSE))</f>
        <v>89-90 Mph</v>
      </c>
      <c r="P519" s="17">
        <f>IF($C519="B",VLOOKUP($A519,Bat!$A$4:$BD$2323,P$1,FALSE),VLOOKUP($A519,Pit!$A$4:$AZ$2261,P$2,FALSE))</f>
        <v>7</v>
      </c>
      <c r="Q519" s="18">
        <f>IF($C519="B",VLOOKUP($A519,Bat!$A$4:$BD$2323,Q$1,FALSE),VLOOKUP($A519,Pit!$A$4:$AZ$2261,Q$2,FALSE))</f>
        <v>27</v>
      </c>
      <c r="R519" s="19">
        <f>IF($C519="B",VLOOKUP($A519,Bat!$A$4:$BD$2323,R$1,FALSE),VLOOKUP($A519,Pit!$A$4:$AZ$2261,R$2,FALSE))</f>
        <v>-0.5494524560613433</v>
      </c>
      <c r="S519" s="20" t="str">
        <f>IF($C519="B",VLOOKUP($A519,Bat!$A$4:$BD$2323,S$1,FALSE),VLOOKUP($A519,Pit!$A$4:$AZ$2261,S$2,FALSE))</f>
        <v>Slot</v>
      </c>
      <c r="T519" s="17" t="str">
        <f>IF(S519="Slot","",VLOOKUP(IF($C519="B",VLOOKUP($A519,Bat!$A$4:$AT$2323,T$1,FALSE),VLOOKUP($A519,Pit!$A$4:$BD$2261,T$2,FALSE)),COND!$A$34:$B$40,2,FALSE))</f>
        <v/>
      </c>
      <c r="U519" s="21">
        <f>IF($C519="B",VLOOKUP($A519,Bat!$A$4:$AR$1287,44,FALSE),VLOOKUP($A519,Pit!$A$4:$BB$1239,54,FALSE))</f>
        <v>0</v>
      </c>
      <c r="W519" s="21">
        <f t="shared" si="34"/>
        <v>0</v>
      </c>
      <c r="X519" s="22" t="e">
        <f t="shared" si="35"/>
        <v>#N/A</v>
      </c>
      <c r="Y519" s="16" t="str">
        <f>IF(ISERROR(VLOOKUP($E519&amp;$F519,Results!$A$2:$G$413,Y$1,FALSE)),"",VLOOKUP($E519&amp;$F519,Results!$A$2:$G$413,Y$1,FALSE))</f>
        <v/>
      </c>
      <c r="Z519" s="16" t="str">
        <f>IF(ISERROR(VLOOKUP($E519&amp;$F519,Results!$A$2:$G$413,Z$1,FALSE)),"",VLOOKUP($E519&amp;$F519,Results!$A$2:$G$413,Z$1,FALSE))</f>
        <v/>
      </c>
      <c r="AA519" s="16" t="str">
        <f>IF(ISERROR(VLOOKUP($E519&amp;$F519,Results!$A$2:$G$413,AA$1,FALSE)),"",VLOOKUP($E519&amp;$F519,Results!$A$2:$G$413,AA$1,FALSE))</f>
        <v/>
      </c>
      <c r="AB519" s="16" t="str">
        <f>IF(ISERROR(VLOOKUP($E519&amp;$F519,Results!$A$2:$G$413,AB$1,FALSE)),"",VLOOKUP($E519&amp;$F519,Results!$A$2:$G$413,AB$1,FALSE))</f>
        <v/>
      </c>
      <c r="AC519" s="16"/>
      <c r="AD519" s="20" t="str">
        <f>IF(ISERROR(VLOOKUP($AB519&amp;"-"&amp;$F519,Bonuses!$B$1:$G$1000,4,FALSE)),"",INT(VLOOKUP($AB519&amp;"-"&amp;$F519,Bonuses!$B$1:$G$1000,4,FALSE)))</f>
        <v/>
      </c>
      <c r="AE519" s="16" t="str">
        <f>IF(ISERROR(VLOOKUP($AB519&amp;"-"&amp;$F519,Bonuses!$B$1:$G$1000,5,FALSE)),"",IF(VLOOKUP($AB519&amp;"-"&amp;$F519,Bonuses!$B$1:$G$1000,5,FALSE)="","",VLOOKUP($AB519&amp;"-"&amp;$F519,Bonuses!$B$1:$G$1000,6,FALSE)&amp;" yrs, "&amp;VLOOKUP($AB519&amp;"-"&amp;$F519,Bonuses!$B$1:$G$1000,5,FALSE)))</f>
        <v/>
      </c>
    </row>
    <row r="520" spans="1:31" s="21" customFormat="1">
      <c r="A520" s="21" t="s">
        <v>766</v>
      </c>
      <c r="B520" s="21">
        <f t="shared" si="32"/>
        <v>1</v>
      </c>
      <c r="C520" s="21" t="str">
        <f t="shared" si="33"/>
        <v>P</v>
      </c>
      <c r="D520" s="17">
        <f>IF($C520="B",VLOOKUP($A520,Bat!$A$4:$BD$2323,D$1,FALSE),VLOOKUP($A520,Pit!$A$4:$AZ$2261,D$2,FALSE))</f>
        <v>2522</v>
      </c>
      <c r="E520" s="16" t="str">
        <f>IF($C520="B",VLOOKUP($A520,Bat!$A$4:$BD$2323,E$1,FALSE),VLOOKUP($A520,Pit!$A$4:$AZ$2261,E$2,FALSE))</f>
        <v>SP</v>
      </c>
      <c r="F520" s="16" t="str">
        <f>IF($C520="B",VLOOKUP($A520,Bat!$A$4:$BD$2323,F$1,FALSE),VLOOKUP($A520,Pit!$A$4:$AZ$2261,F$2,FALSE))</f>
        <v>Bartolo Esquivel</v>
      </c>
      <c r="G520" s="16">
        <f>IF($C520="B",VLOOKUP($A520,Bat!$A$4:$BD$2323,G$1,FALSE),VLOOKUP($A520,Pit!$A$4:$AZ$2261,G$2,FALSE))</f>
        <v>22</v>
      </c>
      <c r="H520" s="16" t="str">
        <f>IF($C520="B",VLOOKUP($A520,Bat!$A$4:$BD$2323,H$1,FALSE),VLOOKUP($A520,Pit!$A$4:$AZ$2261,H$2,FALSE))</f>
        <v>R</v>
      </c>
      <c r="I520" s="16" t="str">
        <f>IF($C520="B",VLOOKUP($A520,Bat!$A$4:$BD$2323,I$1,FALSE),VLOOKUP($A520,Pit!$A$4:$AZ$2261,I$2,FALSE))</f>
        <v>R</v>
      </c>
      <c r="J520" s="16" t="str">
        <f>IF($C520="B",VLOOKUP($A520,Bat!$A$4:$BD$2323,J$1,FALSE),VLOOKUP($A520,Pit!$A$4:$AZ$2261,J$2,FALSE))</f>
        <v>Normal</v>
      </c>
      <c r="K520" s="17" t="str">
        <f>IF($C520="B",VLOOKUP($A520,Bat!$A$4:$BD$2323,K$1,FALSE),VLOOKUP($A520,Pit!$A$4:$AZ$2261,K$2,FALSE))</f>
        <v>Low</v>
      </c>
      <c r="L520" s="16">
        <f>IF($C520="B",VLOOKUP($A520,Bat!$A$4:$BD$2323,L$1,FALSE),VLOOKUP($A520,Pit!$A$4:$AZ$2261,L$2,FALSE))</f>
        <v>8</v>
      </c>
      <c r="M520" s="16">
        <f>IF($C520="B",VLOOKUP($A520,Bat!$A$4:$BD$2323,M$1,FALSE),VLOOKUP($A520,Pit!$A$4:$AZ$2261,M$2,FALSE))</f>
        <v>6</v>
      </c>
      <c r="N520" s="16">
        <f>IF($C520="B",VLOOKUP($A520,Bat!$A$4:$BD$2323,N$1,FALSE),VLOOKUP($A520,Pit!$A$4:$AZ$2261,N$2,FALSE))</f>
        <v>5</v>
      </c>
      <c r="O520" s="16" t="str">
        <f>IF($C520="B",VLOOKUP($A520,Bat!$A$4:$BD$2323,O$1,FALSE),VLOOKUP($A520,Pit!$A$4:$AZ$2261,O$2,FALSE))</f>
        <v>98-100 Mph</v>
      </c>
      <c r="P520" s="17">
        <f>IF($C520="B",VLOOKUP($A520,Bat!$A$4:$BD$2323,P$1,FALSE),VLOOKUP($A520,Pit!$A$4:$AZ$2261,P$2,FALSE))</f>
        <v>9</v>
      </c>
      <c r="Q520" s="18">
        <f>IF($C520="B",VLOOKUP($A520,Bat!$A$4:$BD$2323,Q$1,FALSE),VLOOKUP($A520,Pit!$A$4:$AZ$2261,Q$2,FALSE))</f>
        <v>60.691475377045656</v>
      </c>
      <c r="R520" s="19">
        <f>IF($C520="B",VLOOKUP($A520,Bat!$A$4:$BD$2323,R$1,FALSE),VLOOKUP($A520,Pit!$A$4:$AZ$2261,R$2,FALSE))</f>
        <v>2.1251972141987689</v>
      </c>
      <c r="S520" s="20">
        <f>IF($C520="B",VLOOKUP($A520,Bat!$A$4:$BD$2323,S$1,FALSE),VLOOKUP($A520,Pit!$A$4:$AZ$2261,S$2,FALSE))</f>
        <v>2400000</v>
      </c>
      <c r="T520" s="17" t="str">
        <f>IF(S520="Slot","",VLOOKUP(IF($C520="B",VLOOKUP($A520,Bat!$A$4:$AT$2323,T$1,FALSE),VLOOKUP($A520,Pit!$A$4:$BD$2261,T$2,FALSE)),COND!$A$34:$B$40,2,FALSE))</f>
        <v>EZ</v>
      </c>
      <c r="U520" s="21">
        <f>IF($C520="B",VLOOKUP($A520,Bat!$A$4:$AR$1287,44,FALSE),VLOOKUP($A520,Pit!$A$4:$BB$1239,54,FALSE))</f>
        <v>5</v>
      </c>
      <c r="W520" s="21">
        <f t="shared" si="34"/>
        <v>5</v>
      </c>
      <c r="X520" s="22" t="e">
        <f t="shared" si="35"/>
        <v>#N/A</v>
      </c>
      <c r="Y520" s="16" t="str">
        <f>IF(ISERROR(VLOOKUP($E520&amp;$F520,Results!$A$2:$G$413,Y$1,FALSE)),"",VLOOKUP($E520&amp;$F520,Results!$A$2:$G$413,Y$1,FALSE))</f>
        <v/>
      </c>
      <c r="Z520" s="16" t="str">
        <f>IF(ISERROR(VLOOKUP($E520&amp;$F520,Results!$A$2:$G$413,Z$1,FALSE)),"",VLOOKUP($E520&amp;$F520,Results!$A$2:$G$413,Z$1,FALSE))</f>
        <v/>
      </c>
      <c r="AA520" s="16" t="str">
        <f>IF(ISERROR(VLOOKUP($E520&amp;$F520,Results!$A$2:$G$413,AA$1,FALSE)),"",VLOOKUP($E520&amp;$F520,Results!$A$2:$G$413,AA$1,FALSE))</f>
        <v/>
      </c>
      <c r="AB520" s="16" t="str">
        <f>IF(ISERROR(VLOOKUP($E520&amp;$F520,Results!$A$2:$G$413,AB$1,FALSE)),"",VLOOKUP($E520&amp;$F520,Results!$A$2:$G$413,AB$1,FALSE))</f>
        <v/>
      </c>
      <c r="AC520" s="16"/>
      <c r="AD520" s="20" t="str">
        <f>IF(ISERROR(VLOOKUP($AB520&amp;"-"&amp;$F520,Bonuses!$B$1:$G$1000,4,FALSE)),"",INT(VLOOKUP($AB520&amp;"-"&amp;$F520,Bonuses!$B$1:$G$1000,4,FALSE)))</f>
        <v/>
      </c>
      <c r="AE520" s="16" t="str">
        <f>IF(ISERROR(VLOOKUP($AB520&amp;"-"&amp;$F520,Bonuses!$B$1:$G$1000,5,FALSE)),"",IF(VLOOKUP($AB520&amp;"-"&amp;$F520,Bonuses!$B$1:$G$1000,5,FALSE)="","",VLOOKUP($AB520&amp;"-"&amp;$F520,Bonuses!$B$1:$G$1000,6,FALSE)&amp;" yrs, "&amp;VLOOKUP($AB520&amp;"-"&amp;$F520,Bonuses!$B$1:$G$1000,5,FALSE)))</f>
        <v/>
      </c>
    </row>
    <row r="521" spans="1:31" s="21" customFormat="1">
      <c r="A521" s="21" t="s">
        <v>769</v>
      </c>
      <c r="B521" s="21">
        <f t="shared" si="32"/>
        <v>1</v>
      </c>
      <c r="C521" s="21" t="str">
        <f t="shared" si="33"/>
        <v>P</v>
      </c>
      <c r="D521" s="17">
        <f>IF($C521="B",VLOOKUP($A521,Bat!$A$4:$BD$2323,D$1,FALSE),VLOOKUP($A521,Pit!$A$4:$AZ$2261,D$2,FALSE))</f>
        <v>3076</v>
      </c>
      <c r="E521" s="16" t="str">
        <f>IF($C521="B",VLOOKUP($A521,Bat!$A$4:$BD$2323,E$1,FALSE),VLOOKUP($A521,Pit!$A$4:$AZ$2261,E$2,FALSE))</f>
        <v>SP</v>
      </c>
      <c r="F521" s="16" t="str">
        <f>IF($C521="B",VLOOKUP($A521,Bat!$A$4:$BD$2323,F$1,FALSE),VLOOKUP($A521,Pit!$A$4:$AZ$2261,F$2,FALSE))</f>
        <v>Matt Allison</v>
      </c>
      <c r="G521" s="16">
        <f>IF($C521="B",VLOOKUP($A521,Bat!$A$4:$BD$2323,G$1,FALSE),VLOOKUP($A521,Pit!$A$4:$AZ$2261,G$2,FALSE))</f>
        <v>21</v>
      </c>
      <c r="H521" s="16" t="str">
        <f>IF($C521="B",VLOOKUP($A521,Bat!$A$4:$BD$2323,H$1,FALSE),VLOOKUP($A521,Pit!$A$4:$AZ$2261,H$2,FALSE))</f>
        <v>R</v>
      </c>
      <c r="I521" s="16" t="str">
        <f>IF($C521="B",VLOOKUP($A521,Bat!$A$4:$BD$2323,I$1,FALSE),VLOOKUP($A521,Pit!$A$4:$AZ$2261,I$2,FALSE))</f>
        <v>R</v>
      </c>
      <c r="J521" s="16" t="str">
        <f>IF($C521="B",VLOOKUP($A521,Bat!$A$4:$BD$2323,J$1,FALSE),VLOOKUP($A521,Pit!$A$4:$AZ$2261,J$2,FALSE))</f>
        <v>High</v>
      </c>
      <c r="K521" s="17" t="str">
        <f>IF($C521="B",VLOOKUP($A521,Bat!$A$4:$BD$2323,K$1,FALSE),VLOOKUP($A521,Pit!$A$4:$AZ$2261,K$2,FALSE))</f>
        <v>Normal</v>
      </c>
      <c r="L521" s="16">
        <f>IF($C521="B",VLOOKUP($A521,Bat!$A$4:$BD$2323,L$1,FALSE),VLOOKUP($A521,Pit!$A$4:$AZ$2261,L$2,FALSE))</f>
        <v>7</v>
      </c>
      <c r="M521" s="16">
        <f>IF($C521="B",VLOOKUP($A521,Bat!$A$4:$BD$2323,M$1,FALSE),VLOOKUP($A521,Pit!$A$4:$AZ$2261,M$2,FALSE))</f>
        <v>6</v>
      </c>
      <c r="N521" s="16">
        <f>IF($C521="B",VLOOKUP($A521,Bat!$A$4:$BD$2323,N$1,FALSE),VLOOKUP($A521,Pit!$A$4:$AZ$2261,N$2,FALSE))</f>
        <v>7</v>
      </c>
      <c r="O521" s="16" t="str">
        <f>IF($C521="B",VLOOKUP($A521,Bat!$A$4:$BD$2323,O$1,FALSE),VLOOKUP($A521,Pit!$A$4:$AZ$2261,O$2,FALSE))</f>
        <v>97-99 Mph</v>
      </c>
      <c r="P521" s="17">
        <f>IF($C521="B",VLOOKUP($A521,Bat!$A$4:$BD$2323,P$1,FALSE),VLOOKUP($A521,Pit!$A$4:$AZ$2261,P$2,FALSE))</f>
        <v>8</v>
      </c>
      <c r="Q521" s="18">
        <f>IF($C521="B",VLOOKUP($A521,Bat!$A$4:$BD$2323,Q$1,FALSE),VLOOKUP($A521,Pit!$A$4:$AZ$2261,Q$2,FALSE))</f>
        <v>64.848080328300085</v>
      </c>
      <c r="R521" s="19">
        <f>IF($C521="B",VLOOKUP($A521,Bat!$A$4:$BD$2323,R$1,FALSE),VLOOKUP($A521,Pit!$A$4:$AZ$2261,R$2,FALSE))</f>
        <v>2.45517570097791</v>
      </c>
      <c r="S521" s="20">
        <f>IF($C521="B",VLOOKUP($A521,Bat!$A$4:$BD$2323,S$1,FALSE),VLOOKUP($A521,Pit!$A$4:$AZ$2261,S$2,FALSE))</f>
        <v>6500000</v>
      </c>
      <c r="T521" s="17" t="str">
        <f>IF(S521="Slot","",VLOOKUP(IF($C521="B",VLOOKUP($A521,Bat!$A$4:$AT$2323,T$1,FALSE),VLOOKUP($A521,Pit!$A$4:$BD$2261,T$2,FALSE)),COND!$A$34:$B$40,2,FALSE))</f>
        <v>EH</v>
      </c>
      <c r="U521" s="21">
        <f>IF($C521="B",VLOOKUP($A521,Bat!$A$4:$AR$1287,44,FALSE),VLOOKUP($A521,Pit!$A$4:$BB$1239,54,FALSE))</f>
        <v>2</v>
      </c>
      <c r="W521" s="21">
        <f t="shared" si="34"/>
        <v>2</v>
      </c>
      <c r="X521" s="22" t="e">
        <f t="shared" si="35"/>
        <v>#N/A</v>
      </c>
      <c r="Y521" s="16" t="str">
        <f>IF(ISERROR(VLOOKUP($E521&amp;$F521,Results!$A$2:$G$413,Y$1,FALSE)),"",VLOOKUP($E521&amp;$F521,Results!$A$2:$G$413,Y$1,FALSE))</f>
        <v/>
      </c>
      <c r="Z521" s="16" t="str">
        <f>IF(ISERROR(VLOOKUP($E521&amp;$F521,Results!$A$2:$G$413,Z$1,FALSE)),"",VLOOKUP($E521&amp;$F521,Results!$A$2:$G$413,Z$1,FALSE))</f>
        <v/>
      </c>
      <c r="AA521" s="16" t="str">
        <f>IF(ISERROR(VLOOKUP($E521&amp;$F521,Results!$A$2:$G$413,AA$1,FALSE)),"",VLOOKUP($E521&amp;$F521,Results!$A$2:$G$413,AA$1,FALSE))</f>
        <v/>
      </c>
      <c r="AB521" s="16" t="str">
        <f>IF(ISERROR(VLOOKUP($E521&amp;$F521,Results!$A$2:$G$413,AB$1,FALSE)),"",VLOOKUP($E521&amp;$F521,Results!$A$2:$G$413,AB$1,FALSE))</f>
        <v/>
      </c>
      <c r="AC521" s="16"/>
      <c r="AD521" s="20" t="str">
        <f>IF(ISERROR(VLOOKUP($AB521&amp;"-"&amp;$F521,Bonuses!$B$1:$G$1000,4,FALSE)),"",INT(VLOOKUP($AB521&amp;"-"&amp;$F521,Bonuses!$B$1:$G$1000,4,FALSE)))</f>
        <v/>
      </c>
      <c r="AE521" s="16" t="str">
        <f>IF(ISERROR(VLOOKUP($AB521&amp;"-"&amp;$F521,Bonuses!$B$1:$G$1000,5,FALSE)),"",IF(VLOOKUP($AB521&amp;"-"&amp;$F521,Bonuses!$B$1:$G$1000,5,FALSE)="","",VLOOKUP($AB521&amp;"-"&amp;$F521,Bonuses!$B$1:$G$1000,6,FALSE)&amp;" yrs, "&amp;VLOOKUP($AB521&amp;"-"&amp;$F521,Bonuses!$B$1:$G$1000,5,FALSE)))</f>
        <v/>
      </c>
    </row>
    <row r="522" spans="1:31" s="21" customFormat="1">
      <c r="A522" s="21" t="s">
        <v>772</v>
      </c>
      <c r="B522" s="21">
        <f t="shared" si="32"/>
        <v>1</v>
      </c>
      <c r="C522" s="21" t="str">
        <f t="shared" si="33"/>
        <v>P</v>
      </c>
      <c r="D522" s="17">
        <f>IF($C522="B",VLOOKUP($A522,Bat!$A$4:$BD$2323,D$1,FALSE),VLOOKUP($A522,Pit!$A$4:$AZ$2261,D$2,FALSE))</f>
        <v>3215</v>
      </c>
      <c r="E522" s="16" t="str">
        <f>IF($C522="B",VLOOKUP($A522,Bat!$A$4:$BD$2323,E$1,FALSE),VLOOKUP($A522,Pit!$A$4:$AZ$2261,E$2,FALSE))</f>
        <v>SP</v>
      </c>
      <c r="F522" s="16" t="str">
        <f>IF($C522="B",VLOOKUP($A522,Bat!$A$4:$BD$2323,F$1,FALSE),VLOOKUP($A522,Pit!$A$4:$AZ$2261,F$2,FALSE))</f>
        <v>Tom Hill</v>
      </c>
      <c r="G522" s="16">
        <f>IF($C522="B",VLOOKUP($A522,Bat!$A$4:$BD$2323,G$1,FALSE),VLOOKUP($A522,Pit!$A$4:$AZ$2261,G$2,FALSE))</f>
        <v>22</v>
      </c>
      <c r="H522" s="16" t="str">
        <f>IF($C522="B",VLOOKUP($A522,Bat!$A$4:$BD$2323,H$1,FALSE),VLOOKUP($A522,Pit!$A$4:$AZ$2261,H$2,FALSE))</f>
        <v>L</v>
      </c>
      <c r="I522" s="16" t="str">
        <f>IF($C522="B",VLOOKUP($A522,Bat!$A$4:$BD$2323,I$1,FALSE),VLOOKUP($A522,Pit!$A$4:$AZ$2261,I$2,FALSE))</f>
        <v>R</v>
      </c>
      <c r="J522" s="16" t="str">
        <f>IF($C522="B",VLOOKUP($A522,Bat!$A$4:$BD$2323,J$1,FALSE),VLOOKUP($A522,Pit!$A$4:$AZ$2261,J$2,FALSE))</f>
        <v>Normal</v>
      </c>
      <c r="K522" s="17" t="str">
        <f>IF($C522="B",VLOOKUP($A522,Bat!$A$4:$BD$2323,K$1,FALSE),VLOOKUP($A522,Pit!$A$4:$AZ$2261,K$2,FALSE))</f>
        <v>High</v>
      </c>
      <c r="L522" s="16">
        <f>IF($C522="B",VLOOKUP($A522,Bat!$A$4:$BD$2323,L$1,FALSE),VLOOKUP($A522,Pit!$A$4:$AZ$2261,L$2,FALSE))</f>
        <v>5</v>
      </c>
      <c r="M522" s="16">
        <f>IF($C522="B",VLOOKUP($A522,Bat!$A$4:$BD$2323,M$1,FALSE),VLOOKUP($A522,Pit!$A$4:$AZ$2261,M$2,FALSE))</f>
        <v>6</v>
      </c>
      <c r="N522" s="16">
        <f>IF($C522="B",VLOOKUP($A522,Bat!$A$4:$BD$2323,N$1,FALSE),VLOOKUP($A522,Pit!$A$4:$AZ$2261,N$2,FALSE))</f>
        <v>8</v>
      </c>
      <c r="O522" s="16" t="str">
        <f>IF($C522="B",VLOOKUP($A522,Bat!$A$4:$BD$2323,O$1,FALSE),VLOOKUP($A522,Pit!$A$4:$AZ$2261,O$2,FALSE))</f>
        <v>95-97 Mph</v>
      </c>
      <c r="P522" s="17">
        <f>IF($C522="B",VLOOKUP($A522,Bat!$A$4:$BD$2323,P$1,FALSE),VLOOKUP($A522,Pit!$A$4:$AZ$2261,P$2,FALSE))</f>
        <v>5</v>
      </c>
      <c r="Q522" s="18">
        <f>IF($C522="B",VLOOKUP($A522,Bat!$A$4:$BD$2323,Q$1,FALSE),VLOOKUP($A522,Pit!$A$4:$AZ$2261,Q$2,FALSE))</f>
        <v>60.621887443198993</v>
      </c>
      <c r="R522" s="19">
        <f>IF($C522="B",VLOOKUP($A522,Bat!$A$4:$BD$2323,R$1,FALSE),VLOOKUP($A522,Pit!$A$4:$AZ$2261,R$2,FALSE))</f>
        <v>2.1196728688789479</v>
      </c>
      <c r="S522" s="20" t="str">
        <f>IF($C522="B",VLOOKUP($A522,Bat!$A$4:$BD$2323,S$1,FALSE),VLOOKUP($A522,Pit!$A$4:$AZ$2261,S$2,FALSE))</f>
        <v>Slot</v>
      </c>
      <c r="T522" s="17" t="str">
        <f>IF(S522="Slot","",VLOOKUP(IF($C522="B",VLOOKUP($A522,Bat!$A$4:$AT$2323,T$1,FALSE),VLOOKUP($A522,Pit!$A$4:$BD$2261,T$2,FALSE)),COND!$A$34:$B$40,2,FALSE))</f>
        <v/>
      </c>
      <c r="U522" s="21">
        <f>IF($C522="B",VLOOKUP($A522,Bat!$A$4:$AR$1287,44,FALSE),VLOOKUP($A522,Pit!$A$4:$BB$1239,54,FALSE))</f>
        <v>0</v>
      </c>
      <c r="W522" s="21">
        <f t="shared" si="34"/>
        <v>0</v>
      </c>
      <c r="X522" s="22" t="e">
        <f t="shared" si="35"/>
        <v>#N/A</v>
      </c>
      <c r="Y522" s="16" t="str">
        <f>IF(ISERROR(VLOOKUP($E522&amp;$F522,Results!$A$2:$G$413,Y$1,FALSE)),"",VLOOKUP($E522&amp;$F522,Results!$A$2:$G$413,Y$1,FALSE))</f>
        <v/>
      </c>
      <c r="Z522" s="16" t="str">
        <f>IF(ISERROR(VLOOKUP($E522&amp;$F522,Results!$A$2:$G$413,Z$1,FALSE)),"",VLOOKUP($E522&amp;$F522,Results!$A$2:$G$413,Z$1,FALSE))</f>
        <v/>
      </c>
      <c r="AA522" s="16" t="str">
        <f>IF(ISERROR(VLOOKUP($E522&amp;$F522,Results!$A$2:$G$413,AA$1,FALSE)),"",VLOOKUP($E522&amp;$F522,Results!$A$2:$G$413,AA$1,FALSE))</f>
        <v/>
      </c>
      <c r="AB522" s="16" t="str">
        <f>IF(ISERROR(VLOOKUP($E522&amp;$F522,Results!$A$2:$G$413,AB$1,FALSE)),"",VLOOKUP($E522&amp;$F522,Results!$A$2:$G$413,AB$1,FALSE))</f>
        <v/>
      </c>
      <c r="AC522" s="16"/>
      <c r="AD522" s="20" t="str">
        <f>IF(ISERROR(VLOOKUP($AB522&amp;"-"&amp;$F522,Bonuses!$B$1:$G$1000,4,FALSE)),"",INT(VLOOKUP($AB522&amp;"-"&amp;$F522,Bonuses!$B$1:$G$1000,4,FALSE)))</f>
        <v/>
      </c>
      <c r="AE522" s="16" t="str">
        <f>IF(ISERROR(VLOOKUP($AB522&amp;"-"&amp;$F522,Bonuses!$B$1:$G$1000,5,FALSE)),"",IF(VLOOKUP($AB522&amp;"-"&amp;$F522,Bonuses!$B$1:$G$1000,5,FALSE)="","",VLOOKUP($AB522&amp;"-"&amp;$F522,Bonuses!$B$1:$G$1000,6,FALSE)&amp;" yrs, "&amp;VLOOKUP($AB522&amp;"-"&amp;$F522,Bonuses!$B$1:$G$1000,5,FALSE)))</f>
        <v/>
      </c>
    </row>
    <row r="523" spans="1:31" s="21" customFormat="1">
      <c r="A523" s="21" t="s">
        <v>768</v>
      </c>
      <c r="B523" s="21">
        <f t="shared" si="32"/>
        <v>1</v>
      </c>
      <c r="C523" s="21" t="str">
        <f t="shared" si="33"/>
        <v>P</v>
      </c>
      <c r="D523" s="17">
        <f>IF($C523="B",VLOOKUP($A523,Bat!$A$4:$BD$2323,D$1,FALSE),VLOOKUP($A523,Pit!$A$4:$AZ$2261,D$2,FALSE))</f>
        <v>2478</v>
      </c>
      <c r="E523" s="16" t="str">
        <f>IF($C523="B",VLOOKUP($A523,Bat!$A$4:$BD$2323,E$1,FALSE),VLOOKUP($A523,Pit!$A$4:$AZ$2261,E$2,FALSE))</f>
        <v>SP</v>
      </c>
      <c r="F523" s="16" t="str">
        <f>IF($C523="B",VLOOKUP($A523,Bat!$A$4:$BD$2323,F$1,FALSE),VLOOKUP($A523,Pit!$A$4:$AZ$2261,F$2,FALSE))</f>
        <v>Miguel Angel Romero</v>
      </c>
      <c r="G523" s="16">
        <f>IF($C523="B",VLOOKUP($A523,Bat!$A$4:$BD$2323,G$1,FALSE),VLOOKUP($A523,Pit!$A$4:$AZ$2261,G$2,FALSE))</f>
        <v>21</v>
      </c>
      <c r="H523" s="16" t="str">
        <f>IF($C523="B",VLOOKUP($A523,Bat!$A$4:$BD$2323,H$1,FALSE),VLOOKUP($A523,Pit!$A$4:$AZ$2261,H$2,FALSE))</f>
        <v>R</v>
      </c>
      <c r="I523" s="16" t="str">
        <f>IF($C523="B",VLOOKUP($A523,Bat!$A$4:$BD$2323,I$1,FALSE),VLOOKUP($A523,Pit!$A$4:$AZ$2261,I$2,FALSE))</f>
        <v>R</v>
      </c>
      <c r="J523" s="16" t="str">
        <f>IF($C523="B",VLOOKUP($A523,Bat!$A$4:$BD$2323,J$1,FALSE),VLOOKUP($A523,Pit!$A$4:$AZ$2261,J$2,FALSE))</f>
        <v>Very Low</v>
      </c>
      <c r="K523" s="17" t="str">
        <f>IF($C523="B",VLOOKUP($A523,Bat!$A$4:$BD$2323,K$1,FALSE),VLOOKUP($A523,Pit!$A$4:$AZ$2261,K$2,FALSE))</f>
        <v>Normal</v>
      </c>
      <c r="L523" s="16">
        <f>IF($C523="B",VLOOKUP($A523,Bat!$A$4:$BD$2323,L$1,FALSE),VLOOKUP($A523,Pit!$A$4:$AZ$2261,L$2,FALSE))</f>
        <v>6</v>
      </c>
      <c r="M523" s="16">
        <f>IF($C523="B",VLOOKUP($A523,Bat!$A$4:$BD$2323,M$1,FALSE),VLOOKUP($A523,Pit!$A$4:$AZ$2261,M$2,FALSE))</f>
        <v>7</v>
      </c>
      <c r="N523" s="16">
        <f>IF($C523="B",VLOOKUP($A523,Bat!$A$4:$BD$2323,N$1,FALSE),VLOOKUP($A523,Pit!$A$4:$AZ$2261,N$2,FALSE))</f>
        <v>8</v>
      </c>
      <c r="O523" s="16" t="str">
        <f>IF($C523="B",VLOOKUP($A523,Bat!$A$4:$BD$2323,O$1,FALSE),VLOOKUP($A523,Pit!$A$4:$AZ$2261,O$2,FALSE))</f>
        <v>95-97 Mph</v>
      </c>
      <c r="P523" s="17">
        <f>IF($C523="B",VLOOKUP($A523,Bat!$A$4:$BD$2323,P$1,FALSE),VLOOKUP($A523,Pit!$A$4:$AZ$2261,P$2,FALSE))</f>
        <v>10</v>
      </c>
      <c r="Q523" s="18">
        <f>IF($C523="B",VLOOKUP($A523,Bat!$A$4:$BD$2323,Q$1,FALSE),VLOOKUP($A523,Pit!$A$4:$AZ$2261,Q$2,FALSE))</f>
        <v>66.940536284372158</v>
      </c>
      <c r="R523" s="19">
        <f>IF($C523="B",VLOOKUP($A523,Bat!$A$4:$BD$2323,R$1,FALSE),VLOOKUP($A523,Pit!$A$4:$AZ$2261,R$2,FALSE))</f>
        <v>2.6212885402142407</v>
      </c>
      <c r="S523" s="20">
        <f>IF($C523="B",VLOOKUP($A523,Bat!$A$4:$BD$2323,S$1,FALSE),VLOOKUP($A523,Pit!$A$4:$AZ$2261,S$2,FALSE))</f>
        <v>2200000</v>
      </c>
      <c r="T523" s="17" t="str">
        <f>IF(S523="Slot","",VLOOKUP(IF($C523="B",VLOOKUP($A523,Bat!$A$4:$AT$2323,T$1,FALSE),VLOOKUP($A523,Pit!$A$4:$BD$2261,T$2,FALSE)),COND!$A$34:$B$40,2,FALSE))</f>
        <v>EH</v>
      </c>
      <c r="U523" s="21">
        <f>IF($C523="B",VLOOKUP($A523,Bat!$A$4:$AR$1287,44,FALSE),VLOOKUP($A523,Pit!$A$4:$BB$1239,54,FALSE))</f>
        <v>10</v>
      </c>
      <c r="W523" s="21">
        <f t="shared" si="34"/>
        <v>10</v>
      </c>
      <c r="X523" s="22" t="e">
        <f t="shared" si="35"/>
        <v>#N/A</v>
      </c>
      <c r="Y523" s="16" t="str">
        <f>IF(ISERROR(VLOOKUP($E523&amp;$F523,Results!$A$2:$G$413,Y$1,FALSE)),"",VLOOKUP($E523&amp;$F523,Results!$A$2:$G$413,Y$1,FALSE))</f>
        <v/>
      </c>
      <c r="Z523" s="16" t="str">
        <f>IF(ISERROR(VLOOKUP($E523&amp;$F523,Results!$A$2:$G$413,Z$1,FALSE)),"",VLOOKUP($E523&amp;$F523,Results!$A$2:$G$413,Z$1,FALSE))</f>
        <v/>
      </c>
      <c r="AA523" s="16" t="str">
        <f>IF(ISERROR(VLOOKUP($E523&amp;$F523,Results!$A$2:$G$413,AA$1,FALSE)),"",VLOOKUP($E523&amp;$F523,Results!$A$2:$G$413,AA$1,FALSE))</f>
        <v/>
      </c>
      <c r="AB523" s="16" t="str">
        <f>IF(ISERROR(VLOOKUP($E523&amp;$F523,Results!$A$2:$G$413,AB$1,FALSE)),"",VLOOKUP($E523&amp;$F523,Results!$A$2:$G$413,AB$1,FALSE))</f>
        <v/>
      </c>
      <c r="AC523" s="16"/>
      <c r="AD523" s="20" t="str">
        <f>IF(ISERROR(VLOOKUP($AB523&amp;"-"&amp;$F523,Bonuses!$B$1:$G$1000,4,FALSE)),"",INT(VLOOKUP($AB523&amp;"-"&amp;$F523,Bonuses!$B$1:$G$1000,4,FALSE)))</f>
        <v/>
      </c>
      <c r="AE523" s="16" t="str">
        <f>IF(ISERROR(VLOOKUP($AB523&amp;"-"&amp;$F523,Bonuses!$B$1:$G$1000,5,FALSE)),"",IF(VLOOKUP($AB523&amp;"-"&amp;$F523,Bonuses!$B$1:$G$1000,5,FALSE)="","",VLOOKUP($AB523&amp;"-"&amp;$F523,Bonuses!$B$1:$G$1000,6,FALSE)&amp;" yrs, "&amp;VLOOKUP($AB523&amp;"-"&amp;$F523,Bonuses!$B$1:$G$1000,5,FALSE)))</f>
        <v/>
      </c>
    </row>
    <row r="524" spans="1:31" s="21" customFormat="1">
      <c r="A524" s="21" t="s">
        <v>767</v>
      </c>
      <c r="B524" s="21">
        <f t="shared" si="32"/>
        <v>1</v>
      </c>
      <c r="C524" s="21" t="str">
        <f t="shared" si="33"/>
        <v>P</v>
      </c>
      <c r="D524" s="17">
        <f>IF($C524="B",VLOOKUP($A524,Bat!$A$4:$BD$2323,D$1,FALSE),VLOOKUP($A524,Pit!$A$4:$AZ$2261,D$2,FALSE))</f>
        <v>6033</v>
      </c>
      <c r="E524" s="16" t="str">
        <f>IF($C524="B",VLOOKUP($A524,Bat!$A$4:$BD$2323,E$1,FALSE),VLOOKUP($A524,Pit!$A$4:$AZ$2261,E$2,FALSE))</f>
        <v>SP</v>
      </c>
      <c r="F524" s="16" t="str">
        <f>IF($C524="B",VLOOKUP($A524,Bat!$A$4:$BD$2323,F$1,FALSE),VLOOKUP($A524,Pit!$A$4:$AZ$2261,F$2,FALSE))</f>
        <v>Manuel Pacheco</v>
      </c>
      <c r="G524" s="16">
        <f>IF($C524="B",VLOOKUP($A524,Bat!$A$4:$BD$2323,G$1,FALSE),VLOOKUP($A524,Pit!$A$4:$AZ$2261,G$2,FALSE))</f>
        <v>20</v>
      </c>
      <c r="H524" s="16" t="str">
        <f>IF($C524="B",VLOOKUP($A524,Bat!$A$4:$BD$2323,H$1,FALSE),VLOOKUP($A524,Pit!$A$4:$AZ$2261,H$2,FALSE))</f>
        <v>S</v>
      </c>
      <c r="I524" s="16" t="str">
        <f>IF($C524="B",VLOOKUP($A524,Bat!$A$4:$BD$2323,I$1,FALSE),VLOOKUP($A524,Pit!$A$4:$AZ$2261,I$2,FALSE))</f>
        <v>L</v>
      </c>
      <c r="J524" s="16" t="str">
        <f>IF($C524="B",VLOOKUP($A524,Bat!$A$4:$BD$2323,J$1,FALSE),VLOOKUP($A524,Pit!$A$4:$AZ$2261,J$2,FALSE))</f>
        <v>Normal</v>
      </c>
      <c r="K524" s="17" t="str">
        <f>IF($C524="B",VLOOKUP($A524,Bat!$A$4:$BD$2323,K$1,FALSE),VLOOKUP($A524,Pit!$A$4:$AZ$2261,K$2,FALSE))</f>
        <v>Low</v>
      </c>
      <c r="L524" s="16">
        <f>IF($C524="B",VLOOKUP($A524,Bat!$A$4:$BD$2323,L$1,FALSE),VLOOKUP($A524,Pit!$A$4:$AZ$2261,L$2,FALSE))</f>
        <v>7</v>
      </c>
      <c r="M524" s="16">
        <f>IF($C524="B",VLOOKUP($A524,Bat!$A$4:$BD$2323,M$1,FALSE),VLOOKUP($A524,Pit!$A$4:$AZ$2261,M$2,FALSE))</f>
        <v>8</v>
      </c>
      <c r="N524" s="16">
        <f>IF($C524="B",VLOOKUP($A524,Bat!$A$4:$BD$2323,N$1,FALSE),VLOOKUP($A524,Pit!$A$4:$AZ$2261,N$2,FALSE))</f>
        <v>8</v>
      </c>
      <c r="O524" s="16" t="str">
        <f>IF($C524="B",VLOOKUP($A524,Bat!$A$4:$BD$2323,O$1,FALSE),VLOOKUP($A524,Pit!$A$4:$AZ$2261,O$2,FALSE))</f>
        <v>96-98 Mph</v>
      </c>
      <c r="P524" s="17">
        <f>IF($C524="B",VLOOKUP($A524,Bat!$A$4:$BD$2323,P$1,FALSE),VLOOKUP($A524,Pit!$A$4:$AZ$2261,P$2,FALSE))</f>
        <v>8</v>
      </c>
      <c r="Q524" s="18">
        <f>IF($C524="B",VLOOKUP($A524,Bat!$A$4:$BD$2323,Q$1,FALSE),VLOOKUP($A524,Pit!$A$4:$AZ$2261,Q$2,FALSE))</f>
        <v>76.333120144095986</v>
      </c>
      <c r="R524" s="19">
        <f>IF($C524="B",VLOOKUP($A524,Bat!$A$4:$BD$2323,R$1,FALSE),VLOOKUP($A524,Pit!$A$4:$AZ$2261,R$2,FALSE))</f>
        <v>3.3669332780049928</v>
      </c>
      <c r="S524" s="20">
        <f>IF($C524="B",VLOOKUP($A524,Bat!$A$4:$BD$2323,S$1,FALSE),VLOOKUP($A524,Pit!$A$4:$AZ$2261,S$2,FALSE))</f>
        <v>280000</v>
      </c>
      <c r="T524" s="17" t="str">
        <f>IF(S524="Slot","",VLOOKUP(IF($C524="B",VLOOKUP($A524,Bat!$A$4:$AT$2323,T$1,FALSE),VLOOKUP($A524,Pit!$A$4:$BD$2261,T$2,FALSE)),COND!$A$34:$B$40,2,FALSE))</f>
        <v>N</v>
      </c>
      <c r="U524" s="21">
        <f>IF($C524="B",VLOOKUP($A524,Bat!$A$4:$AR$1287,44,FALSE),VLOOKUP($A524,Pit!$A$4:$BB$1239,54,FALSE))</f>
        <v>1</v>
      </c>
      <c r="W524" s="21">
        <f t="shared" si="34"/>
        <v>1</v>
      </c>
      <c r="X524" s="22" t="e">
        <f t="shared" si="35"/>
        <v>#N/A</v>
      </c>
      <c r="Y524" s="16" t="str">
        <f>IF(ISERROR(VLOOKUP($E524&amp;$F524,Results!$A$2:$G$413,Y$1,FALSE)),"",VLOOKUP($E524&amp;$F524,Results!$A$2:$G$413,Y$1,FALSE))</f>
        <v/>
      </c>
      <c r="Z524" s="16" t="str">
        <f>IF(ISERROR(VLOOKUP($E524&amp;$F524,Results!$A$2:$G$413,Z$1,FALSE)),"",VLOOKUP($E524&amp;$F524,Results!$A$2:$G$413,Z$1,FALSE))</f>
        <v/>
      </c>
      <c r="AA524" s="16" t="str">
        <f>IF(ISERROR(VLOOKUP($E524&amp;$F524,Results!$A$2:$G$413,AA$1,FALSE)),"",VLOOKUP($E524&amp;$F524,Results!$A$2:$G$413,AA$1,FALSE))</f>
        <v/>
      </c>
      <c r="AB524" s="16" t="str">
        <f>IF(ISERROR(VLOOKUP($E524&amp;$F524,Results!$A$2:$G$413,AB$1,FALSE)),"",VLOOKUP($E524&amp;$F524,Results!$A$2:$G$413,AB$1,FALSE))</f>
        <v/>
      </c>
      <c r="AC524" s="16"/>
      <c r="AD524" s="20" t="str">
        <f>IF(ISERROR(VLOOKUP($AB524&amp;"-"&amp;$F524,Bonuses!$B$1:$G$1000,4,FALSE)),"",INT(VLOOKUP($AB524&amp;"-"&amp;$F524,Bonuses!$B$1:$G$1000,4,FALSE)))</f>
        <v/>
      </c>
      <c r="AE524" s="16" t="str">
        <f>IF(ISERROR(VLOOKUP($AB524&amp;"-"&amp;$F524,Bonuses!$B$1:$G$1000,5,FALSE)),"",IF(VLOOKUP($AB524&amp;"-"&amp;$F524,Bonuses!$B$1:$G$1000,5,FALSE)="","",VLOOKUP($AB524&amp;"-"&amp;$F524,Bonuses!$B$1:$G$1000,6,FALSE)&amp;" yrs, "&amp;VLOOKUP($AB524&amp;"-"&amp;$F524,Bonuses!$B$1:$G$1000,5,FALSE)))</f>
        <v/>
      </c>
    </row>
    <row r="525" spans="1:31" s="21" customFormat="1">
      <c r="A525" s="21" t="s">
        <v>776</v>
      </c>
      <c r="B525" s="21">
        <f t="shared" si="32"/>
        <v>1</v>
      </c>
      <c r="C525" s="21" t="str">
        <f t="shared" si="33"/>
        <v>P</v>
      </c>
      <c r="D525" s="17">
        <f>IF($C525="B",VLOOKUP($A525,Bat!$A$4:$BD$2323,D$1,FALSE),VLOOKUP($A525,Pit!$A$4:$AZ$2261,D$2,FALSE))</f>
        <v>2392</v>
      </c>
      <c r="E525" s="16" t="str">
        <f>IF($C525="B",VLOOKUP($A525,Bat!$A$4:$BD$2323,E$1,FALSE),VLOOKUP($A525,Pit!$A$4:$AZ$2261,E$2,FALSE))</f>
        <v>SP</v>
      </c>
      <c r="F525" s="16" t="str">
        <f>IF($C525="B",VLOOKUP($A525,Bat!$A$4:$BD$2323,F$1,FALSE),VLOOKUP($A525,Pit!$A$4:$AZ$2261,F$2,FALSE))</f>
        <v>Miguel Franco</v>
      </c>
      <c r="G525" s="16">
        <f>IF($C525="B",VLOOKUP($A525,Bat!$A$4:$BD$2323,G$1,FALSE),VLOOKUP($A525,Pit!$A$4:$AZ$2261,G$2,FALSE))</f>
        <v>22</v>
      </c>
      <c r="H525" s="16" t="str">
        <f>IF($C525="B",VLOOKUP($A525,Bat!$A$4:$BD$2323,H$1,FALSE),VLOOKUP($A525,Pit!$A$4:$AZ$2261,H$2,FALSE))</f>
        <v>R</v>
      </c>
      <c r="I525" s="16" t="str">
        <f>IF($C525="B",VLOOKUP($A525,Bat!$A$4:$BD$2323,I$1,FALSE),VLOOKUP($A525,Pit!$A$4:$AZ$2261,I$2,FALSE))</f>
        <v>R</v>
      </c>
      <c r="J525" s="16" t="str">
        <f>IF($C525="B",VLOOKUP($A525,Bat!$A$4:$BD$2323,J$1,FALSE),VLOOKUP($A525,Pit!$A$4:$AZ$2261,J$2,FALSE))</f>
        <v>Very High</v>
      </c>
      <c r="K525" s="17" t="str">
        <f>IF($C525="B",VLOOKUP($A525,Bat!$A$4:$BD$2323,K$1,FALSE),VLOOKUP($A525,Pit!$A$4:$AZ$2261,K$2,FALSE))</f>
        <v>Normal</v>
      </c>
      <c r="L525" s="16">
        <f>IF($C525="B",VLOOKUP($A525,Bat!$A$4:$BD$2323,L$1,FALSE),VLOOKUP($A525,Pit!$A$4:$AZ$2261,L$2,FALSE))</f>
        <v>5</v>
      </c>
      <c r="M525" s="16">
        <f>IF($C525="B",VLOOKUP($A525,Bat!$A$4:$BD$2323,M$1,FALSE),VLOOKUP($A525,Pit!$A$4:$AZ$2261,M$2,FALSE))</f>
        <v>6</v>
      </c>
      <c r="N525" s="16">
        <f>IF($C525="B",VLOOKUP($A525,Bat!$A$4:$BD$2323,N$1,FALSE),VLOOKUP($A525,Pit!$A$4:$AZ$2261,N$2,FALSE))</f>
        <v>7</v>
      </c>
      <c r="O525" s="16" t="str">
        <f>IF($C525="B",VLOOKUP($A525,Bat!$A$4:$BD$2323,O$1,FALSE),VLOOKUP($A525,Pit!$A$4:$AZ$2261,O$2,FALSE))</f>
        <v>93-95 Mph</v>
      </c>
      <c r="P525" s="17">
        <f>IF($C525="B",VLOOKUP($A525,Bat!$A$4:$BD$2323,P$1,FALSE),VLOOKUP($A525,Pit!$A$4:$AZ$2261,P$2,FALSE))</f>
        <v>6</v>
      </c>
      <c r="Q525" s="18">
        <f>IF($C525="B",VLOOKUP($A525,Bat!$A$4:$BD$2323,Q$1,FALSE),VLOOKUP($A525,Pit!$A$4:$AZ$2261,Q$2,FALSE))</f>
        <v>55.944118281164918</v>
      </c>
      <c r="R525" s="19">
        <f>IF($C525="B",VLOOKUP($A525,Bat!$A$4:$BD$2323,R$1,FALSE),VLOOKUP($A525,Pit!$A$4:$AZ$2261,R$2,FALSE))</f>
        <v>1.748320958439564</v>
      </c>
      <c r="S525" s="20" t="str">
        <f>IF($C525="B",VLOOKUP($A525,Bat!$A$4:$BD$2323,S$1,FALSE),VLOOKUP($A525,Pit!$A$4:$AZ$2261,S$2,FALSE))</f>
        <v>Slot</v>
      </c>
      <c r="T525" s="17" t="str">
        <f>IF(S525="Slot","",VLOOKUP(IF($C525="B",VLOOKUP($A525,Bat!$A$4:$AT$2323,T$1,FALSE),VLOOKUP($A525,Pit!$A$4:$BD$2261,T$2,FALSE)),COND!$A$34:$B$40,2,FALSE))</f>
        <v/>
      </c>
      <c r="U525" s="21">
        <f>IF($C525="B",VLOOKUP($A525,Bat!$A$4:$AR$1287,44,FALSE),VLOOKUP($A525,Pit!$A$4:$BB$1239,54,FALSE))</f>
        <v>0</v>
      </c>
      <c r="W525" s="21">
        <f t="shared" si="34"/>
        <v>0</v>
      </c>
      <c r="X525" s="22" t="e">
        <f t="shared" si="35"/>
        <v>#N/A</v>
      </c>
      <c r="Y525" s="16" t="str">
        <f>IF(ISERROR(VLOOKUP($E525&amp;$F525,Results!$A$2:$G$413,Y$1,FALSE)),"",VLOOKUP($E525&amp;$F525,Results!$A$2:$G$413,Y$1,FALSE))</f>
        <v/>
      </c>
      <c r="Z525" s="16" t="str">
        <f>IF(ISERROR(VLOOKUP($E525&amp;$F525,Results!$A$2:$G$413,Z$1,FALSE)),"",VLOOKUP($E525&amp;$F525,Results!$A$2:$G$413,Z$1,FALSE))</f>
        <v/>
      </c>
      <c r="AA525" s="16" t="str">
        <f>IF(ISERROR(VLOOKUP($E525&amp;$F525,Results!$A$2:$G$413,AA$1,FALSE)),"",VLOOKUP($E525&amp;$F525,Results!$A$2:$G$413,AA$1,FALSE))</f>
        <v/>
      </c>
      <c r="AB525" s="16" t="str">
        <f>IF(ISERROR(VLOOKUP($E525&amp;$F525,Results!$A$2:$G$413,AB$1,FALSE)),"",VLOOKUP($E525&amp;$F525,Results!$A$2:$G$413,AB$1,FALSE))</f>
        <v/>
      </c>
      <c r="AC525" s="16"/>
      <c r="AD525" s="20" t="str">
        <f>IF(ISERROR(VLOOKUP($AB525&amp;"-"&amp;$F525,Bonuses!$B$1:$G$1000,4,FALSE)),"",INT(VLOOKUP($AB525&amp;"-"&amp;$F525,Bonuses!$B$1:$G$1000,4,FALSE)))</f>
        <v/>
      </c>
      <c r="AE525" s="16" t="str">
        <f>IF(ISERROR(VLOOKUP($AB525&amp;"-"&amp;$F525,Bonuses!$B$1:$G$1000,5,FALSE)),"",IF(VLOOKUP($AB525&amp;"-"&amp;$F525,Bonuses!$B$1:$G$1000,5,FALSE)="","",VLOOKUP($AB525&amp;"-"&amp;$F525,Bonuses!$B$1:$G$1000,6,FALSE)&amp;" yrs, "&amp;VLOOKUP($AB525&amp;"-"&amp;$F525,Bonuses!$B$1:$G$1000,5,FALSE)))</f>
        <v/>
      </c>
    </row>
    <row r="526" spans="1:31" s="21" customFormat="1">
      <c r="A526" s="21" t="s">
        <v>773</v>
      </c>
      <c r="B526" s="21">
        <f t="shared" si="32"/>
        <v>1</v>
      </c>
      <c r="C526" s="21" t="str">
        <f t="shared" si="33"/>
        <v>P</v>
      </c>
      <c r="D526" s="17">
        <f>IF($C526="B",VLOOKUP($A526,Bat!$A$4:$BD$2323,D$1,FALSE),VLOOKUP($A526,Pit!$A$4:$AZ$2261,D$2,FALSE))</f>
        <v>13743</v>
      </c>
      <c r="E526" s="16" t="str">
        <f>IF($C526="B",VLOOKUP($A526,Bat!$A$4:$BD$2323,E$1,FALSE),VLOOKUP($A526,Pit!$A$4:$AZ$2261,E$2,FALSE))</f>
        <v>SP</v>
      </c>
      <c r="F526" s="16" t="str">
        <f>IF($C526="B",VLOOKUP($A526,Bat!$A$4:$BD$2323,F$1,FALSE),VLOOKUP($A526,Pit!$A$4:$AZ$2261,F$2,FALSE))</f>
        <v>Melvin McNeal</v>
      </c>
      <c r="G526" s="16">
        <f>IF($C526="B",VLOOKUP($A526,Bat!$A$4:$BD$2323,G$1,FALSE),VLOOKUP($A526,Pit!$A$4:$AZ$2261,G$2,FALSE))</f>
        <v>18</v>
      </c>
      <c r="H526" s="16" t="str">
        <f>IF($C526="B",VLOOKUP($A526,Bat!$A$4:$BD$2323,H$1,FALSE),VLOOKUP($A526,Pit!$A$4:$AZ$2261,H$2,FALSE))</f>
        <v>R</v>
      </c>
      <c r="I526" s="16" t="str">
        <f>IF($C526="B",VLOOKUP($A526,Bat!$A$4:$BD$2323,I$1,FALSE),VLOOKUP($A526,Pit!$A$4:$AZ$2261,I$2,FALSE))</f>
        <v>L</v>
      </c>
      <c r="J526" s="16" t="str">
        <f>IF($C526="B",VLOOKUP($A526,Bat!$A$4:$BD$2323,J$1,FALSE),VLOOKUP($A526,Pit!$A$4:$AZ$2261,J$2,FALSE))</f>
        <v>Very High</v>
      </c>
      <c r="K526" s="17" t="str">
        <f>IF($C526="B",VLOOKUP($A526,Bat!$A$4:$BD$2323,K$1,FALSE),VLOOKUP($A526,Pit!$A$4:$AZ$2261,K$2,FALSE))</f>
        <v>Normal</v>
      </c>
      <c r="L526" s="16">
        <f>IF($C526="B",VLOOKUP($A526,Bat!$A$4:$BD$2323,L$1,FALSE),VLOOKUP($A526,Pit!$A$4:$AZ$2261,L$2,FALSE))</f>
        <v>4</v>
      </c>
      <c r="M526" s="16">
        <f>IF($C526="B",VLOOKUP($A526,Bat!$A$4:$BD$2323,M$1,FALSE),VLOOKUP($A526,Pit!$A$4:$AZ$2261,M$2,FALSE))</f>
        <v>9</v>
      </c>
      <c r="N526" s="16">
        <f>IF($C526="B",VLOOKUP($A526,Bat!$A$4:$BD$2323,N$1,FALSE),VLOOKUP($A526,Pit!$A$4:$AZ$2261,N$2,FALSE))</f>
        <v>7</v>
      </c>
      <c r="O526" s="16" t="str">
        <f>IF($C526="B",VLOOKUP($A526,Bat!$A$4:$BD$2323,O$1,FALSE),VLOOKUP($A526,Pit!$A$4:$AZ$2261,O$2,FALSE))</f>
        <v>87-89 Mph</v>
      </c>
      <c r="P526" s="17">
        <f>IF($C526="B",VLOOKUP($A526,Bat!$A$4:$BD$2323,P$1,FALSE),VLOOKUP($A526,Pit!$A$4:$AZ$2261,P$2,FALSE))</f>
        <v>7</v>
      </c>
      <c r="Q526" s="18">
        <f>IF($C526="B",VLOOKUP($A526,Bat!$A$4:$BD$2323,Q$1,FALSE),VLOOKUP($A526,Pit!$A$4:$AZ$2261,Q$2,FALSE))</f>
        <v>62.778305414980366</v>
      </c>
      <c r="R526" s="19">
        <f>IF($C526="B",VLOOKUP($A526,Bat!$A$4:$BD$2323,R$1,FALSE),VLOOKUP($A526,Pit!$A$4:$AZ$2261,R$2,FALSE))</f>
        <v>2.2908634312577507</v>
      </c>
      <c r="S526" s="20">
        <f>IF($C526="B",VLOOKUP($A526,Bat!$A$4:$BD$2323,S$1,FALSE),VLOOKUP($A526,Pit!$A$4:$AZ$2261,S$2,FALSE))</f>
        <v>1900000</v>
      </c>
      <c r="T526" s="17" t="str">
        <f>IF(S526="Slot","",VLOOKUP(IF($C526="B",VLOOKUP($A526,Bat!$A$4:$AT$2323,T$1,FALSE),VLOOKUP($A526,Pit!$A$4:$BD$2261,T$2,FALSE)),COND!$A$34:$B$40,2,FALSE))</f>
        <v>EH</v>
      </c>
      <c r="U526" s="21">
        <f>IF($C526="B",VLOOKUP($A526,Bat!$A$4:$AR$1287,44,FALSE),VLOOKUP($A526,Pit!$A$4:$BB$1239,54,FALSE))</f>
        <v>9</v>
      </c>
      <c r="W526" s="21">
        <f t="shared" si="34"/>
        <v>9</v>
      </c>
      <c r="X526" s="22" t="e">
        <f t="shared" si="35"/>
        <v>#N/A</v>
      </c>
      <c r="Y526" s="16" t="str">
        <f>IF(ISERROR(VLOOKUP($E526&amp;$F526,Results!$A$2:$G$413,Y$1,FALSE)),"",VLOOKUP($E526&amp;$F526,Results!$A$2:$G$413,Y$1,FALSE))</f>
        <v/>
      </c>
      <c r="Z526" s="16" t="str">
        <f>IF(ISERROR(VLOOKUP($E526&amp;$F526,Results!$A$2:$G$413,Z$1,FALSE)),"",VLOOKUP($E526&amp;$F526,Results!$A$2:$G$413,Z$1,FALSE))</f>
        <v/>
      </c>
      <c r="AA526" s="16" t="str">
        <f>IF(ISERROR(VLOOKUP($E526&amp;$F526,Results!$A$2:$G$413,AA$1,FALSE)),"",VLOOKUP($E526&amp;$F526,Results!$A$2:$G$413,AA$1,FALSE))</f>
        <v/>
      </c>
      <c r="AB526" s="16" t="str">
        <f>IF(ISERROR(VLOOKUP($E526&amp;$F526,Results!$A$2:$G$413,AB$1,FALSE)),"",VLOOKUP($E526&amp;$F526,Results!$A$2:$G$413,AB$1,FALSE))</f>
        <v/>
      </c>
      <c r="AC526" s="16"/>
      <c r="AD526" s="20" t="str">
        <f>IF(ISERROR(VLOOKUP($AB526&amp;"-"&amp;$F526,Bonuses!$B$1:$G$1000,4,FALSE)),"",INT(VLOOKUP($AB526&amp;"-"&amp;$F526,Bonuses!$B$1:$G$1000,4,FALSE)))</f>
        <v/>
      </c>
      <c r="AE526" s="16" t="str">
        <f>IF(ISERROR(VLOOKUP($AB526&amp;"-"&amp;$F526,Bonuses!$B$1:$G$1000,5,FALSE)),"",IF(VLOOKUP($AB526&amp;"-"&amp;$F526,Bonuses!$B$1:$G$1000,5,FALSE)="","",VLOOKUP($AB526&amp;"-"&amp;$F526,Bonuses!$B$1:$G$1000,6,FALSE)&amp;" yrs, "&amp;VLOOKUP($AB526&amp;"-"&amp;$F526,Bonuses!$B$1:$G$1000,5,FALSE)))</f>
        <v/>
      </c>
    </row>
    <row r="527" spans="1:31" s="21" customFormat="1">
      <c r="A527" s="21" t="s">
        <v>775</v>
      </c>
      <c r="B527" s="21">
        <f t="shared" si="32"/>
        <v>1</v>
      </c>
      <c r="C527" s="21" t="str">
        <f t="shared" si="33"/>
        <v>P</v>
      </c>
      <c r="D527" s="17">
        <f>IF($C527="B",VLOOKUP($A527,Bat!$A$4:$BD$2323,D$1,FALSE),VLOOKUP($A527,Pit!$A$4:$AZ$2261,D$2,FALSE))</f>
        <v>4295</v>
      </c>
      <c r="E527" s="16" t="str">
        <f>IF($C527="B",VLOOKUP($A527,Bat!$A$4:$BD$2323,E$1,FALSE),VLOOKUP($A527,Pit!$A$4:$AZ$2261,E$2,FALSE))</f>
        <v>SP</v>
      </c>
      <c r="F527" s="16" t="str">
        <f>IF($C527="B",VLOOKUP($A527,Bat!$A$4:$BD$2323,F$1,FALSE),VLOOKUP($A527,Pit!$A$4:$AZ$2261,F$2,FALSE))</f>
        <v>Bartolo Cruz</v>
      </c>
      <c r="G527" s="16">
        <f>IF($C527="B",VLOOKUP($A527,Bat!$A$4:$BD$2323,G$1,FALSE),VLOOKUP($A527,Pit!$A$4:$AZ$2261,G$2,FALSE))</f>
        <v>21</v>
      </c>
      <c r="H527" s="16" t="str">
        <f>IF($C527="B",VLOOKUP($A527,Bat!$A$4:$BD$2323,H$1,FALSE),VLOOKUP($A527,Pit!$A$4:$AZ$2261,H$2,FALSE))</f>
        <v>R</v>
      </c>
      <c r="I527" s="16" t="str">
        <f>IF($C527="B",VLOOKUP($A527,Bat!$A$4:$BD$2323,I$1,FALSE),VLOOKUP($A527,Pit!$A$4:$AZ$2261,I$2,FALSE))</f>
        <v>R</v>
      </c>
      <c r="J527" s="16" t="str">
        <f>IF($C527="B",VLOOKUP($A527,Bat!$A$4:$BD$2323,J$1,FALSE),VLOOKUP($A527,Pit!$A$4:$AZ$2261,J$2,FALSE))</f>
        <v>Low</v>
      </c>
      <c r="K527" s="17" t="str">
        <f>IF($C527="B",VLOOKUP($A527,Bat!$A$4:$BD$2323,K$1,FALSE),VLOOKUP($A527,Pit!$A$4:$AZ$2261,K$2,FALSE))</f>
        <v>High</v>
      </c>
      <c r="L527" s="16">
        <f>IF($C527="B",VLOOKUP($A527,Bat!$A$4:$BD$2323,L$1,FALSE),VLOOKUP($A527,Pit!$A$4:$AZ$2261,L$2,FALSE))</f>
        <v>6</v>
      </c>
      <c r="M527" s="16">
        <f>IF($C527="B",VLOOKUP($A527,Bat!$A$4:$BD$2323,M$1,FALSE),VLOOKUP($A527,Pit!$A$4:$AZ$2261,M$2,FALSE))</f>
        <v>6</v>
      </c>
      <c r="N527" s="16">
        <f>IF($C527="B",VLOOKUP($A527,Bat!$A$4:$BD$2323,N$1,FALSE),VLOOKUP($A527,Pit!$A$4:$AZ$2261,N$2,FALSE))</f>
        <v>7</v>
      </c>
      <c r="O527" s="16" t="str">
        <f>IF($C527="B",VLOOKUP($A527,Bat!$A$4:$BD$2323,O$1,FALSE),VLOOKUP($A527,Pit!$A$4:$AZ$2261,O$2,FALSE))</f>
        <v>92-94 Mph</v>
      </c>
      <c r="P527" s="17">
        <f>IF($C527="B",VLOOKUP($A527,Bat!$A$4:$BD$2323,P$1,FALSE),VLOOKUP($A527,Pit!$A$4:$AZ$2261,P$2,FALSE))</f>
        <v>7</v>
      </c>
      <c r="Q527" s="18">
        <f>IF($C527="B",VLOOKUP($A527,Bat!$A$4:$BD$2323,Q$1,FALSE),VLOOKUP($A527,Pit!$A$4:$AZ$2261,Q$2,FALSE))</f>
        <v>59.378798430671125</v>
      </c>
      <c r="R527" s="19">
        <f>IF($C527="B",VLOOKUP($A527,Bat!$A$4:$BD$2323,R$1,FALSE),VLOOKUP($A527,Pit!$A$4:$AZ$2261,R$2,FALSE))</f>
        <v>2.0209883327981424</v>
      </c>
      <c r="S527" s="20" t="str">
        <f>IF($C527="B",VLOOKUP($A527,Bat!$A$4:$BD$2323,S$1,FALSE),VLOOKUP($A527,Pit!$A$4:$AZ$2261,S$2,FALSE))</f>
        <v>Slot</v>
      </c>
      <c r="T527" s="17" t="str">
        <f>IF(S527="Slot","",VLOOKUP(IF($C527="B",VLOOKUP($A527,Bat!$A$4:$AT$2323,T$1,FALSE),VLOOKUP($A527,Pit!$A$4:$BD$2261,T$2,FALSE)),COND!$A$34:$B$40,2,FALSE))</f>
        <v/>
      </c>
      <c r="U527" s="21">
        <f>IF($C527="B",VLOOKUP($A527,Bat!$A$4:$AR$1287,44,FALSE),VLOOKUP($A527,Pit!$A$4:$BB$1239,54,FALSE))</f>
        <v>0</v>
      </c>
      <c r="W527" s="21">
        <f t="shared" si="34"/>
        <v>0</v>
      </c>
      <c r="X527" s="22" t="e">
        <f t="shared" si="35"/>
        <v>#N/A</v>
      </c>
      <c r="Y527" s="16" t="str">
        <f>IF(ISERROR(VLOOKUP($E527&amp;$F527,Results!$A$2:$G$413,Y$1,FALSE)),"",VLOOKUP($E527&amp;$F527,Results!$A$2:$G$413,Y$1,FALSE))</f>
        <v/>
      </c>
      <c r="Z527" s="16" t="str">
        <f>IF(ISERROR(VLOOKUP($E527&amp;$F527,Results!$A$2:$G$413,Z$1,FALSE)),"",VLOOKUP($E527&amp;$F527,Results!$A$2:$G$413,Z$1,FALSE))</f>
        <v/>
      </c>
      <c r="AA527" s="16" t="str">
        <f>IF(ISERROR(VLOOKUP($E527&amp;$F527,Results!$A$2:$G$413,AA$1,FALSE)),"",VLOOKUP($E527&amp;$F527,Results!$A$2:$G$413,AA$1,FALSE))</f>
        <v/>
      </c>
      <c r="AB527" s="16" t="str">
        <f>IF(ISERROR(VLOOKUP($E527&amp;$F527,Results!$A$2:$G$413,AB$1,FALSE)),"",VLOOKUP($E527&amp;$F527,Results!$A$2:$G$413,AB$1,FALSE))</f>
        <v/>
      </c>
      <c r="AC527" s="16"/>
      <c r="AD527" s="20" t="str">
        <f>IF(ISERROR(VLOOKUP($AB527&amp;"-"&amp;$F527,Bonuses!$B$1:$G$1000,4,FALSE)),"",INT(VLOOKUP($AB527&amp;"-"&amp;$F527,Bonuses!$B$1:$G$1000,4,FALSE)))</f>
        <v/>
      </c>
      <c r="AE527" s="16" t="str">
        <f>IF(ISERROR(VLOOKUP($AB527&amp;"-"&amp;$F527,Bonuses!$B$1:$G$1000,5,FALSE)),"",IF(VLOOKUP($AB527&amp;"-"&amp;$F527,Bonuses!$B$1:$G$1000,5,FALSE)="","",VLOOKUP($AB527&amp;"-"&amp;$F527,Bonuses!$B$1:$G$1000,6,FALSE)&amp;" yrs, "&amp;VLOOKUP($AB527&amp;"-"&amp;$F527,Bonuses!$B$1:$G$1000,5,FALSE)))</f>
        <v/>
      </c>
    </row>
    <row r="528" spans="1:31" s="21" customFormat="1">
      <c r="A528" s="21" t="s">
        <v>778</v>
      </c>
      <c r="B528" s="21">
        <f t="shared" si="32"/>
        <v>1</v>
      </c>
      <c r="C528" s="21" t="str">
        <f t="shared" si="33"/>
        <v>P</v>
      </c>
      <c r="D528" s="17">
        <f>IF($C528="B",VLOOKUP($A528,Bat!$A$4:$BD$2323,D$1,FALSE),VLOOKUP($A528,Pit!$A$4:$AZ$2261,D$2,FALSE))</f>
        <v>13742</v>
      </c>
      <c r="E528" s="16" t="str">
        <f>IF($C528="B",VLOOKUP($A528,Bat!$A$4:$BD$2323,E$1,FALSE),VLOOKUP($A528,Pit!$A$4:$AZ$2261,E$2,FALSE))</f>
        <v>SP</v>
      </c>
      <c r="F528" s="16" t="str">
        <f>IF($C528="B",VLOOKUP($A528,Bat!$A$4:$BD$2323,F$1,FALSE),VLOOKUP($A528,Pit!$A$4:$AZ$2261,F$2,FALSE))</f>
        <v>Otto Coleman</v>
      </c>
      <c r="G528" s="16">
        <f>IF($C528="B",VLOOKUP($A528,Bat!$A$4:$BD$2323,G$1,FALSE),VLOOKUP($A528,Pit!$A$4:$AZ$2261,G$2,FALSE))</f>
        <v>18</v>
      </c>
      <c r="H528" s="16" t="str">
        <f>IF($C528="B",VLOOKUP($A528,Bat!$A$4:$BD$2323,H$1,FALSE),VLOOKUP($A528,Pit!$A$4:$AZ$2261,H$2,FALSE))</f>
        <v>R</v>
      </c>
      <c r="I528" s="16" t="str">
        <f>IF($C528="B",VLOOKUP($A528,Bat!$A$4:$BD$2323,I$1,FALSE),VLOOKUP($A528,Pit!$A$4:$AZ$2261,I$2,FALSE))</f>
        <v>L</v>
      </c>
      <c r="J528" s="16" t="str">
        <f>IF($C528="B",VLOOKUP($A528,Bat!$A$4:$BD$2323,J$1,FALSE),VLOOKUP($A528,Pit!$A$4:$AZ$2261,J$2,FALSE))</f>
        <v>High</v>
      </c>
      <c r="K528" s="17" t="str">
        <f>IF($C528="B",VLOOKUP($A528,Bat!$A$4:$BD$2323,K$1,FALSE),VLOOKUP($A528,Pit!$A$4:$AZ$2261,K$2,FALSE))</f>
        <v>High</v>
      </c>
      <c r="L528" s="16">
        <f>IF($C528="B",VLOOKUP($A528,Bat!$A$4:$BD$2323,L$1,FALSE),VLOOKUP($A528,Pit!$A$4:$AZ$2261,L$2,FALSE))</f>
        <v>5</v>
      </c>
      <c r="M528" s="16">
        <f>IF($C528="B",VLOOKUP($A528,Bat!$A$4:$BD$2323,M$1,FALSE),VLOOKUP($A528,Pit!$A$4:$AZ$2261,M$2,FALSE))</f>
        <v>7</v>
      </c>
      <c r="N528" s="16">
        <f>IF($C528="B",VLOOKUP($A528,Bat!$A$4:$BD$2323,N$1,FALSE),VLOOKUP($A528,Pit!$A$4:$AZ$2261,N$2,FALSE))</f>
        <v>8</v>
      </c>
      <c r="O528" s="16" t="str">
        <f>IF($C528="B",VLOOKUP($A528,Bat!$A$4:$BD$2323,O$1,FALSE),VLOOKUP($A528,Pit!$A$4:$AZ$2261,O$2,FALSE))</f>
        <v>89-90 Mph</v>
      </c>
      <c r="P528" s="17">
        <f>IF($C528="B",VLOOKUP($A528,Bat!$A$4:$BD$2323,P$1,FALSE),VLOOKUP($A528,Pit!$A$4:$AZ$2261,P$2,FALSE))</f>
        <v>8</v>
      </c>
      <c r="Q528" s="18">
        <f>IF($C528="B",VLOOKUP($A528,Bat!$A$4:$BD$2323,Q$1,FALSE),VLOOKUP($A528,Pit!$A$4:$AZ$2261,Q$2,FALSE))</f>
        <v>63.785652338968632</v>
      </c>
      <c r="R528" s="19">
        <f>IF($C528="B",VLOOKUP($A528,Bat!$A$4:$BD$2323,R$1,FALSE),VLOOKUP($A528,Pit!$A$4:$AZ$2261,R$2,FALSE))</f>
        <v>2.3708332185089911</v>
      </c>
      <c r="S528" s="20">
        <f>IF($C528="B",VLOOKUP($A528,Bat!$A$4:$BD$2323,S$1,FALSE),VLOOKUP($A528,Pit!$A$4:$AZ$2261,S$2,FALSE))</f>
        <v>1400000</v>
      </c>
      <c r="T528" s="17" t="str">
        <f>IF(S528="Slot","",VLOOKUP(IF($C528="B",VLOOKUP($A528,Bat!$A$4:$AT$2323,T$1,FALSE),VLOOKUP($A528,Pit!$A$4:$BD$2261,T$2,FALSE)),COND!$A$34:$B$40,2,FALSE))</f>
        <v>EH</v>
      </c>
      <c r="U528" s="21">
        <f>IF($C528="B",VLOOKUP($A528,Bat!$A$4:$AR$1287,44,FALSE),VLOOKUP($A528,Pit!$A$4:$BB$1239,54,FALSE))</f>
        <v>0</v>
      </c>
      <c r="W528" s="21">
        <f t="shared" si="34"/>
        <v>0</v>
      </c>
      <c r="X528" s="22" t="e">
        <f t="shared" si="35"/>
        <v>#N/A</v>
      </c>
      <c r="Y528" s="16" t="str">
        <f>IF(ISERROR(VLOOKUP($E528&amp;$F528,Results!$A$2:$G$413,Y$1,FALSE)),"",VLOOKUP($E528&amp;$F528,Results!$A$2:$G$413,Y$1,FALSE))</f>
        <v/>
      </c>
      <c r="Z528" s="16" t="str">
        <f>IF(ISERROR(VLOOKUP($E528&amp;$F528,Results!$A$2:$G$413,Z$1,FALSE)),"",VLOOKUP($E528&amp;$F528,Results!$A$2:$G$413,Z$1,FALSE))</f>
        <v/>
      </c>
      <c r="AA528" s="16" t="str">
        <f>IF(ISERROR(VLOOKUP($E528&amp;$F528,Results!$A$2:$G$413,AA$1,FALSE)),"",VLOOKUP($E528&amp;$F528,Results!$A$2:$G$413,AA$1,FALSE))</f>
        <v/>
      </c>
      <c r="AB528" s="16" t="str">
        <f>IF(ISERROR(VLOOKUP($E528&amp;$F528,Results!$A$2:$G$413,AB$1,FALSE)),"",VLOOKUP($E528&amp;$F528,Results!$A$2:$G$413,AB$1,FALSE))</f>
        <v/>
      </c>
      <c r="AC528" s="16"/>
      <c r="AD528" s="20" t="str">
        <f>IF(ISERROR(VLOOKUP($AB528&amp;"-"&amp;$F528,Bonuses!$B$1:$G$1000,4,FALSE)),"",INT(VLOOKUP($AB528&amp;"-"&amp;$F528,Bonuses!$B$1:$G$1000,4,FALSE)))</f>
        <v/>
      </c>
      <c r="AE528" s="16" t="str">
        <f>IF(ISERROR(VLOOKUP($AB528&amp;"-"&amp;$F528,Bonuses!$B$1:$G$1000,5,FALSE)),"",IF(VLOOKUP($AB528&amp;"-"&amp;$F528,Bonuses!$B$1:$G$1000,5,FALSE)="","",VLOOKUP($AB528&amp;"-"&amp;$F528,Bonuses!$B$1:$G$1000,6,FALSE)&amp;" yrs, "&amp;VLOOKUP($AB528&amp;"-"&amp;$F528,Bonuses!$B$1:$G$1000,5,FALSE)))</f>
        <v/>
      </c>
    </row>
    <row r="529" spans="1:31" s="21" customFormat="1">
      <c r="A529" s="21" t="s">
        <v>784</v>
      </c>
      <c r="B529" s="21">
        <f t="shared" si="32"/>
        <v>1</v>
      </c>
      <c r="C529" s="21" t="str">
        <f t="shared" si="33"/>
        <v>P</v>
      </c>
      <c r="D529" s="17">
        <f>IF($C529="B",VLOOKUP($A529,Bat!$A$4:$BD$2323,D$1,FALSE),VLOOKUP($A529,Pit!$A$4:$AZ$2261,D$2,FALSE))</f>
        <v>7297</v>
      </c>
      <c r="E529" s="16" t="str">
        <f>IF($C529="B",VLOOKUP($A529,Bat!$A$4:$BD$2323,E$1,FALSE),VLOOKUP($A529,Pit!$A$4:$AZ$2261,E$2,FALSE))</f>
        <v>SP</v>
      </c>
      <c r="F529" s="16" t="str">
        <f>IF($C529="B",VLOOKUP($A529,Bat!$A$4:$BD$2323,F$1,FALSE),VLOOKUP($A529,Pit!$A$4:$AZ$2261,F$2,FALSE))</f>
        <v>Curt Mills</v>
      </c>
      <c r="G529" s="16">
        <f>IF($C529="B",VLOOKUP($A529,Bat!$A$4:$BD$2323,G$1,FALSE),VLOOKUP($A529,Pit!$A$4:$AZ$2261,G$2,FALSE))</f>
        <v>21</v>
      </c>
      <c r="H529" s="16" t="str">
        <f>IF($C529="B",VLOOKUP($A529,Bat!$A$4:$BD$2323,H$1,FALSE),VLOOKUP($A529,Pit!$A$4:$AZ$2261,H$2,FALSE))</f>
        <v>R</v>
      </c>
      <c r="I529" s="16" t="str">
        <f>IF($C529="B",VLOOKUP($A529,Bat!$A$4:$BD$2323,I$1,FALSE),VLOOKUP($A529,Pit!$A$4:$AZ$2261,I$2,FALSE))</f>
        <v>R</v>
      </c>
      <c r="J529" s="16" t="str">
        <f>IF($C529="B",VLOOKUP($A529,Bat!$A$4:$BD$2323,J$1,FALSE),VLOOKUP($A529,Pit!$A$4:$AZ$2261,J$2,FALSE))</f>
        <v>Low</v>
      </c>
      <c r="K529" s="17" t="str">
        <f>IF($C529="B",VLOOKUP($A529,Bat!$A$4:$BD$2323,K$1,FALSE),VLOOKUP($A529,Pit!$A$4:$AZ$2261,K$2,FALSE))</f>
        <v>Normal</v>
      </c>
      <c r="L529" s="16">
        <f>IF($C529="B",VLOOKUP($A529,Bat!$A$4:$BD$2323,L$1,FALSE),VLOOKUP($A529,Pit!$A$4:$AZ$2261,L$2,FALSE))</f>
        <v>5</v>
      </c>
      <c r="M529" s="16">
        <f>IF($C529="B",VLOOKUP($A529,Bat!$A$4:$BD$2323,M$1,FALSE),VLOOKUP($A529,Pit!$A$4:$AZ$2261,M$2,FALSE))</f>
        <v>7</v>
      </c>
      <c r="N529" s="16">
        <f>IF($C529="B",VLOOKUP($A529,Bat!$A$4:$BD$2323,N$1,FALSE),VLOOKUP($A529,Pit!$A$4:$AZ$2261,N$2,FALSE))</f>
        <v>7</v>
      </c>
      <c r="O529" s="16" t="str">
        <f>IF($C529="B",VLOOKUP($A529,Bat!$A$4:$BD$2323,O$1,FALSE),VLOOKUP($A529,Pit!$A$4:$AZ$2261,O$2,FALSE))</f>
        <v>91-93 Mph</v>
      </c>
      <c r="P529" s="17">
        <f>IF($C529="B",VLOOKUP($A529,Bat!$A$4:$BD$2323,P$1,FALSE),VLOOKUP($A529,Pit!$A$4:$AZ$2261,P$2,FALSE))</f>
        <v>9</v>
      </c>
      <c r="Q529" s="18">
        <f>IF($C529="B",VLOOKUP($A529,Bat!$A$4:$BD$2323,Q$1,FALSE),VLOOKUP($A529,Pit!$A$4:$AZ$2261,Q$2,FALSE))</f>
        <v>56.77813211739776</v>
      </c>
      <c r="R529" s="19">
        <f>IF($C529="B",VLOOKUP($A529,Bat!$A$4:$BD$2323,R$1,FALSE),VLOOKUP($A529,Pit!$A$4:$AZ$2261,R$2,FALSE))</f>
        <v>1.8145304315216582</v>
      </c>
      <c r="S529" s="20">
        <f>IF($C529="B",VLOOKUP($A529,Bat!$A$4:$BD$2323,S$1,FALSE),VLOOKUP($A529,Pit!$A$4:$AZ$2261,S$2,FALSE))</f>
        <v>1500000</v>
      </c>
      <c r="T529" s="17" t="str">
        <f>IF(S529="Slot","",VLOOKUP(IF($C529="B",VLOOKUP($A529,Bat!$A$4:$AT$2323,T$1,FALSE),VLOOKUP($A529,Pit!$A$4:$BD$2261,T$2,FALSE)),COND!$A$34:$B$40,2,FALSE))</f>
        <v>EH</v>
      </c>
      <c r="U529" s="21">
        <f>IF($C529="B",VLOOKUP($A529,Bat!$A$4:$AR$1287,44,FALSE),VLOOKUP($A529,Pit!$A$4:$BB$1239,54,FALSE))</f>
        <v>0</v>
      </c>
      <c r="W529" s="21">
        <f t="shared" si="34"/>
        <v>0</v>
      </c>
      <c r="X529" s="22" t="e">
        <f t="shared" si="35"/>
        <v>#N/A</v>
      </c>
      <c r="Y529" s="16" t="str">
        <f>IF(ISERROR(VLOOKUP($E529&amp;$F529,Results!$A$2:$G$413,Y$1,FALSE)),"",VLOOKUP($E529&amp;$F529,Results!$A$2:$G$413,Y$1,FALSE))</f>
        <v/>
      </c>
      <c r="Z529" s="16" t="str">
        <f>IF(ISERROR(VLOOKUP($E529&amp;$F529,Results!$A$2:$G$413,Z$1,FALSE)),"",VLOOKUP($E529&amp;$F529,Results!$A$2:$G$413,Z$1,FALSE))</f>
        <v/>
      </c>
      <c r="AA529" s="16" t="str">
        <f>IF(ISERROR(VLOOKUP($E529&amp;$F529,Results!$A$2:$G$413,AA$1,FALSE)),"",VLOOKUP($E529&amp;$F529,Results!$A$2:$G$413,AA$1,FALSE))</f>
        <v/>
      </c>
      <c r="AB529" s="16" t="str">
        <f>IF(ISERROR(VLOOKUP($E529&amp;$F529,Results!$A$2:$G$413,AB$1,FALSE)),"",VLOOKUP($E529&amp;$F529,Results!$A$2:$G$413,AB$1,FALSE))</f>
        <v/>
      </c>
      <c r="AC529" s="16"/>
      <c r="AD529" s="20" t="str">
        <f>IF(ISERROR(VLOOKUP($AB529&amp;"-"&amp;$F529,Bonuses!$B$1:$G$1000,4,FALSE)),"",INT(VLOOKUP($AB529&amp;"-"&amp;$F529,Bonuses!$B$1:$G$1000,4,FALSE)))</f>
        <v/>
      </c>
      <c r="AE529" s="16" t="str">
        <f>IF(ISERROR(VLOOKUP($AB529&amp;"-"&amp;$F529,Bonuses!$B$1:$G$1000,5,FALSE)),"",IF(VLOOKUP($AB529&amp;"-"&amp;$F529,Bonuses!$B$1:$G$1000,5,FALSE)="","",VLOOKUP($AB529&amp;"-"&amp;$F529,Bonuses!$B$1:$G$1000,6,FALSE)&amp;" yrs, "&amp;VLOOKUP($AB529&amp;"-"&amp;$F529,Bonuses!$B$1:$G$1000,5,FALSE)))</f>
        <v/>
      </c>
    </row>
    <row r="530" spans="1:31" s="21" customFormat="1">
      <c r="A530" s="21" t="s">
        <v>781</v>
      </c>
      <c r="B530" s="21">
        <f t="shared" si="32"/>
        <v>1</v>
      </c>
      <c r="C530" s="21" t="str">
        <f t="shared" si="33"/>
        <v>P</v>
      </c>
      <c r="D530" s="17">
        <f>IF($C530="B",VLOOKUP($A530,Bat!$A$4:$BD$2323,D$1,FALSE),VLOOKUP($A530,Pit!$A$4:$AZ$2261,D$2,FALSE))</f>
        <v>2620</v>
      </c>
      <c r="E530" s="16" t="str">
        <f>IF($C530="B",VLOOKUP($A530,Bat!$A$4:$BD$2323,E$1,FALSE),VLOOKUP($A530,Pit!$A$4:$AZ$2261,E$2,FALSE))</f>
        <v>SP</v>
      </c>
      <c r="F530" s="16" t="str">
        <f>IF($C530="B",VLOOKUP($A530,Bat!$A$4:$BD$2323,F$1,FALSE),VLOOKUP($A530,Pit!$A$4:$AZ$2261,F$2,FALSE))</f>
        <v>Eddy McBride</v>
      </c>
      <c r="G530" s="16">
        <f>IF($C530="B",VLOOKUP($A530,Bat!$A$4:$BD$2323,G$1,FALSE),VLOOKUP($A530,Pit!$A$4:$AZ$2261,G$2,FALSE))</f>
        <v>21</v>
      </c>
      <c r="H530" s="16" t="str">
        <f>IF($C530="B",VLOOKUP($A530,Bat!$A$4:$BD$2323,H$1,FALSE),VLOOKUP($A530,Pit!$A$4:$AZ$2261,H$2,FALSE))</f>
        <v>L</v>
      </c>
      <c r="I530" s="16" t="str">
        <f>IF($C530="B",VLOOKUP($A530,Bat!$A$4:$BD$2323,I$1,FALSE),VLOOKUP($A530,Pit!$A$4:$AZ$2261,I$2,FALSE))</f>
        <v>R</v>
      </c>
      <c r="J530" s="16" t="str">
        <f>IF($C530="B",VLOOKUP($A530,Bat!$A$4:$BD$2323,J$1,FALSE),VLOOKUP($A530,Pit!$A$4:$AZ$2261,J$2,FALSE))</f>
        <v>High</v>
      </c>
      <c r="K530" s="17" t="str">
        <f>IF($C530="B",VLOOKUP($A530,Bat!$A$4:$BD$2323,K$1,FALSE),VLOOKUP($A530,Pit!$A$4:$AZ$2261,K$2,FALSE))</f>
        <v>Low</v>
      </c>
      <c r="L530" s="16">
        <f>IF($C530="B",VLOOKUP($A530,Bat!$A$4:$BD$2323,L$1,FALSE),VLOOKUP($A530,Pit!$A$4:$AZ$2261,L$2,FALSE))</f>
        <v>5</v>
      </c>
      <c r="M530" s="16">
        <f>IF($C530="B",VLOOKUP($A530,Bat!$A$4:$BD$2323,M$1,FALSE),VLOOKUP($A530,Pit!$A$4:$AZ$2261,M$2,FALSE))</f>
        <v>7</v>
      </c>
      <c r="N530" s="16">
        <f>IF($C530="B",VLOOKUP($A530,Bat!$A$4:$BD$2323,N$1,FALSE),VLOOKUP($A530,Pit!$A$4:$AZ$2261,N$2,FALSE))</f>
        <v>7</v>
      </c>
      <c r="O530" s="16" t="str">
        <f>IF($C530="B",VLOOKUP($A530,Bat!$A$4:$BD$2323,O$1,FALSE),VLOOKUP($A530,Pit!$A$4:$AZ$2261,O$2,FALSE))</f>
        <v>91-93 Mph</v>
      </c>
      <c r="P530" s="17">
        <f>IF($C530="B",VLOOKUP($A530,Bat!$A$4:$BD$2323,P$1,FALSE),VLOOKUP($A530,Pit!$A$4:$AZ$2261,P$2,FALSE))</f>
        <v>7</v>
      </c>
      <c r="Q530" s="18">
        <f>IF($C530="B",VLOOKUP($A530,Bat!$A$4:$BD$2323,Q$1,FALSE),VLOOKUP($A530,Pit!$A$4:$AZ$2261,Q$2,FALSE))</f>
        <v>58.326596230608573</v>
      </c>
      <c r="R530" s="19">
        <f>IF($C530="B",VLOOKUP($A530,Bat!$A$4:$BD$2323,R$1,FALSE),VLOOKUP($A530,Pit!$A$4:$AZ$2261,R$2,FALSE))</f>
        <v>1.9374576403618693</v>
      </c>
      <c r="S530" s="20">
        <f>IF($C530="B",VLOOKUP($A530,Bat!$A$4:$BD$2323,S$1,FALSE),VLOOKUP($A530,Pit!$A$4:$AZ$2261,S$2,FALSE))</f>
        <v>1200000</v>
      </c>
      <c r="T530" s="17" t="str">
        <f>IF(S530="Slot","",VLOOKUP(IF($C530="B",VLOOKUP($A530,Bat!$A$4:$AT$2323,T$1,FALSE),VLOOKUP($A530,Pit!$A$4:$BD$2261,T$2,FALSE)),COND!$A$34:$B$40,2,FALSE))</f>
        <v>EH</v>
      </c>
      <c r="U530" s="21">
        <f>IF($C530="B",VLOOKUP($A530,Bat!$A$4:$AR$1287,44,FALSE),VLOOKUP($A530,Pit!$A$4:$BB$1239,54,FALSE))</f>
        <v>0</v>
      </c>
      <c r="W530" s="21">
        <f t="shared" si="34"/>
        <v>0</v>
      </c>
      <c r="X530" s="22" t="e">
        <f t="shared" si="35"/>
        <v>#N/A</v>
      </c>
      <c r="Y530" s="16" t="str">
        <f>IF(ISERROR(VLOOKUP($E530&amp;$F530,Results!$A$2:$G$413,Y$1,FALSE)),"",VLOOKUP($E530&amp;$F530,Results!$A$2:$G$413,Y$1,FALSE))</f>
        <v/>
      </c>
      <c r="Z530" s="16" t="str">
        <f>IF(ISERROR(VLOOKUP($E530&amp;$F530,Results!$A$2:$G$413,Z$1,FALSE)),"",VLOOKUP($E530&amp;$F530,Results!$A$2:$G$413,Z$1,FALSE))</f>
        <v/>
      </c>
      <c r="AA530" s="16" t="str">
        <f>IF(ISERROR(VLOOKUP($E530&amp;$F530,Results!$A$2:$G$413,AA$1,FALSE)),"",VLOOKUP($E530&amp;$F530,Results!$A$2:$G$413,AA$1,FALSE))</f>
        <v/>
      </c>
      <c r="AB530" s="16" t="str">
        <f>IF(ISERROR(VLOOKUP($E530&amp;$F530,Results!$A$2:$G$413,AB$1,FALSE)),"",VLOOKUP($E530&amp;$F530,Results!$A$2:$G$413,AB$1,FALSE))</f>
        <v/>
      </c>
      <c r="AC530" s="16"/>
      <c r="AD530" s="20" t="str">
        <f>IF(ISERROR(VLOOKUP($AB530&amp;"-"&amp;$F530,Bonuses!$B$1:$G$1000,4,FALSE)),"",INT(VLOOKUP($AB530&amp;"-"&amp;$F530,Bonuses!$B$1:$G$1000,4,FALSE)))</f>
        <v/>
      </c>
      <c r="AE530" s="16" t="str">
        <f>IF(ISERROR(VLOOKUP($AB530&amp;"-"&amp;$F530,Bonuses!$B$1:$G$1000,5,FALSE)),"",IF(VLOOKUP($AB530&amp;"-"&amp;$F530,Bonuses!$B$1:$G$1000,5,FALSE)="","",VLOOKUP($AB530&amp;"-"&amp;$F530,Bonuses!$B$1:$G$1000,6,FALSE)&amp;" yrs, "&amp;VLOOKUP($AB530&amp;"-"&amp;$F530,Bonuses!$B$1:$G$1000,5,FALSE)))</f>
        <v/>
      </c>
    </row>
    <row r="531" spans="1:31" s="21" customFormat="1">
      <c r="D531" s="17"/>
      <c r="E531" s="16"/>
      <c r="F531" s="16"/>
      <c r="G531" s="16"/>
      <c r="H531" s="16"/>
      <c r="I531" s="16"/>
      <c r="J531" s="16"/>
      <c r="K531" s="17"/>
      <c r="L531" s="16"/>
      <c r="M531" s="16"/>
      <c r="N531" s="16"/>
      <c r="O531" s="16"/>
      <c r="P531" s="17"/>
      <c r="Q531" s="18"/>
      <c r="R531" s="19"/>
      <c r="S531" s="20"/>
      <c r="T531" s="17"/>
      <c r="X531" s="22"/>
      <c r="Y531" s="16"/>
      <c r="Z531" s="16"/>
      <c r="AA531" s="16"/>
      <c r="AB531" s="16"/>
      <c r="AC531" s="16"/>
      <c r="AD531" s="20"/>
      <c r="AE531" s="16"/>
    </row>
    <row r="532" spans="1:31" s="21" customFormat="1">
      <c r="D532" s="17"/>
      <c r="E532" s="16"/>
      <c r="F532" s="16"/>
      <c r="G532" s="16"/>
      <c r="H532" s="16"/>
      <c r="I532" s="16"/>
      <c r="J532" s="16"/>
      <c r="K532" s="17"/>
      <c r="L532" s="16"/>
      <c r="M532" s="16"/>
      <c r="N532" s="16"/>
      <c r="O532" s="16"/>
      <c r="P532" s="17"/>
      <c r="Q532" s="18"/>
      <c r="R532" s="19"/>
      <c r="S532" s="20"/>
      <c r="T532" s="17"/>
      <c r="X532" s="22"/>
      <c r="Y532" s="16"/>
      <c r="Z532" s="16"/>
      <c r="AA532" s="16"/>
      <c r="AB532" s="16"/>
      <c r="AC532" s="16"/>
      <c r="AD532" s="20"/>
      <c r="AE532" s="16"/>
    </row>
    <row r="533" spans="1:31" s="21" customFormat="1">
      <c r="D533" s="17"/>
      <c r="E533" s="16"/>
      <c r="F533" s="16"/>
      <c r="G533" s="16"/>
      <c r="H533" s="16"/>
      <c r="I533" s="16"/>
      <c r="J533" s="16"/>
      <c r="K533" s="17"/>
      <c r="L533" s="16"/>
      <c r="M533" s="16"/>
      <c r="N533" s="16"/>
      <c r="O533" s="16"/>
      <c r="P533" s="17"/>
      <c r="Q533" s="18"/>
      <c r="R533" s="19"/>
      <c r="S533" s="20"/>
      <c r="T533" s="17"/>
      <c r="X533" s="22"/>
      <c r="Y533" s="16"/>
      <c r="Z533" s="16"/>
      <c r="AA533" s="16"/>
      <c r="AB533" s="16"/>
      <c r="AC533" s="16"/>
      <c r="AD533" s="20"/>
      <c r="AE533" s="16"/>
    </row>
    <row r="534" spans="1:31" s="21" customFormat="1">
      <c r="D534" s="17"/>
      <c r="E534" s="16"/>
      <c r="F534" s="16"/>
      <c r="G534" s="16"/>
      <c r="H534" s="16"/>
      <c r="I534" s="16"/>
      <c r="J534" s="16"/>
      <c r="K534" s="17"/>
      <c r="L534" s="16"/>
      <c r="M534" s="16"/>
      <c r="N534" s="16"/>
      <c r="O534" s="16"/>
      <c r="P534" s="17"/>
      <c r="Q534" s="18"/>
      <c r="R534" s="19"/>
      <c r="S534" s="20"/>
      <c r="T534" s="17"/>
      <c r="X534" s="22"/>
      <c r="Y534" s="16"/>
      <c r="Z534" s="16"/>
      <c r="AA534" s="16"/>
      <c r="AB534" s="16"/>
      <c r="AC534" s="16"/>
      <c r="AD534" s="20"/>
      <c r="AE534" s="16"/>
    </row>
    <row r="535" spans="1:31" s="21" customFormat="1">
      <c r="D535" s="17"/>
      <c r="E535" s="16"/>
      <c r="F535" s="16"/>
      <c r="G535" s="16"/>
      <c r="H535" s="16"/>
      <c r="I535" s="16"/>
      <c r="J535" s="16"/>
      <c r="K535" s="17"/>
      <c r="L535" s="16"/>
      <c r="M535" s="16"/>
      <c r="N535" s="16"/>
      <c r="O535" s="16"/>
      <c r="P535" s="17"/>
      <c r="Q535" s="18"/>
      <c r="R535" s="19"/>
      <c r="S535" s="20"/>
      <c r="T535" s="17"/>
      <c r="X535" s="22"/>
      <c r="Y535" s="16"/>
      <c r="Z535" s="16"/>
      <c r="AA535" s="16"/>
      <c r="AB535" s="16"/>
      <c r="AC535" s="16"/>
      <c r="AD535" s="20"/>
      <c r="AE535" s="16"/>
    </row>
    <row r="536" spans="1:31" s="21" customFormat="1">
      <c r="D536" s="17"/>
      <c r="E536" s="16"/>
      <c r="F536" s="16"/>
      <c r="G536" s="16"/>
      <c r="H536" s="16"/>
      <c r="I536" s="16"/>
      <c r="J536" s="16"/>
      <c r="K536" s="17"/>
      <c r="L536" s="16"/>
      <c r="M536" s="16"/>
      <c r="N536" s="16"/>
      <c r="O536" s="16"/>
      <c r="P536" s="17"/>
      <c r="Q536" s="18"/>
      <c r="R536" s="19"/>
      <c r="S536" s="20"/>
      <c r="T536" s="17"/>
      <c r="X536" s="22"/>
      <c r="Y536" s="16"/>
      <c r="Z536" s="16"/>
      <c r="AA536" s="16"/>
      <c r="AB536" s="16"/>
      <c r="AC536" s="16"/>
      <c r="AD536" s="20"/>
      <c r="AE536" s="16"/>
    </row>
    <row r="537" spans="1:31" s="21" customFormat="1">
      <c r="D537" s="17"/>
      <c r="E537" s="16"/>
      <c r="F537" s="16"/>
      <c r="G537" s="16"/>
      <c r="H537" s="16"/>
      <c r="I537" s="16"/>
      <c r="J537" s="16"/>
      <c r="K537" s="17"/>
      <c r="L537" s="16"/>
      <c r="M537" s="16"/>
      <c r="N537" s="16"/>
      <c r="O537" s="16"/>
      <c r="P537" s="17"/>
      <c r="Q537" s="18"/>
      <c r="R537" s="19"/>
      <c r="S537" s="20"/>
      <c r="T537" s="17"/>
      <c r="X537" s="22"/>
      <c r="Y537" s="16"/>
      <c r="Z537" s="16"/>
      <c r="AA537" s="16"/>
      <c r="AB537" s="16"/>
      <c r="AC537" s="16"/>
      <c r="AD537" s="20"/>
      <c r="AE537" s="16"/>
    </row>
    <row r="538" spans="1:31" s="21" customFormat="1">
      <c r="D538" s="17"/>
      <c r="E538" s="16"/>
      <c r="F538" s="16"/>
      <c r="G538" s="16"/>
      <c r="H538" s="16"/>
      <c r="I538" s="16"/>
      <c r="J538" s="16"/>
      <c r="K538" s="17"/>
      <c r="L538" s="16"/>
      <c r="M538" s="16"/>
      <c r="N538" s="16"/>
      <c r="O538" s="16"/>
      <c r="P538" s="17"/>
      <c r="Q538" s="18"/>
      <c r="R538" s="19"/>
      <c r="S538" s="20"/>
      <c r="T538" s="17"/>
      <c r="X538" s="22"/>
      <c r="Y538" s="16"/>
      <c r="Z538" s="16"/>
      <c r="AA538" s="16"/>
      <c r="AB538" s="16"/>
      <c r="AC538" s="16"/>
      <c r="AD538" s="20"/>
      <c r="AE538" s="16"/>
    </row>
    <row r="539" spans="1:31" s="21" customFormat="1">
      <c r="D539" s="17"/>
      <c r="E539" s="16"/>
      <c r="F539" s="16"/>
      <c r="G539" s="16"/>
      <c r="H539" s="16"/>
      <c r="I539" s="16"/>
      <c r="J539" s="16"/>
      <c r="K539" s="17"/>
      <c r="L539" s="16"/>
      <c r="M539" s="16"/>
      <c r="N539" s="16"/>
      <c r="O539" s="16"/>
      <c r="P539" s="17"/>
      <c r="Q539" s="18"/>
      <c r="R539" s="19"/>
      <c r="S539" s="20"/>
      <c r="T539" s="17"/>
      <c r="X539" s="22"/>
      <c r="Y539" s="16"/>
      <c r="Z539" s="16"/>
      <c r="AA539" s="16"/>
      <c r="AB539" s="16"/>
      <c r="AC539" s="16"/>
      <c r="AD539" s="20"/>
      <c r="AE539" s="16"/>
    </row>
    <row r="540" spans="1:31" s="21" customFormat="1">
      <c r="D540" s="17"/>
      <c r="E540" s="16"/>
      <c r="F540" s="16"/>
      <c r="G540" s="16"/>
      <c r="H540" s="16"/>
      <c r="I540" s="16"/>
      <c r="J540" s="16"/>
      <c r="K540" s="17"/>
      <c r="L540" s="16"/>
      <c r="M540" s="16"/>
      <c r="N540" s="16"/>
      <c r="O540" s="16"/>
      <c r="P540" s="17"/>
      <c r="Q540" s="18"/>
      <c r="R540" s="19"/>
      <c r="S540" s="20"/>
      <c r="T540" s="17"/>
      <c r="X540" s="22"/>
      <c r="Y540" s="16"/>
      <c r="Z540" s="16"/>
      <c r="AA540" s="16"/>
      <c r="AB540" s="16"/>
      <c r="AC540" s="16"/>
      <c r="AD540" s="20"/>
      <c r="AE540" s="16"/>
    </row>
    <row r="541" spans="1:31" s="21" customFormat="1">
      <c r="D541" s="17"/>
      <c r="E541" s="16"/>
      <c r="F541" s="16"/>
      <c r="G541" s="16"/>
      <c r="H541" s="16"/>
      <c r="I541" s="16"/>
      <c r="J541" s="16"/>
      <c r="K541" s="17"/>
      <c r="L541" s="16"/>
      <c r="M541" s="16"/>
      <c r="N541" s="16"/>
      <c r="O541" s="16"/>
      <c r="P541" s="17"/>
      <c r="Q541" s="18"/>
      <c r="R541" s="19"/>
      <c r="S541" s="20"/>
      <c r="T541" s="17"/>
      <c r="X541" s="22"/>
      <c r="Y541" s="16"/>
      <c r="Z541" s="16"/>
      <c r="AA541" s="16"/>
      <c r="AB541" s="16"/>
      <c r="AC541" s="16"/>
      <c r="AD541" s="20"/>
      <c r="AE541" s="16"/>
    </row>
    <row r="542" spans="1:31" s="21" customFormat="1">
      <c r="D542" s="17"/>
      <c r="E542" s="16"/>
      <c r="F542" s="16"/>
      <c r="G542" s="16"/>
      <c r="H542" s="16"/>
      <c r="I542" s="16"/>
      <c r="J542" s="16"/>
      <c r="K542" s="17"/>
      <c r="L542" s="16"/>
      <c r="M542" s="16"/>
      <c r="N542" s="16"/>
      <c r="O542" s="16"/>
      <c r="P542" s="17"/>
      <c r="Q542" s="18"/>
      <c r="R542" s="19"/>
      <c r="S542" s="20"/>
      <c r="T542" s="17"/>
      <c r="X542" s="22"/>
      <c r="Y542" s="16"/>
      <c r="Z542" s="16"/>
      <c r="AA542" s="16"/>
      <c r="AB542" s="16"/>
      <c r="AC542" s="16"/>
      <c r="AD542" s="20"/>
      <c r="AE542" s="16"/>
    </row>
    <row r="543" spans="1:31" s="21" customFormat="1">
      <c r="D543" s="17"/>
      <c r="E543" s="16"/>
      <c r="F543" s="16"/>
      <c r="G543" s="16"/>
      <c r="H543" s="16"/>
      <c r="I543" s="16"/>
      <c r="J543" s="16"/>
      <c r="K543" s="17"/>
      <c r="L543" s="16"/>
      <c r="M543" s="16"/>
      <c r="N543" s="16"/>
      <c r="O543" s="16"/>
      <c r="P543" s="17"/>
      <c r="Q543" s="18"/>
      <c r="R543" s="19"/>
      <c r="S543" s="20"/>
      <c r="T543" s="17"/>
      <c r="X543" s="22"/>
      <c r="Y543" s="16"/>
      <c r="Z543" s="16"/>
      <c r="AA543" s="16"/>
      <c r="AB543" s="16"/>
      <c r="AC543" s="16"/>
      <c r="AD543" s="20"/>
      <c r="AE543" s="16"/>
    </row>
    <row r="544" spans="1:31" s="21" customFormat="1">
      <c r="D544" s="17"/>
      <c r="E544" s="16"/>
      <c r="F544" s="16"/>
      <c r="G544" s="16"/>
      <c r="H544" s="16"/>
      <c r="I544" s="16"/>
      <c r="J544" s="16"/>
      <c r="K544" s="17"/>
      <c r="L544" s="16"/>
      <c r="M544" s="16"/>
      <c r="N544" s="16"/>
      <c r="O544" s="16"/>
      <c r="P544" s="17"/>
      <c r="Q544" s="18"/>
      <c r="R544" s="19"/>
      <c r="S544" s="20"/>
      <c r="T544" s="17"/>
      <c r="X544" s="22"/>
      <c r="Y544" s="16"/>
      <c r="Z544" s="16"/>
      <c r="AA544" s="16"/>
      <c r="AB544" s="16"/>
      <c r="AC544" s="16"/>
      <c r="AD544" s="20"/>
      <c r="AE544" s="16"/>
    </row>
    <row r="545" spans="4:31" s="21" customFormat="1">
      <c r="D545" s="17"/>
      <c r="E545" s="16"/>
      <c r="F545" s="16"/>
      <c r="G545" s="16"/>
      <c r="H545" s="16"/>
      <c r="I545" s="16"/>
      <c r="J545" s="16"/>
      <c r="K545" s="17"/>
      <c r="L545" s="16"/>
      <c r="M545" s="16"/>
      <c r="N545" s="16"/>
      <c r="O545" s="16"/>
      <c r="P545" s="17"/>
      <c r="Q545" s="18"/>
      <c r="R545" s="19"/>
      <c r="S545" s="20"/>
      <c r="T545" s="17"/>
      <c r="X545" s="22"/>
      <c r="Y545" s="16"/>
      <c r="Z545" s="16"/>
      <c r="AA545" s="16"/>
      <c r="AB545" s="16"/>
      <c r="AC545" s="16"/>
      <c r="AD545" s="20"/>
      <c r="AE545" s="16"/>
    </row>
    <row r="546" spans="4:31" s="21" customFormat="1">
      <c r="D546" s="17"/>
      <c r="E546" s="16"/>
      <c r="F546" s="16"/>
      <c r="G546" s="16"/>
      <c r="H546" s="16"/>
      <c r="I546" s="16"/>
      <c r="J546" s="16"/>
      <c r="K546" s="17"/>
      <c r="L546" s="16"/>
      <c r="M546" s="16"/>
      <c r="N546" s="16"/>
      <c r="O546" s="16"/>
      <c r="P546" s="17"/>
      <c r="Q546" s="18"/>
      <c r="R546" s="19"/>
      <c r="S546" s="20"/>
      <c r="T546" s="17"/>
      <c r="X546" s="22"/>
      <c r="Y546" s="16"/>
      <c r="Z546" s="16"/>
      <c r="AA546" s="16"/>
      <c r="AB546" s="16"/>
      <c r="AC546" s="16"/>
      <c r="AD546" s="20"/>
      <c r="AE546" s="16"/>
    </row>
    <row r="547" spans="4:31" s="21" customFormat="1">
      <c r="D547" s="17"/>
      <c r="E547" s="16"/>
      <c r="F547" s="16"/>
      <c r="G547" s="16"/>
      <c r="H547" s="16"/>
      <c r="I547" s="16"/>
      <c r="J547" s="16"/>
      <c r="K547" s="17"/>
      <c r="L547" s="16"/>
      <c r="M547" s="16"/>
      <c r="N547" s="16"/>
      <c r="O547" s="16"/>
      <c r="P547" s="17"/>
      <c r="Q547" s="18"/>
      <c r="R547" s="19"/>
      <c r="S547" s="20"/>
      <c r="T547" s="17"/>
      <c r="X547" s="22"/>
      <c r="Y547" s="16"/>
      <c r="Z547" s="16"/>
      <c r="AA547" s="16"/>
      <c r="AB547" s="16"/>
      <c r="AC547" s="16"/>
      <c r="AD547" s="20"/>
      <c r="AE547" s="16"/>
    </row>
    <row r="548" spans="4:31" s="21" customFormat="1">
      <c r="D548" s="17"/>
      <c r="E548" s="16"/>
      <c r="F548" s="16"/>
      <c r="G548" s="16"/>
      <c r="H548" s="16"/>
      <c r="I548" s="16"/>
      <c r="J548" s="16"/>
      <c r="K548" s="17"/>
      <c r="L548" s="16"/>
      <c r="M548" s="16"/>
      <c r="N548" s="16"/>
      <c r="O548" s="16"/>
      <c r="P548" s="17"/>
      <c r="Q548" s="18"/>
      <c r="R548" s="19"/>
      <c r="S548" s="20"/>
      <c r="T548" s="17"/>
      <c r="X548" s="22"/>
      <c r="Y548" s="16"/>
      <c r="Z548" s="16"/>
      <c r="AA548" s="16"/>
      <c r="AB548" s="16"/>
      <c r="AC548" s="16"/>
      <c r="AD548" s="20"/>
      <c r="AE548" s="16"/>
    </row>
    <row r="549" spans="4:31" s="21" customFormat="1">
      <c r="D549" s="17"/>
      <c r="E549" s="16"/>
      <c r="F549" s="16"/>
      <c r="G549" s="16"/>
      <c r="H549" s="16"/>
      <c r="I549" s="16"/>
      <c r="J549" s="16"/>
      <c r="K549" s="17"/>
      <c r="L549" s="16"/>
      <c r="M549" s="16"/>
      <c r="N549" s="16"/>
      <c r="O549" s="16"/>
      <c r="P549" s="17"/>
      <c r="Q549" s="18"/>
      <c r="R549" s="19"/>
      <c r="S549" s="20"/>
      <c r="T549" s="17"/>
      <c r="X549" s="22"/>
      <c r="Y549" s="16"/>
      <c r="Z549" s="16"/>
      <c r="AA549" s="16"/>
      <c r="AB549" s="16"/>
      <c r="AC549" s="16"/>
      <c r="AD549" s="20"/>
      <c r="AE549" s="16"/>
    </row>
    <row r="550" spans="4:31" s="21" customFormat="1">
      <c r="D550" s="17"/>
      <c r="E550" s="16"/>
      <c r="F550" s="16"/>
      <c r="G550" s="16"/>
      <c r="H550" s="16"/>
      <c r="I550" s="16"/>
      <c r="J550" s="16"/>
      <c r="K550" s="17"/>
      <c r="L550" s="16"/>
      <c r="M550" s="16"/>
      <c r="N550" s="16"/>
      <c r="O550" s="16"/>
      <c r="P550" s="17"/>
      <c r="Q550" s="18"/>
      <c r="R550" s="19"/>
      <c r="S550" s="20"/>
      <c r="T550" s="17"/>
      <c r="X550" s="22"/>
      <c r="Y550" s="16"/>
      <c r="Z550" s="16"/>
      <c r="AA550" s="16"/>
      <c r="AB550" s="16"/>
      <c r="AC550" s="16"/>
      <c r="AD550" s="20"/>
      <c r="AE550" s="16"/>
    </row>
    <row r="551" spans="4:31" s="21" customFormat="1">
      <c r="D551" s="17"/>
      <c r="E551" s="16"/>
      <c r="F551" s="16"/>
      <c r="G551" s="16"/>
      <c r="H551" s="16"/>
      <c r="I551" s="16"/>
      <c r="J551" s="16"/>
      <c r="K551" s="17"/>
      <c r="L551" s="16"/>
      <c r="M551" s="16"/>
      <c r="N551" s="16"/>
      <c r="O551" s="16"/>
      <c r="P551" s="17"/>
      <c r="Q551" s="18"/>
      <c r="R551" s="19"/>
      <c r="S551" s="20"/>
      <c r="T551" s="17"/>
      <c r="X551" s="22"/>
      <c r="Y551" s="16"/>
      <c r="Z551" s="16"/>
      <c r="AA551" s="16"/>
      <c r="AB551" s="16"/>
      <c r="AC551" s="16"/>
      <c r="AD551" s="20"/>
      <c r="AE551" s="16"/>
    </row>
    <row r="552" spans="4:31" s="21" customFormat="1">
      <c r="D552" s="17"/>
      <c r="E552" s="16"/>
      <c r="F552" s="16"/>
      <c r="G552" s="16"/>
      <c r="H552" s="16"/>
      <c r="I552" s="16"/>
      <c r="J552" s="16"/>
      <c r="K552" s="17"/>
      <c r="L552" s="16"/>
      <c r="M552" s="16"/>
      <c r="N552" s="16"/>
      <c r="O552" s="16"/>
      <c r="P552" s="17"/>
      <c r="Q552" s="18"/>
      <c r="R552" s="19"/>
      <c r="S552" s="20"/>
      <c r="T552" s="17"/>
      <c r="X552" s="22"/>
      <c r="Y552" s="16"/>
      <c r="Z552" s="16"/>
      <c r="AA552" s="16"/>
      <c r="AB552" s="16"/>
      <c r="AC552" s="16"/>
      <c r="AD552" s="20"/>
      <c r="AE552" s="16"/>
    </row>
    <row r="553" spans="4:31" s="21" customFormat="1">
      <c r="D553" s="17"/>
      <c r="E553" s="16"/>
      <c r="F553" s="16"/>
      <c r="G553" s="16"/>
      <c r="H553" s="16"/>
      <c r="I553" s="16"/>
      <c r="J553" s="16"/>
      <c r="K553" s="17"/>
      <c r="L553" s="16"/>
      <c r="M553" s="16"/>
      <c r="N553" s="16"/>
      <c r="O553" s="16"/>
      <c r="P553" s="17"/>
      <c r="Q553" s="18"/>
      <c r="R553" s="19"/>
      <c r="S553" s="20"/>
      <c r="T553" s="17"/>
      <c r="X553" s="22"/>
      <c r="Y553" s="16"/>
      <c r="Z553" s="16"/>
      <c r="AA553" s="16"/>
      <c r="AB553" s="16"/>
      <c r="AC553" s="16"/>
      <c r="AD553" s="20"/>
      <c r="AE553" s="16"/>
    </row>
    <row r="554" spans="4:31" s="21" customFormat="1">
      <c r="D554" s="17"/>
      <c r="E554" s="16"/>
      <c r="F554" s="16"/>
      <c r="G554" s="16"/>
      <c r="H554" s="16"/>
      <c r="I554" s="16"/>
      <c r="J554" s="16"/>
      <c r="K554" s="17"/>
      <c r="L554" s="16"/>
      <c r="M554" s="16"/>
      <c r="N554" s="16"/>
      <c r="O554" s="16"/>
      <c r="P554" s="17"/>
      <c r="Q554" s="18"/>
      <c r="R554" s="19"/>
      <c r="S554" s="20"/>
      <c r="T554" s="17"/>
      <c r="X554" s="22"/>
      <c r="Y554" s="16"/>
      <c r="Z554" s="16"/>
      <c r="AA554" s="16"/>
      <c r="AB554" s="16"/>
      <c r="AC554" s="16"/>
      <c r="AD554" s="20"/>
      <c r="AE554" s="16"/>
    </row>
    <row r="555" spans="4:31" s="21" customFormat="1">
      <c r="D555" s="17"/>
      <c r="E555" s="16"/>
      <c r="F555" s="16"/>
      <c r="G555" s="16"/>
      <c r="H555" s="16"/>
      <c r="I555" s="16"/>
      <c r="J555" s="16"/>
      <c r="K555" s="17"/>
      <c r="L555" s="16"/>
      <c r="M555" s="16"/>
      <c r="N555" s="16"/>
      <c r="O555" s="16"/>
      <c r="P555" s="17"/>
      <c r="Q555" s="18"/>
      <c r="R555" s="19"/>
      <c r="S555" s="20"/>
      <c r="T555" s="17"/>
      <c r="X555" s="22"/>
      <c r="Y555" s="16"/>
      <c r="Z555" s="16"/>
      <c r="AA555" s="16"/>
      <c r="AB555" s="16"/>
      <c r="AC555" s="16"/>
      <c r="AD555" s="20"/>
      <c r="AE555" s="16"/>
    </row>
    <row r="556" spans="4:31" s="21" customFormat="1">
      <c r="D556" s="17"/>
      <c r="E556" s="16"/>
      <c r="F556" s="16"/>
      <c r="G556" s="16"/>
      <c r="H556" s="16"/>
      <c r="I556" s="16"/>
      <c r="J556" s="16"/>
      <c r="K556" s="17"/>
      <c r="L556" s="16"/>
      <c r="M556" s="16"/>
      <c r="N556" s="16"/>
      <c r="O556" s="16"/>
      <c r="P556" s="17"/>
      <c r="Q556" s="18"/>
      <c r="R556" s="19"/>
      <c r="S556" s="20"/>
      <c r="T556" s="17"/>
      <c r="X556" s="22"/>
      <c r="Y556" s="16"/>
      <c r="Z556" s="16"/>
      <c r="AA556" s="16"/>
      <c r="AB556" s="16"/>
      <c r="AC556" s="16"/>
      <c r="AD556" s="20"/>
      <c r="AE556" s="16"/>
    </row>
    <row r="557" spans="4:31" s="21" customFormat="1">
      <c r="D557" s="17"/>
      <c r="E557" s="16"/>
      <c r="F557" s="16"/>
      <c r="G557" s="16"/>
      <c r="H557" s="16"/>
      <c r="I557" s="16"/>
      <c r="J557" s="16"/>
      <c r="K557" s="17"/>
      <c r="L557" s="16"/>
      <c r="M557" s="16"/>
      <c r="N557" s="16"/>
      <c r="O557" s="16"/>
      <c r="P557" s="17"/>
      <c r="Q557" s="18"/>
      <c r="R557" s="19"/>
      <c r="S557" s="20"/>
      <c r="T557" s="17"/>
      <c r="X557" s="22"/>
      <c r="Y557" s="16"/>
      <c r="Z557" s="16"/>
      <c r="AA557" s="16"/>
      <c r="AB557" s="16"/>
      <c r="AC557" s="16"/>
      <c r="AD557" s="20"/>
      <c r="AE557" s="16"/>
    </row>
    <row r="558" spans="4:31" s="21" customFormat="1">
      <c r="D558" s="17"/>
      <c r="E558" s="16"/>
      <c r="F558" s="16"/>
      <c r="G558" s="16"/>
      <c r="H558" s="16"/>
      <c r="I558" s="16"/>
      <c r="J558" s="16"/>
      <c r="K558" s="17"/>
      <c r="L558" s="16"/>
      <c r="M558" s="16"/>
      <c r="N558" s="16"/>
      <c r="O558" s="16"/>
      <c r="P558" s="17"/>
      <c r="Q558" s="18"/>
      <c r="R558" s="19"/>
      <c r="S558" s="20"/>
      <c r="T558" s="17"/>
      <c r="X558" s="22"/>
      <c r="Y558" s="16"/>
      <c r="Z558" s="16"/>
      <c r="AA558" s="16"/>
      <c r="AB558" s="16"/>
      <c r="AC558" s="16"/>
      <c r="AD558" s="20"/>
      <c r="AE558" s="16"/>
    </row>
    <row r="559" spans="4:31" s="21" customFormat="1">
      <c r="D559" s="17"/>
      <c r="E559" s="16"/>
      <c r="F559" s="16"/>
      <c r="G559" s="16"/>
      <c r="H559" s="16"/>
      <c r="I559" s="16"/>
      <c r="J559" s="16"/>
      <c r="K559" s="17"/>
      <c r="L559" s="16"/>
      <c r="M559" s="16"/>
      <c r="N559" s="16"/>
      <c r="O559" s="16"/>
      <c r="P559" s="17"/>
      <c r="Q559" s="18"/>
      <c r="R559" s="19"/>
      <c r="S559" s="20"/>
      <c r="T559" s="17"/>
      <c r="X559" s="22"/>
      <c r="Y559" s="16"/>
      <c r="Z559" s="16"/>
      <c r="AA559" s="16"/>
      <c r="AB559" s="16"/>
      <c r="AC559" s="16"/>
      <c r="AD559" s="20"/>
      <c r="AE559" s="16"/>
    </row>
    <row r="560" spans="4:31" s="21" customFormat="1">
      <c r="D560" s="17"/>
      <c r="E560" s="16"/>
      <c r="F560" s="16"/>
      <c r="G560" s="16"/>
      <c r="H560" s="16"/>
      <c r="I560" s="16"/>
      <c r="J560" s="16"/>
      <c r="K560" s="17"/>
      <c r="L560" s="16"/>
      <c r="M560" s="16"/>
      <c r="N560" s="16"/>
      <c r="O560" s="16"/>
      <c r="P560" s="17"/>
      <c r="Q560" s="18"/>
      <c r="R560" s="19"/>
      <c r="S560" s="20"/>
      <c r="T560" s="17"/>
      <c r="X560" s="22"/>
      <c r="Y560" s="16"/>
      <c r="Z560" s="16"/>
      <c r="AA560" s="16"/>
      <c r="AB560" s="16"/>
      <c r="AC560" s="16"/>
      <c r="AD560" s="20"/>
      <c r="AE560" s="16"/>
    </row>
    <row r="561" spans="4:31" s="21" customFormat="1">
      <c r="D561" s="17"/>
      <c r="E561" s="16"/>
      <c r="F561" s="16"/>
      <c r="G561" s="16"/>
      <c r="H561" s="16"/>
      <c r="I561" s="16"/>
      <c r="J561" s="16"/>
      <c r="K561" s="17"/>
      <c r="L561" s="16"/>
      <c r="M561" s="16"/>
      <c r="N561" s="16"/>
      <c r="O561" s="16"/>
      <c r="P561" s="17"/>
      <c r="Q561" s="18"/>
      <c r="R561" s="19"/>
      <c r="S561" s="20"/>
      <c r="T561" s="17"/>
      <c r="X561" s="22"/>
      <c r="Y561" s="16"/>
      <c r="Z561" s="16"/>
      <c r="AA561" s="16"/>
      <c r="AB561" s="16"/>
      <c r="AC561" s="16"/>
      <c r="AD561" s="20"/>
      <c r="AE561" s="16"/>
    </row>
    <row r="562" spans="4:31" s="21" customFormat="1">
      <c r="D562" s="17"/>
      <c r="E562" s="16"/>
      <c r="F562" s="16"/>
      <c r="G562" s="16"/>
      <c r="H562" s="16"/>
      <c r="I562" s="16"/>
      <c r="J562" s="16"/>
      <c r="K562" s="17"/>
      <c r="L562" s="16"/>
      <c r="M562" s="16"/>
      <c r="N562" s="16"/>
      <c r="O562" s="16"/>
      <c r="P562" s="17"/>
      <c r="Q562" s="18"/>
      <c r="R562" s="19"/>
      <c r="S562" s="20"/>
      <c r="T562" s="17"/>
      <c r="X562" s="22"/>
      <c r="Y562" s="16"/>
      <c r="Z562" s="16"/>
      <c r="AA562" s="16"/>
      <c r="AB562" s="16"/>
      <c r="AC562" s="16"/>
      <c r="AD562" s="20"/>
      <c r="AE562" s="16"/>
    </row>
    <row r="563" spans="4:31" s="21" customFormat="1">
      <c r="D563" s="17"/>
      <c r="E563" s="16"/>
      <c r="F563" s="16"/>
      <c r="G563" s="16"/>
      <c r="H563" s="16"/>
      <c r="I563" s="16"/>
      <c r="J563" s="16"/>
      <c r="K563" s="17"/>
      <c r="L563" s="16"/>
      <c r="M563" s="16"/>
      <c r="N563" s="16"/>
      <c r="O563" s="16"/>
      <c r="P563" s="17"/>
      <c r="Q563" s="18"/>
      <c r="R563" s="19"/>
      <c r="S563" s="20"/>
      <c r="T563" s="17"/>
      <c r="X563" s="22"/>
      <c r="Y563" s="16"/>
      <c r="Z563" s="16"/>
      <c r="AA563" s="16"/>
      <c r="AB563" s="16"/>
      <c r="AC563" s="16"/>
      <c r="AD563" s="20"/>
      <c r="AE563" s="16"/>
    </row>
    <row r="564" spans="4:31" s="21" customFormat="1">
      <c r="D564" s="17"/>
      <c r="E564" s="16"/>
      <c r="F564" s="16"/>
      <c r="G564" s="16"/>
      <c r="H564" s="16"/>
      <c r="I564" s="16"/>
      <c r="J564" s="16"/>
      <c r="K564" s="17"/>
      <c r="L564" s="16"/>
      <c r="M564" s="16"/>
      <c r="N564" s="16"/>
      <c r="O564" s="16"/>
      <c r="P564" s="17"/>
      <c r="Q564" s="18"/>
      <c r="R564" s="19"/>
      <c r="S564" s="20"/>
      <c r="T564" s="17"/>
      <c r="X564" s="22"/>
      <c r="Y564" s="16"/>
      <c r="Z564" s="16"/>
      <c r="AA564" s="16"/>
      <c r="AB564" s="16"/>
      <c r="AC564" s="16"/>
      <c r="AD564" s="20"/>
      <c r="AE564" s="16"/>
    </row>
    <row r="565" spans="4:31" s="21" customFormat="1">
      <c r="D565" s="17"/>
      <c r="E565" s="16"/>
      <c r="F565" s="16"/>
      <c r="G565" s="16"/>
      <c r="H565" s="16"/>
      <c r="I565" s="16"/>
      <c r="J565" s="16"/>
      <c r="K565" s="17"/>
      <c r="L565" s="16"/>
      <c r="M565" s="16"/>
      <c r="N565" s="16"/>
      <c r="O565" s="16"/>
      <c r="P565" s="17"/>
      <c r="Q565" s="18"/>
      <c r="R565" s="19"/>
      <c r="S565" s="20"/>
      <c r="T565" s="17"/>
      <c r="X565" s="22"/>
      <c r="Y565" s="16"/>
      <c r="Z565" s="16"/>
      <c r="AA565" s="16"/>
      <c r="AB565" s="16"/>
      <c r="AC565" s="16"/>
      <c r="AD565" s="20"/>
      <c r="AE565" s="16"/>
    </row>
    <row r="566" spans="4:31" s="21" customFormat="1">
      <c r="D566" s="17"/>
      <c r="E566" s="16"/>
      <c r="F566" s="16"/>
      <c r="G566" s="16"/>
      <c r="H566" s="16"/>
      <c r="I566" s="16"/>
      <c r="J566" s="16"/>
      <c r="K566" s="17"/>
      <c r="L566" s="16"/>
      <c r="M566" s="16"/>
      <c r="N566" s="16"/>
      <c r="O566" s="16"/>
      <c r="P566" s="17"/>
      <c r="Q566" s="18"/>
      <c r="R566" s="19"/>
      <c r="S566" s="20"/>
      <c r="T566" s="17"/>
      <c r="X566" s="22"/>
      <c r="Y566" s="16"/>
      <c r="Z566" s="16"/>
      <c r="AA566" s="16"/>
      <c r="AB566" s="16"/>
      <c r="AC566" s="16"/>
      <c r="AD566" s="20"/>
      <c r="AE566" s="16"/>
    </row>
    <row r="567" spans="4:31" s="21" customFormat="1">
      <c r="D567" s="17"/>
      <c r="E567" s="16"/>
      <c r="F567" s="16"/>
      <c r="G567" s="16"/>
      <c r="H567" s="16"/>
      <c r="I567" s="16"/>
      <c r="J567" s="16"/>
      <c r="K567" s="17"/>
      <c r="L567" s="16"/>
      <c r="M567" s="16"/>
      <c r="N567" s="16"/>
      <c r="O567" s="16"/>
      <c r="P567" s="17"/>
      <c r="Q567" s="18"/>
      <c r="R567" s="19"/>
      <c r="S567" s="20"/>
      <c r="T567" s="17"/>
      <c r="X567" s="22"/>
      <c r="Y567" s="16"/>
      <c r="Z567" s="16"/>
      <c r="AA567" s="16"/>
      <c r="AB567" s="16"/>
      <c r="AC567" s="16"/>
      <c r="AD567" s="20"/>
      <c r="AE567" s="16"/>
    </row>
    <row r="568" spans="4:31" s="21" customFormat="1">
      <c r="D568" s="17"/>
      <c r="E568" s="16"/>
      <c r="F568" s="16"/>
      <c r="G568" s="16"/>
      <c r="H568" s="16"/>
      <c r="I568" s="16"/>
      <c r="J568" s="16"/>
      <c r="K568" s="17"/>
      <c r="L568" s="16"/>
      <c r="M568" s="16"/>
      <c r="N568" s="16"/>
      <c r="O568" s="16"/>
      <c r="P568" s="17"/>
      <c r="Q568" s="18"/>
      <c r="R568" s="19"/>
      <c r="S568" s="20"/>
      <c r="T568" s="17"/>
      <c r="X568" s="22"/>
      <c r="Y568" s="16"/>
      <c r="Z568" s="16"/>
      <c r="AA568" s="16"/>
      <c r="AB568" s="16"/>
      <c r="AC568" s="16"/>
      <c r="AD568" s="20"/>
      <c r="AE568" s="16"/>
    </row>
    <row r="569" spans="4:31" s="21" customFormat="1">
      <c r="D569" s="17"/>
      <c r="E569" s="16"/>
      <c r="F569" s="16"/>
      <c r="G569" s="16"/>
      <c r="H569" s="16"/>
      <c r="I569" s="16"/>
      <c r="J569" s="16"/>
      <c r="K569" s="17"/>
      <c r="L569" s="16"/>
      <c r="M569" s="16"/>
      <c r="N569" s="16"/>
      <c r="O569" s="16"/>
      <c r="P569" s="17"/>
      <c r="Q569" s="18"/>
      <c r="R569" s="19"/>
      <c r="S569" s="20"/>
      <c r="T569" s="17"/>
      <c r="X569" s="22"/>
      <c r="Y569" s="16"/>
      <c r="Z569" s="16"/>
      <c r="AA569" s="16"/>
      <c r="AB569" s="16"/>
      <c r="AC569" s="16"/>
      <c r="AD569" s="20"/>
      <c r="AE569" s="16"/>
    </row>
    <row r="570" spans="4:31" s="21" customFormat="1">
      <c r="D570" s="17"/>
      <c r="E570" s="16"/>
      <c r="F570" s="16"/>
      <c r="G570" s="16"/>
      <c r="H570" s="16"/>
      <c r="I570" s="16"/>
      <c r="J570" s="16"/>
      <c r="K570" s="17"/>
      <c r="L570" s="16"/>
      <c r="M570" s="16"/>
      <c r="N570" s="16"/>
      <c r="O570" s="16"/>
      <c r="P570" s="17"/>
      <c r="Q570" s="18"/>
      <c r="R570" s="19"/>
      <c r="S570" s="20"/>
      <c r="T570" s="17"/>
      <c r="X570" s="22"/>
      <c r="Y570" s="16"/>
      <c r="Z570" s="16"/>
      <c r="AA570" s="16"/>
      <c r="AB570" s="16"/>
      <c r="AC570" s="16"/>
      <c r="AD570" s="20"/>
      <c r="AE570" s="16"/>
    </row>
    <row r="571" spans="4:31" s="21" customFormat="1">
      <c r="D571" s="17"/>
      <c r="E571" s="16"/>
      <c r="F571" s="16"/>
      <c r="G571" s="16"/>
      <c r="H571" s="16"/>
      <c r="I571" s="16"/>
      <c r="J571" s="16"/>
      <c r="K571" s="17"/>
      <c r="L571" s="16"/>
      <c r="M571" s="16"/>
      <c r="N571" s="16"/>
      <c r="O571" s="16"/>
      <c r="P571" s="17"/>
      <c r="Q571" s="18"/>
      <c r="R571" s="19"/>
      <c r="S571" s="20"/>
      <c r="T571" s="17"/>
      <c r="X571" s="22"/>
      <c r="Y571" s="16"/>
      <c r="Z571" s="16"/>
      <c r="AA571" s="16"/>
      <c r="AB571" s="16"/>
      <c r="AC571" s="16"/>
      <c r="AD571" s="20"/>
      <c r="AE571" s="16"/>
    </row>
    <row r="572" spans="4:31" s="21" customFormat="1">
      <c r="D572" s="17"/>
      <c r="E572" s="16"/>
      <c r="F572" s="16"/>
      <c r="G572" s="16"/>
      <c r="H572" s="16"/>
      <c r="I572" s="16"/>
      <c r="J572" s="16"/>
      <c r="K572" s="17"/>
      <c r="L572" s="16"/>
      <c r="M572" s="16"/>
      <c r="N572" s="16"/>
      <c r="O572" s="16"/>
      <c r="P572" s="17"/>
      <c r="Q572" s="18"/>
      <c r="R572" s="19"/>
      <c r="S572" s="20"/>
      <c r="T572" s="17"/>
      <c r="X572" s="22"/>
      <c r="Y572" s="16"/>
      <c r="Z572" s="16"/>
      <c r="AA572" s="16"/>
      <c r="AB572" s="16"/>
      <c r="AC572" s="16"/>
      <c r="AD572" s="20"/>
      <c r="AE572" s="16"/>
    </row>
    <row r="573" spans="4:31" s="21" customFormat="1">
      <c r="D573" s="17"/>
      <c r="E573" s="16"/>
      <c r="F573" s="16"/>
      <c r="G573" s="16"/>
      <c r="H573" s="16"/>
      <c r="I573" s="16"/>
      <c r="J573" s="16"/>
      <c r="K573" s="17"/>
      <c r="L573" s="16"/>
      <c r="M573" s="16"/>
      <c r="N573" s="16"/>
      <c r="O573" s="16"/>
      <c r="P573" s="17"/>
      <c r="Q573" s="18"/>
      <c r="R573" s="19"/>
      <c r="S573" s="20"/>
      <c r="T573" s="17"/>
      <c r="X573" s="22"/>
      <c r="Y573" s="16"/>
      <c r="Z573" s="16"/>
      <c r="AA573" s="16"/>
      <c r="AB573" s="16"/>
      <c r="AC573" s="16"/>
      <c r="AD573" s="20"/>
      <c r="AE573" s="16"/>
    </row>
    <row r="574" spans="4:31" s="21" customFormat="1">
      <c r="D574" s="17"/>
      <c r="E574" s="16"/>
      <c r="F574" s="16"/>
      <c r="G574" s="16"/>
      <c r="H574" s="16"/>
      <c r="I574" s="16"/>
      <c r="J574" s="16"/>
      <c r="K574" s="17"/>
      <c r="L574" s="16"/>
      <c r="M574" s="16"/>
      <c r="N574" s="16"/>
      <c r="O574" s="16"/>
      <c r="P574" s="17"/>
      <c r="Q574" s="18"/>
      <c r="R574" s="19"/>
      <c r="S574" s="20"/>
      <c r="T574" s="17"/>
      <c r="X574" s="22"/>
      <c r="Y574" s="16"/>
      <c r="Z574" s="16"/>
      <c r="AA574" s="16"/>
      <c r="AB574" s="16"/>
      <c r="AC574" s="16"/>
      <c r="AD574" s="20"/>
      <c r="AE574" s="16"/>
    </row>
    <row r="575" spans="4:31" s="21" customFormat="1">
      <c r="D575" s="17"/>
      <c r="E575" s="16"/>
      <c r="F575" s="16"/>
      <c r="G575" s="16"/>
      <c r="H575" s="16"/>
      <c r="I575" s="16"/>
      <c r="J575" s="16"/>
      <c r="K575" s="17"/>
      <c r="L575" s="16"/>
      <c r="M575" s="16"/>
      <c r="N575" s="16"/>
      <c r="O575" s="16"/>
      <c r="P575" s="17"/>
      <c r="Q575" s="18"/>
      <c r="R575" s="19"/>
      <c r="S575" s="20"/>
      <c r="T575" s="17"/>
      <c r="X575" s="22"/>
      <c r="Y575" s="16"/>
      <c r="Z575" s="16"/>
      <c r="AA575" s="16"/>
      <c r="AB575" s="16"/>
      <c r="AC575" s="16"/>
      <c r="AD575" s="20"/>
      <c r="AE575" s="16"/>
    </row>
    <row r="576" spans="4:31" s="21" customFormat="1">
      <c r="D576" s="17"/>
      <c r="E576" s="16"/>
      <c r="F576" s="16"/>
      <c r="G576" s="16"/>
      <c r="H576" s="16"/>
      <c r="I576" s="16"/>
      <c r="J576" s="16"/>
      <c r="K576" s="17"/>
      <c r="L576" s="16"/>
      <c r="M576" s="16"/>
      <c r="N576" s="16"/>
      <c r="O576" s="16"/>
      <c r="P576" s="17"/>
      <c r="Q576" s="18"/>
      <c r="R576" s="19"/>
      <c r="S576" s="20"/>
      <c r="T576" s="17"/>
      <c r="X576" s="22"/>
      <c r="Y576" s="16"/>
      <c r="Z576" s="16"/>
      <c r="AA576" s="16"/>
      <c r="AB576" s="16"/>
      <c r="AC576" s="16"/>
      <c r="AD576" s="20"/>
      <c r="AE576" s="16"/>
    </row>
    <row r="577" spans="4:31" s="21" customFormat="1">
      <c r="D577" s="17"/>
      <c r="E577" s="16"/>
      <c r="F577" s="16"/>
      <c r="G577" s="16"/>
      <c r="H577" s="16"/>
      <c r="I577" s="16"/>
      <c r="J577" s="16"/>
      <c r="K577" s="17"/>
      <c r="L577" s="16"/>
      <c r="M577" s="16"/>
      <c r="N577" s="16"/>
      <c r="O577" s="16"/>
      <c r="P577" s="17"/>
      <c r="Q577" s="18"/>
      <c r="R577" s="19"/>
      <c r="S577" s="20"/>
      <c r="T577" s="17"/>
      <c r="X577" s="22"/>
      <c r="Y577" s="16"/>
      <c r="Z577" s="16"/>
      <c r="AA577" s="16"/>
      <c r="AB577" s="16"/>
      <c r="AC577" s="16"/>
      <c r="AD577" s="20"/>
      <c r="AE577" s="16"/>
    </row>
    <row r="578" spans="4:31" s="21" customFormat="1">
      <c r="D578" s="17"/>
      <c r="E578" s="16"/>
      <c r="F578" s="16"/>
      <c r="G578" s="16"/>
      <c r="H578" s="16"/>
      <c r="I578" s="16"/>
      <c r="J578" s="16"/>
      <c r="K578" s="17"/>
      <c r="L578" s="16"/>
      <c r="M578" s="16"/>
      <c r="N578" s="16"/>
      <c r="O578" s="16"/>
      <c r="P578" s="17"/>
      <c r="Q578" s="18"/>
      <c r="R578" s="19"/>
      <c r="S578" s="20"/>
      <c r="T578" s="17"/>
      <c r="X578" s="22"/>
      <c r="Y578" s="16"/>
      <c r="Z578" s="16"/>
      <c r="AA578" s="16"/>
      <c r="AB578" s="16"/>
      <c r="AC578" s="16"/>
      <c r="AD578" s="20"/>
      <c r="AE578" s="16"/>
    </row>
    <row r="579" spans="4:31" s="21" customFormat="1">
      <c r="D579" s="17"/>
      <c r="E579" s="16"/>
      <c r="F579" s="16"/>
      <c r="G579" s="16"/>
      <c r="H579" s="16"/>
      <c r="I579" s="16"/>
      <c r="J579" s="16"/>
      <c r="K579" s="17"/>
      <c r="L579" s="16"/>
      <c r="M579" s="16"/>
      <c r="N579" s="16"/>
      <c r="O579" s="16"/>
      <c r="P579" s="17"/>
      <c r="Q579" s="18"/>
      <c r="R579" s="19"/>
      <c r="S579" s="20"/>
      <c r="T579" s="17"/>
      <c r="X579" s="22"/>
      <c r="Y579" s="16"/>
      <c r="Z579" s="16"/>
      <c r="AA579" s="16"/>
      <c r="AB579" s="16"/>
      <c r="AC579" s="16"/>
      <c r="AD579" s="20"/>
      <c r="AE579" s="16"/>
    </row>
    <row r="580" spans="4:31" s="21" customFormat="1">
      <c r="D580" s="17"/>
      <c r="E580" s="16"/>
      <c r="F580" s="16"/>
      <c r="G580" s="16"/>
      <c r="H580" s="16"/>
      <c r="I580" s="16"/>
      <c r="J580" s="16"/>
      <c r="K580" s="17"/>
      <c r="L580" s="16"/>
      <c r="M580" s="16"/>
      <c r="N580" s="16"/>
      <c r="O580" s="16"/>
      <c r="P580" s="17"/>
      <c r="Q580" s="18"/>
      <c r="R580" s="19"/>
      <c r="S580" s="20"/>
      <c r="T580" s="17"/>
      <c r="X580" s="22"/>
      <c r="Y580" s="16"/>
      <c r="Z580" s="16"/>
      <c r="AA580" s="16"/>
      <c r="AB580" s="16"/>
      <c r="AC580" s="16"/>
      <c r="AD580" s="20"/>
      <c r="AE580" s="16"/>
    </row>
    <row r="581" spans="4:31" s="21" customFormat="1">
      <c r="D581" s="17"/>
      <c r="E581" s="16"/>
      <c r="F581" s="16"/>
      <c r="G581" s="16"/>
      <c r="H581" s="16"/>
      <c r="I581" s="16"/>
      <c r="J581" s="16"/>
      <c r="K581" s="17"/>
      <c r="L581" s="16"/>
      <c r="M581" s="16"/>
      <c r="N581" s="16"/>
      <c r="O581" s="16"/>
      <c r="P581" s="17"/>
      <c r="Q581" s="18"/>
      <c r="R581" s="19"/>
      <c r="S581" s="20"/>
      <c r="T581" s="17"/>
      <c r="X581" s="22"/>
      <c r="Y581" s="16"/>
      <c r="Z581" s="16"/>
      <c r="AA581" s="16"/>
      <c r="AB581" s="16"/>
      <c r="AC581" s="16"/>
      <c r="AD581" s="20"/>
      <c r="AE581" s="16"/>
    </row>
    <row r="582" spans="4:31" s="21" customFormat="1">
      <c r="D582" s="17"/>
      <c r="E582" s="16"/>
      <c r="F582" s="16"/>
      <c r="G582" s="16"/>
      <c r="H582" s="16"/>
      <c r="I582" s="16"/>
      <c r="J582" s="16"/>
      <c r="K582" s="17"/>
      <c r="L582" s="16"/>
      <c r="M582" s="16"/>
      <c r="N582" s="16"/>
      <c r="O582" s="16"/>
      <c r="P582" s="17"/>
      <c r="Q582" s="18"/>
      <c r="R582" s="19"/>
      <c r="S582" s="20"/>
      <c r="T582" s="17"/>
      <c r="X582" s="22"/>
      <c r="Y582" s="16"/>
      <c r="Z582" s="16"/>
      <c r="AA582" s="16"/>
      <c r="AB582" s="16"/>
      <c r="AC582" s="16"/>
      <c r="AD582" s="20"/>
      <c r="AE582" s="16"/>
    </row>
    <row r="583" spans="4:31" s="21" customFormat="1">
      <c r="D583" s="17"/>
      <c r="E583" s="16"/>
      <c r="F583" s="16"/>
      <c r="G583" s="16"/>
      <c r="H583" s="16"/>
      <c r="I583" s="16"/>
      <c r="J583" s="16"/>
      <c r="K583" s="17"/>
      <c r="L583" s="16"/>
      <c r="M583" s="16"/>
      <c r="N583" s="16"/>
      <c r="O583" s="16"/>
      <c r="P583" s="17"/>
      <c r="Q583" s="18"/>
      <c r="R583" s="19"/>
      <c r="S583" s="20"/>
      <c r="T583" s="17"/>
      <c r="X583" s="22"/>
      <c r="Y583" s="16"/>
      <c r="Z583" s="16"/>
      <c r="AA583" s="16"/>
      <c r="AB583" s="16"/>
      <c r="AC583" s="16"/>
      <c r="AD583" s="20"/>
      <c r="AE583" s="16"/>
    </row>
    <row r="584" spans="4:31" s="21" customFormat="1">
      <c r="D584" s="17"/>
      <c r="E584" s="16"/>
      <c r="F584" s="16"/>
      <c r="G584" s="16"/>
      <c r="H584" s="16"/>
      <c r="I584" s="16"/>
      <c r="J584" s="16"/>
      <c r="K584" s="17"/>
      <c r="L584" s="16"/>
      <c r="M584" s="16"/>
      <c r="N584" s="16"/>
      <c r="O584" s="16"/>
      <c r="P584" s="17"/>
      <c r="Q584" s="18"/>
      <c r="R584" s="19"/>
      <c r="S584" s="20"/>
      <c r="T584" s="17"/>
      <c r="X584" s="22"/>
      <c r="Y584" s="16"/>
      <c r="Z584" s="16"/>
      <c r="AA584" s="16"/>
      <c r="AB584" s="16"/>
      <c r="AC584" s="16"/>
      <c r="AD584" s="20"/>
      <c r="AE584" s="16"/>
    </row>
    <row r="585" spans="4:31" s="21" customFormat="1">
      <c r="D585" s="17"/>
      <c r="E585" s="16"/>
      <c r="F585" s="16"/>
      <c r="G585" s="16"/>
      <c r="H585" s="16"/>
      <c r="I585" s="16"/>
      <c r="J585" s="16"/>
      <c r="K585" s="17"/>
      <c r="L585" s="16"/>
      <c r="M585" s="16"/>
      <c r="N585" s="16"/>
      <c r="O585" s="16"/>
      <c r="P585" s="17"/>
      <c r="Q585" s="18"/>
      <c r="R585" s="19"/>
      <c r="S585" s="20"/>
      <c r="T585" s="17"/>
      <c r="X585" s="22"/>
      <c r="Y585" s="16"/>
      <c r="Z585" s="16"/>
      <c r="AA585" s="16"/>
      <c r="AB585" s="16"/>
      <c r="AC585" s="16"/>
      <c r="AD585" s="20"/>
      <c r="AE585" s="16"/>
    </row>
    <row r="586" spans="4:31" s="21" customFormat="1">
      <c r="D586" s="17"/>
      <c r="E586" s="16"/>
      <c r="F586" s="16"/>
      <c r="G586" s="16"/>
      <c r="H586" s="16"/>
      <c r="I586" s="16"/>
      <c r="J586" s="16"/>
      <c r="K586" s="17"/>
      <c r="L586" s="16"/>
      <c r="M586" s="16"/>
      <c r="N586" s="16"/>
      <c r="O586" s="16"/>
      <c r="P586" s="17"/>
      <c r="Q586" s="18"/>
      <c r="R586" s="19"/>
      <c r="S586" s="20"/>
      <c r="T586" s="17"/>
      <c r="X586" s="22"/>
      <c r="Y586" s="16"/>
      <c r="Z586" s="16"/>
      <c r="AA586" s="16"/>
      <c r="AB586" s="16"/>
      <c r="AC586" s="16"/>
      <c r="AD586" s="20"/>
      <c r="AE586" s="16"/>
    </row>
    <row r="587" spans="4:31" s="21" customFormat="1">
      <c r="D587" s="17"/>
      <c r="E587" s="16"/>
      <c r="F587" s="16"/>
      <c r="G587" s="16"/>
      <c r="H587" s="16"/>
      <c r="I587" s="16"/>
      <c r="J587" s="16"/>
      <c r="K587" s="17"/>
      <c r="L587" s="16"/>
      <c r="M587" s="16"/>
      <c r="N587" s="16"/>
      <c r="O587" s="16"/>
      <c r="P587" s="17"/>
      <c r="Q587" s="18"/>
      <c r="R587" s="19"/>
      <c r="S587" s="20"/>
      <c r="T587" s="17"/>
      <c r="X587" s="22"/>
      <c r="Y587" s="16"/>
      <c r="Z587" s="16"/>
      <c r="AA587" s="16"/>
      <c r="AB587" s="16"/>
      <c r="AC587" s="16"/>
      <c r="AD587" s="20"/>
      <c r="AE587" s="16"/>
    </row>
    <row r="588" spans="4:31" s="21" customFormat="1">
      <c r="D588" s="17"/>
      <c r="E588" s="16"/>
      <c r="F588" s="16"/>
      <c r="G588" s="16"/>
      <c r="H588" s="16"/>
      <c r="I588" s="16"/>
      <c r="J588" s="16"/>
      <c r="K588" s="17"/>
      <c r="L588" s="16"/>
      <c r="M588" s="16"/>
      <c r="N588" s="16"/>
      <c r="O588" s="16"/>
      <c r="P588" s="17"/>
      <c r="Q588" s="18"/>
      <c r="R588" s="19"/>
      <c r="S588" s="20"/>
      <c r="T588" s="17"/>
      <c r="X588" s="22"/>
      <c r="Y588" s="16"/>
      <c r="Z588" s="16"/>
      <c r="AA588" s="16"/>
      <c r="AB588" s="16"/>
      <c r="AC588" s="16"/>
      <c r="AD588" s="20"/>
      <c r="AE588" s="16"/>
    </row>
    <row r="589" spans="4:31" s="21" customFormat="1">
      <c r="D589" s="17"/>
      <c r="E589" s="16"/>
      <c r="F589" s="16"/>
      <c r="G589" s="16"/>
      <c r="H589" s="16"/>
      <c r="I589" s="16"/>
      <c r="J589" s="16"/>
      <c r="K589" s="17"/>
      <c r="L589" s="16"/>
      <c r="M589" s="16"/>
      <c r="N589" s="16"/>
      <c r="O589" s="16"/>
      <c r="P589" s="17"/>
      <c r="Q589" s="18"/>
      <c r="R589" s="19"/>
      <c r="S589" s="20"/>
      <c r="T589" s="17"/>
      <c r="X589" s="22"/>
      <c r="Y589" s="16"/>
      <c r="Z589" s="16"/>
      <c r="AA589" s="16"/>
      <c r="AB589" s="16"/>
      <c r="AC589" s="16"/>
      <c r="AD589" s="20"/>
      <c r="AE589" s="16"/>
    </row>
    <row r="590" spans="4:31" s="21" customFormat="1">
      <c r="D590" s="17"/>
      <c r="E590" s="16"/>
      <c r="F590" s="16"/>
      <c r="G590" s="16"/>
      <c r="H590" s="16"/>
      <c r="I590" s="16"/>
      <c r="J590" s="16"/>
      <c r="K590" s="17"/>
      <c r="L590" s="16"/>
      <c r="M590" s="16"/>
      <c r="N590" s="16"/>
      <c r="O590" s="16"/>
      <c r="P590" s="17"/>
      <c r="Q590" s="18"/>
      <c r="R590" s="19"/>
      <c r="S590" s="20"/>
      <c r="T590" s="17"/>
      <c r="X590" s="22"/>
      <c r="Y590" s="16"/>
      <c r="Z590" s="16"/>
      <c r="AA590" s="16"/>
      <c r="AB590" s="16"/>
      <c r="AC590" s="16"/>
      <c r="AD590" s="20"/>
      <c r="AE590" s="16"/>
    </row>
    <row r="591" spans="4:31" s="21" customFormat="1">
      <c r="D591" s="17"/>
      <c r="E591" s="16"/>
      <c r="F591" s="16"/>
      <c r="G591" s="16"/>
      <c r="H591" s="16"/>
      <c r="I591" s="16"/>
      <c r="J591" s="16"/>
      <c r="K591" s="17"/>
      <c r="L591" s="16"/>
      <c r="M591" s="16"/>
      <c r="N591" s="16"/>
      <c r="O591" s="16"/>
      <c r="P591" s="17"/>
      <c r="Q591" s="18"/>
      <c r="R591" s="19"/>
      <c r="S591" s="20"/>
      <c r="T591" s="17"/>
      <c r="X591" s="22"/>
      <c r="Y591" s="16"/>
      <c r="Z591" s="16"/>
      <c r="AA591" s="16"/>
      <c r="AB591" s="16"/>
      <c r="AC591" s="16"/>
      <c r="AD591" s="20"/>
      <c r="AE591" s="16"/>
    </row>
    <row r="592" spans="4:31" s="21" customFormat="1">
      <c r="D592" s="17"/>
      <c r="E592" s="16"/>
      <c r="F592" s="16"/>
      <c r="G592" s="16"/>
      <c r="H592" s="16"/>
      <c r="I592" s="16"/>
      <c r="J592" s="16"/>
      <c r="K592" s="17"/>
      <c r="L592" s="16"/>
      <c r="M592" s="16"/>
      <c r="N592" s="16"/>
      <c r="O592" s="16"/>
      <c r="P592" s="17"/>
      <c r="Q592" s="18"/>
      <c r="R592" s="19"/>
      <c r="S592" s="20"/>
      <c r="T592" s="17"/>
      <c r="X592" s="22"/>
      <c r="Y592" s="16"/>
      <c r="Z592" s="16"/>
      <c r="AA592" s="16"/>
      <c r="AB592" s="16"/>
      <c r="AC592" s="16"/>
      <c r="AD592" s="20"/>
      <c r="AE592" s="16"/>
    </row>
    <row r="593" spans="4:31" s="21" customFormat="1">
      <c r="D593" s="17"/>
      <c r="E593" s="16"/>
      <c r="F593" s="16"/>
      <c r="G593" s="16"/>
      <c r="H593" s="16"/>
      <c r="I593" s="16"/>
      <c r="J593" s="16"/>
      <c r="K593" s="17"/>
      <c r="L593" s="16"/>
      <c r="M593" s="16"/>
      <c r="N593" s="16"/>
      <c r="O593" s="16"/>
      <c r="P593" s="17"/>
      <c r="Q593" s="18"/>
      <c r="R593" s="19"/>
      <c r="S593" s="20"/>
      <c r="T593" s="17"/>
      <c r="X593" s="22"/>
      <c r="Y593" s="16"/>
      <c r="Z593" s="16"/>
      <c r="AA593" s="16"/>
      <c r="AB593" s="16"/>
      <c r="AC593" s="16"/>
      <c r="AD593" s="20"/>
      <c r="AE593" s="16"/>
    </row>
    <row r="594" spans="4:31" s="21" customFormat="1">
      <c r="D594" s="17"/>
      <c r="E594" s="16"/>
      <c r="F594" s="16"/>
      <c r="G594" s="16"/>
      <c r="H594" s="16"/>
      <c r="I594" s="16"/>
      <c r="J594" s="16"/>
      <c r="K594" s="17"/>
      <c r="L594" s="16"/>
      <c r="M594" s="16"/>
      <c r="N594" s="16"/>
      <c r="O594" s="16"/>
      <c r="P594" s="17"/>
      <c r="Q594" s="18"/>
      <c r="R594" s="19"/>
      <c r="S594" s="20"/>
      <c r="T594" s="17"/>
      <c r="X594" s="22"/>
      <c r="Y594" s="16"/>
      <c r="Z594" s="16"/>
      <c r="AA594" s="16"/>
      <c r="AB594" s="16"/>
      <c r="AC594" s="16"/>
      <c r="AD594" s="20"/>
      <c r="AE594" s="16"/>
    </row>
    <row r="595" spans="4:31" s="21" customFormat="1">
      <c r="D595" s="17"/>
      <c r="E595" s="16"/>
      <c r="F595" s="16"/>
      <c r="G595" s="16"/>
      <c r="H595" s="16"/>
      <c r="I595" s="16"/>
      <c r="J595" s="16"/>
      <c r="K595" s="17"/>
      <c r="L595" s="16"/>
      <c r="M595" s="16"/>
      <c r="N595" s="16"/>
      <c r="O595" s="16"/>
      <c r="P595" s="17"/>
      <c r="Q595" s="18"/>
      <c r="R595" s="19"/>
      <c r="S595" s="20"/>
      <c r="T595" s="17"/>
      <c r="X595" s="22"/>
      <c r="Y595" s="16"/>
      <c r="Z595" s="16"/>
      <c r="AA595" s="16"/>
      <c r="AB595" s="16"/>
      <c r="AC595" s="16"/>
      <c r="AD595" s="20"/>
      <c r="AE595" s="16"/>
    </row>
    <row r="596" spans="4:31" s="21" customFormat="1">
      <c r="D596" s="17"/>
      <c r="E596" s="16"/>
      <c r="F596" s="16"/>
      <c r="G596" s="16"/>
      <c r="H596" s="16"/>
      <c r="I596" s="16"/>
      <c r="J596" s="16"/>
      <c r="K596" s="17"/>
      <c r="L596" s="16"/>
      <c r="M596" s="16"/>
      <c r="N596" s="16"/>
      <c r="O596" s="16"/>
      <c r="P596" s="17"/>
      <c r="Q596" s="18"/>
      <c r="R596" s="19"/>
      <c r="S596" s="20"/>
      <c r="T596" s="17"/>
      <c r="X596" s="22"/>
      <c r="Y596" s="16"/>
      <c r="Z596" s="16"/>
      <c r="AA596" s="16"/>
      <c r="AB596" s="16"/>
      <c r="AC596" s="16"/>
      <c r="AD596" s="20"/>
      <c r="AE596" s="16"/>
    </row>
    <row r="597" spans="4:31" s="21" customFormat="1">
      <c r="D597" s="17"/>
      <c r="E597" s="16"/>
      <c r="F597" s="16"/>
      <c r="G597" s="16"/>
      <c r="H597" s="16"/>
      <c r="I597" s="16"/>
      <c r="J597" s="16"/>
      <c r="K597" s="17"/>
      <c r="L597" s="16"/>
      <c r="M597" s="16"/>
      <c r="N597" s="16"/>
      <c r="O597" s="16"/>
      <c r="P597" s="17"/>
      <c r="Q597" s="18"/>
      <c r="R597" s="19"/>
      <c r="S597" s="20"/>
      <c r="T597" s="17"/>
      <c r="X597" s="22"/>
      <c r="Y597" s="16"/>
      <c r="Z597" s="16"/>
      <c r="AA597" s="16"/>
      <c r="AB597" s="16"/>
      <c r="AC597" s="16"/>
      <c r="AD597" s="20"/>
      <c r="AE597" s="16"/>
    </row>
    <row r="598" spans="4:31" s="21" customFormat="1">
      <c r="D598" s="17"/>
      <c r="E598" s="16"/>
      <c r="F598" s="16"/>
      <c r="G598" s="16"/>
      <c r="H598" s="16"/>
      <c r="I598" s="16"/>
      <c r="J598" s="16"/>
      <c r="K598" s="17"/>
      <c r="L598" s="16"/>
      <c r="M598" s="16"/>
      <c r="N598" s="16"/>
      <c r="O598" s="16"/>
      <c r="P598" s="17"/>
      <c r="Q598" s="18"/>
      <c r="R598" s="19"/>
      <c r="S598" s="20"/>
      <c r="T598" s="17"/>
      <c r="X598" s="22"/>
      <c r="Y598" s="16"/>
      <c r="Z598" s="16"/>
      <c r="AA598" s="16"/>
      <c r="AB598" s="16"/>
      <c r="AC598" s="16"/>
      <c r="AD598" s="20"/>
      <c r="AE598" s="16"/>
    </row>
  </sheetData>
  <sheetCalcPr fullCalcOnLoad="1"/>
  <autoFilter ref="A4:AD598"/>
  <sortState ref="A5:AE530">
    <sortCondition ref="C5:C530"/>
    <sortCondition descending="1" ref="B5:B530"/>
    <sortCondition ref="U5:U530"/>
  </sortState>
  <conditionalFormatting sqref="A5:XFD598">
    <cfRule type="expression" dxfId="7" priority="2">
      <formula>IF($C5="B",1,0)</formula>
    </cfRule>
  </conditionalFormatting>
  <conditionalFormatting sqref="A5:X1598">
    <cfRule type="expression" dxfId="6" priority="1">
      <formula>IF($Z5&lt;&gt;"",1,0)</formula>
    </cfRule>
  </conditionalFormatting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X5" sqref="X5"/>
    </sheetView>
  </sheetViews>
  <sheetFormatPr baseColWidth="10" defaultColWidth="8.83203125" defaultRowHeight="14"/>
  <cols>
    <col min="1" max="1" width="8.5" customWidth="1"/>
    <col min="2" max="2" width="4.5" hidden="1" customWidth="1"/>
    <col min="3" max="3" width="5.33203125" hidden="1" customWidth="1"/>
    <col min="4" max="4" width="6" bestFit="1" customWidth="1"/>
    <col min="5" max="5" width="4.1640625" style="12" bestFit="1" customWidth="1"/>
    <col min="6" max="6" width="19.1640625" style="13" bestFit="1" customWidth="1"/>
    <col min="7" max="7" width="4.5" style="13" bestFit="1" customWidth="1"/>
    <col min="8" max="8" width="2.1640625" style="13" bestFit="1" customWidth="1"/>
    <col min="9" max="9" width="2.1640625" style="6" bestFit="1" customWidth="1"/>
    <col min="10" max="10" width="9.5" bestFit="1" customWidth="1"/>
    <col min="11" max="11" width="9.5" style="6" bestFit="1" customWidth="1"/>
    <col min="12" max="12" width="4.5" bestFit="1" customWidth="1"/>
    <col min="13" max="13" width="5" bestFit="1" customWidth="1"/>
    <col min="14" max="14" width="4.83203125" bestFit="1" customWidth="1"/>
    <col min="15" max="15" width="11.1640625" bestFit="1" customWidth="1"/>
    <col min="16" max="16" width="4.5" style="6" bestFit="1" customWidth="1"/>
    <col min="17" max="17" width="6.5" bestFit="1" customWidth="1"/>
    <col min="18" max="18" width="6.6640625" style="6" bestFit="1" customWidth="1"/>
    <col min="19" max="19" width="11.5" bestFit="1" customWidth="1"/>
    <col min="20" max="20" width="7" style="6" bestFit="1" customWidth="1"/>
    <col min="23" max="23" width="8.83203125" style="6"/>
  </cols>
  <sheetData>
    <row r="1" spans="1:31">
      <c r="D1">
        <v>2</v>
      </c>
      <c r="E1" s="12">
        <v>3</v>
      </c>
      <c r="F1" s="13">
        <v>4</v>
      </c>
      <c r="G1" s="13">
        <v>5</v>
      </c>
      <c r="H1" s="13">
        <v>6</v>
      </c>
      <c r="I1" s="6">
        <v>7</v>
      </c>
      <c r="J1">
        <v>10</v>
      </c>
      <c r="K1" s="6">
        <v>11</v>
      </c>
      <c r="L1">
        <v>17</v>
      </c>
      <c r="M1">
        <v>18</v>
      </c>
      <c r="N1">
        <v>19</v>
      </c>
      <c r="O1">
        <v>20</v>
      </c>
      <c r="P1" s="6">
        <v>21</v>
      </c>
      <c r="Q1">
        <v>41</v>
      </c>
      <c r="R1" s="6">
        <v>42</v>
      </c>
      <c r="S1">
        <v>36</v>
      </c>
      <c r="T1" s="6">
        <v>46</v>
      </c>
      <c r="X1">
        <v>4</v>
      </c>
      <c r="Y1">
        <v>2</v>
      </c>
      <c r="Z1">
        <v>3</v>
      </c>
      <c r="AA1">
        <v>5</v>
      </c>
      <c r="AB1" t="s">
        <v>1810</v>
      </c>
      <c r="AC1" t="e">
        <f>AVERAGE(AC5:AC105)</f>
        <v>#DIV/0!</v>
      </c>
    </row>
    <row r="2" spans="1:31">
      <c r="D2">
        <v>2</v>
      </c>
      <c r="E2" s="12">
        <v>3</v>
      </c>
      <c r="F2" s="13">
        <v>4</v>
      </c>
      <c r="G2" s="13">
        <v>5</v>
      </c>
      <c r="H2" s="13">
        <v>6</v>
      </c>
      <c r="I2" s="6">
        <v>7</v>
      </c>
      <c r="J2">
        <v>10</v>
      </c>
      <c r="K2" s="6">
        <v>11</v>
      </c>
      <c r="L2">
        <v>15</v>
      </c>
      <c r="M2">
        <v>16</v>
      </c>
      <c r="N2">
        <v>17</v>
      </c>
      <c r="O2">
        <v>42</v>
      </c>
      <c r="P2" s="6">
        <v>43</v>
      </c>
      <c r="Q2">
        <v>51</v>
      </c>
      <c r="R2" s="6">
        <v>52</v>
      </c>
      <c r="S2">
        <v>45</v>
      </c>
      <c r="T2" s="6">
        <v>56</v>
      </c>
    </row>
    <row r="3" spans="1:31">
      <c r="L3" t="s">
        <v>1811</v>
      </c>
      <c r="M3" t="s">
        <v>1812</v>
      </c>
      <c r="N3" t="s">
        <v>1813</v>
      </c>
      <c r="O3" t="s">
        <v>1814</v>
      </c>
      <c r="P3" s="6" t="s">
        <v>1815</v>
      </c>
      <c r="S3" s="11">
        <v>2000000</v>
      </c>
      <c r="X3">
        <v>24</v>
      </c>
      <c r="Y3">
        <v>8</v>
      </c>
      <c r="AB3" t="s">
        <v>1816</v>
      </c>
      <c r="AC3" t="e">
        <f>MEDIAN(AC5:AC105)</f>
        <v>#NUM!</v>
      </c>
    </row>
    <row r="4" spans="1:31" s="4" customFormat="1">
      <c r="A4" s="4" t="s">
        <v>1809</v>
      </c>
      <c r="B4" s="4" t="s">
        <v>1609</v>
      </c>
      <c r="C4" s="4" t="s">
        <v>1817</v>
      </c>
      <c r="D4" s="4" t="s">
        <v>1808</v>
      </c>
      <c r="E4" s="14" t="s">
        <v>2137</v>
      </c>
      <c r="F4" s="15" t="s">
        <v>1979</v>
      </c>
      <c r="G4" s="15" t="s">
        <v>1980</v>
      </c>
      <c r="H4" s="15" t="s">
        <v>1981</v>
      </c>
      <c r="I4" s="7" t="s">
        <v>1982</v>
      </c>
      <c r="J4" s="4" t="s">
        <v>1985</v>
      </c>
      <c r="K4" s="7" t="s">
        <v>1986</v>
      </c>
      <c r="L4" s="4" t="s">
        <v>1818</v>
      </c>
      <c r="M4" s="4" t="s">
        <v>1819</v>
      </c>
      <c r="N4" s="4" t="s">
        <v>1811</v>
      </c>
      <c r="O4" s="4" t="s">
        <v>2108</v>
      </c>
      <c r="P4" s="7" t="s">
        <v>1820</v>
      </c>
      <c r="Q4" s="4" t="s">
        <v>2109</v>
      </c>
      <c r="R4" s="7" t="s">
        <v>2110</v>
      </c>
      <c r="S4" s="4" t="s">
        <v>1821</v>
      </c>
      <c r="T4" s="7" t="s">
        <v>2114</v>
      </c>
      <c r="U4" s="4" t="s">
        <v>1822</v>
      </c>
      <c r="V4" s="4" t="s">
        <v>1823</v>
      </c>
      <c r="W4" s="7" t="s">
        <v>1601</v>
      </c>
      <c r="X4" s="4" t="s">
        <v>1602</v>
      </c>
      <c r="Y4" s="4" t="s">
        <v>1603</v>
      </c>
      <c r="Z4" s="4" t="s">
        <v>1604</v>
      </c>
      <c r="AA4" s="4" t="s">
        <v>1605</v>
      </c>
      <c r="AB4" s="4" t="s">
        <v>1606</v>
      </c>
      <c r="AC4" s="4" t="s">
        <v>2116</v>
      </c>
      <c r="AD4" s="4" t="s">
        <v>1607</v>
      </c>
      <c r="AE4" s="4" t="s">
        <v>1608</v>
      </c>
    </row>
    <row r="5" spans="1:31" s="21" customFormat="1">
      <c r="B5" s="21">
        <f t="shared" ref="B5:B20" si="0">COUNTIF($A$5:$A$20,A5)</f>
        <v>0</v>
      </c>
      <c r="C5" s="21" t="str">
        <f t="shared" ref="C5:C20" si="1">IF(OR(MID(A5,1,2)="SP",MID(A5,1,2)="MR",MID(A5,1,2)="CL",MID(A5,1,2)="RP"),"P","B")</f>
        <v>B</v>
      </c>
      <c r="D5" s="17" t="e">
        <f>IF($C5="B",VLOOKUP($A5,Bat!$A$4:$BD$2323,D$1,FALSE),VLOOKUP($A5,Pit!$A$4:$AZ$2261,D$2,FALSE))</f>
        <v>#N/A</v>
      </c>
      <c r="E5" s="16" t="e">
        <f>IF($C5="B",VLOOKUP($A5,Bat!$A$4:$BD$2323,E$1,FALSE),VLOOKUP($A5,Pit!$A$4:$AZ$2261,E$2,FALSE))</f>
        <v>#N/A</v>
      </c>
      <c r="F5" s="16" t="e">
        <f>IF($C5="B",VLOOKUP($A5,Bat!$A$4:$BD$2323,F$1,FALSE),VLOOKUP($A5,Pit!$A$4:$AZ$2261,F$2,FALSE))</f>
        <v>#N/A</v>
      </c>
      <c r="G5" s="16" t="e">
        <f>IF($C5="B",VLOOKUP($A5,Bat!$A$4:$BD$2323,G$1,FALSE),VLOOKUP($A5,Pit!$A$4:$AZ$2261,G$2,FALSE))</f>
        <v>#N/A</v>
      </c>
      <c r="H5" s="16" t="e">
        <f>IF($C5="B",VLOOKUP($A5,Bat!$A$4:$BD$2323,H$1,FALSE),VLOOKUP($A5,Pit!$A$4:$AZ$2261,H$2,FALSE))</f>
        <v>#N/A</v>
      </c>
      <c r="I5" s="16" t="e">
        <f>IF($C5="B",VLOOKUP($A5,Bat!$A$4:$BD$2323,I$1,FALSE),VLOOKUP($A5,Pit!$A$4:$AZ$2261,I$2,FALSE))</f>
        <v>#N/A</v>
      </c>
      <c r="J5" s="16" t="e">
        <f>IF($C5="B",VLOOKUP($A5,Bat!$A$4:$BD$2323,J$1,FALSE),VLOOKUP($A5,Pit!$A$4:$AZ$2261,J$2,FALSE))</f>
        <v>#N/A</v>
      </c>
      <c r="K5" s="17" t="e">
        <f>IF($C5="B",VLOOKUP($A5,Bat!$A$4:$BD$2323,K$1,FALSE),VLOOKUP($A5,Pit!$A$4:$AZ$2261,K$2,FALSE))</f>
        <v>#N/A</v>
      </c>
      <c r="L5" s="16" t="e">
        <f>IF($C5="B",VLOOKUP($A5,Bat!$A$4:$BD$2323,L$1,FALSE),VLOOKUP($A5,Pit!$A$4:$AZ$2261,L$2,FALSE))</f>
        <v>#N/A</v>
      </c>
      <c r="M5" s="16" t="e">
        <f>IF($C5="B",VLOOKUP($A5,Bat!$A$4:$BD$2323,M$1,FALSE),VLOOKUP($A5,Pit!$A$4:$AZ$2261,M$2,FALSE))</f>
        <v>#N/A</v>
      </c>
      <c r="N5" s="16" t="e">
        <f>IF($C5="B",VLOOKUP($A5,Bat!$A$4:$BD$2323,N$1,FALSE),VLOOKUP($A5,Pit!$A$4:$AZ$2261,N$2,FALSE))</f>
        <v>#N/A</v>
      </c>
      <c r="O5" s="16" t="e">
        <f>IF($C5="B",VLOOKUP($A5,Bat!$A$4:$BD$2323,O$1,FALSE),VLOOKUP($A5,Pit!$A$4:$AZ$2261,O$2,FALSE))</f>
        <v>#N/A</v>
      </c>
      <c r="P5" s="17" t="e">
        <f>IF($C5="B",VLOOKUP($A5,Bat!$A$4:$BD$2323,P$1,FALSE),VLOOKUP($A5,Pit!$A$4:$AZ$2261,P$2,FALSE))</f>
        <v>#N/A</v>
      </c>
      <c r="Q5" s="18" t="e">
        <f>IF($C5="B",VLOOKUP($A5,Bat!$A$4:$BD$2323,Q$1,FALSE),VLOOKUP($A5,Pit!$A$4:$AZ$2261,Q$2,FALSE))</f>
        <v>#N/A</v>
      </c>
      <c r="R5" s="19" t="e">
        <f>IF($C5="B",VLOOKUP($A5,Bat!$A$4:$BD$2323,R$1,FALSE),VLOOKUP($A5,Pit!$A$4:$AZ$2261,R$2,FALSE))</f>
        <v>#N/A</v>
      </c>
      <c r="S5" s="20" t="e">
        <f>IF($C5="B",VLOOKUP($A5,Bat!$A$4:$BD$2323,S$1,FALSE),VLOOKUP($A5,Pit!$A$4:$AZ$2261,S$2,FALSE))</f>
        <v>#N/A</v>
      </c>
      <c r="T5" s="17" t="e">
        <f>IF(S5="Slot","",VLOOKUP(IF($C5="B",VLOOKUP($A5,Bat!$A$4:$AT$2323,T$1,FALSE),VLOOKUP($A5,Pit!$A$4:$BD$2261,T$2,FALSE)),COND!$A$34:$B$40,2,FALSE))</f>
        <v>#N/A</v>
      </c>
      <c r="V5" s="21" t="e">
        <f t="shared" ref="V5:V20" si="2">IF(OR(U5=999,AND(S5&gt;$S$3,S5&lt;&gt;"Slot")),"",U5)</f>
        <v>#N/A</v>
      </c>
      <c r="W5" s="22" t="e">
        <f t="shared" ref="W5:W20" si="3">RANK(R5,$R$5:$R$891)</f>
        <v>#N/A</v>
      </c>
      <c r="X5" s="16" t="e">
        <f>VLOOKUP($E5&amp;$F5,Results!$A$2:$G$413,X$1,FALSE)</f>
        <v>#N/A</v>
      </c>
      <c r="Y5" s="16" t="e">
        <f>VLOOKUP($E5&amp;$F5,Results!$A$2:$G$413,Y$1,FALSE)</f>
        <v>#N/A</v>
      </c>
      <c r="Z5" s="16" t="e">
        <f>VLOOKUP($E5&amp;$F5,Results!$A$2:$G$413,Z$1,FALSE)</f>
        <v>#N/A</v>
      </c>
      <c r="AA5" s="16" t="e">
        <f>VLOOKUP($E5&amp;$F5,Results!$A$2:$G$413,AA$1,FALSE)</f>
        <v>#N/A</v>
      </c>
    </row>
    <row r="6" spans="1:31" s="21" customFormat="1">
      <c r="B6" s="21">
        <f t="shared" si="0"/>
        <v>0</v>
      </c>
      <c r="C6" s="21" t="str">
        <f t="shared" si="1"/>
        <v>B</v>
      </c>
      <c r="D6" s="17" t="e">
        <f>IF($C6="B",VLOOKUP($A6,Bat!$A$4:$BD$2323,D$1,FALSE),VLOOKUP($A6,Pit!$A$4:$AZ$2261,D$2,FALSE))</f>
        <v>#N/A</v>
      </c>
      <c r="E6" s="16" t="e">
        <f>IF($C6="B",VLOOKUP($A6,Bat!$A$4:$BD$2323,E$1,FALSE),VLOOKUP($A6,Pit!$A$4:$AZ$2261,E$2,FALSE))</f>
        <v>#N/A</v>
      </c>
      <c r="F6" s="16" t="e">
        <f>IF($C6="B",VLOOKUP($A6,Bat!$A$4:$BD$2323,F$1,FALSE),VLOOKUP($A6,Pit!$A$4:$AZ$2261,F$2,FALSE))</f>
        <v>#N/A</v>
      </c>
      <c r="G6" s="16" t="e">
        <f>IF($C6="B",VLOOKUP($A6,Bat!$A$4:$BD$2323,G$1,FALSE),VLOOKUP($A6,Pit!$A$4:$AZ$2261,G$2,FALSE))</f>
        <v>#N/A</v>
      </c>
      <c r="H6" s="16" t="e">
        <f>IF($C6="B",VLOOKUP($A6,Bat!$A$4:$BD$2323,H$1,FALSE),VLOOKUP($A6,Pit!$A$4:$AZ$2261,H$2,FALSE))</f>
        <v>#N/A</v>
      </c>
      <c r="I6" s="16" t="e">
        <f>IF($C6="B",VLOOKUP($A6,Bat!$A$4:$BD$2323,I$1,FALSE),VLOOKUP($A6,Pit!$A$4:$AZ$2261,I$2,FALSE))</f>
        <v>#N/A</v>
      </c>
      <c r="J6" s="16" t="e">
        <f>IF($C6="B",VLOOKUP($A6,Bat!$A$4:$BD$2323,J$1,FALSE),VLOOKUP($A6,Pit!$A$4:$AZ$2261,J$2,FALSE))</f>
        <v>#N/A</v>
      </c>
      <c r="K6" s="17" t="e">
        <f>IF($C6="B",VLOOKUP($A6,Bat!$A$4:$BD$2323,K$1,FALSE),VLOOKUP($A6,Pit!$A$4:$AZ$2261,K$2,FALSE))</f>
        <v>#N/A</v>
      </c>
      <c r="L6" s="16" t="e">
        <f>IF($C6="B",VLOOKUP($A6,Bat!$A$4:$BD$2323,L$1,FALSE),VLOOKUP($A6,Pit!$A$4:$AZ$2261,L$2,FALSE))</f>
        <v>#N/A</v>
      </c>
      <c r="M6" s="16" t="e">
        <f>IF($C6="B",VLOOKUP($A6,Bat!$A$4:$BD$2323,M$1,FALSE),VLOOKUP($A6,Pit!$A$4:$AZ$2261,M$2,FALSE))</f>
        <v>#N/A</v>
      </c>
      <c r="N6" s="16" t="e">
        <f>IF($C6="B",VLOOKUP($A6,Bat!$A$4:$BD$2323,N$1,FALSE),VLOOKUP($A6,Pit!$A$4:$AZ$2261,N$2,FALSE))</f>
        <v>#N/A</v>
      </c>
      <c r="O6" s="16" t="e">
        <f>IF($C6="B",VLOOKUP($A6,Bat!$A$4:$BD$2323,O$1,FALSE),VLOOKUP($A6,Pit!$A$4:$AZ$2261,O$2,FALSE))</f>
        <v>#N/A</v>
      </c>
      <c r="P6" s="17" t="e">
        <f>IF($C6="B",VLOOKUP($A6,Bat!$A$4:$BD$2323,P$1,FALSE),VLOOKUP($A6,Pit!$A$4:$AZ$2261,P$2,FALSE))</f>
        <v>#N/A</v>
      </c>
      <c r="Q6" s="18" t="e">
        <f>IF($C6="B",VLOOKUP($A6,Bat!$A$4:$BD$2323,Q$1,FALSE),VLOOKUP($A6,Pit!$A$4:$AZ$2261,Q$2,FALSE))</f>
        <v>#N/A</v>
      </c>
      <c r="R6" s="19" t="e">
        <f>IF($C6="B",VLOOKUP($A6,Bat!$A$4:$BD$2323,R$1,FALSE),VLOOKUP($A6,Pit!$A$4:$AZ$2261,R$2,FALSE))</f>
        <v>#N/A</v>
      </c>
      <c r="S6" s="20" t="e">
        <f>IF($C6="B",VLOOKUP($A6,Bat!$A$4:$BD$2323,S$1,FALSE),VLOOKUP($A6,Pit!$A$4:$AZ$2261,S$2,FALSE))</f>
        <v>#N/A</v>
      </c>
      <c r="T6" s="17" t="e">
        <f>IF(S6="Slot","",VLOOKUP(IF($C6="B",VLOOKUP($A6,Bat!$A$4:$AT$2323,T$1,FALSE),VLOOKUP($A6,Pit!$A$4:$BD$2261,T$2,FALSE)),COND!$A$34:$B$40,2,FALSE))</f>
        <v>#N/A</v>
      </c>
      <c r="V6" s="21" t="e">
        <f t="shared" si="2"/>
        <v>#N/A</v>
      </c>
      <c r="W6" s="22" t="e">
        <f t="shared" si="3"/>
        <v>#N/A</v>
      </c>
      <c r="X6" s="16" t="e">
        <f>VLOOKUP($E6&amp;$F6,Results!$A$2:$G$413,X$1,FALSE)</f>
        <v>#N/A</v>
      </c>
      <c r="Y6" s="16" t="e">
        <f>VLOOKUP($E6&amp;$F6,Results!$A$2:$G$413,Y$1,FALSE)</f>
        <v>#N/A</v>
      </c>
      <c r="Z6" s="16" t="e">
        <f>VLOOKUP($E6&amp;$F6,Results!$A$2:$G$413,Z$1,FALSE)</f>
        <v>#N/A</v>
      </c>
      <c r="AA6" s="16" t="e">
        <f>VLOOKUP($E6&amp;$F6,Results!$A$2:$G$413,AA$1,FALSE)</f>
        <v>#N/A</v>
      </c>
    </row>
    <row r="7" spans="1:31" s="21" customFormat="1">
      <c r="B7" s="21">
        <f t="shared" si="0"/>
        <v>0</v>
      </c>
      <c r="C7" s="21" t="str">
        <f t="shared" si="1"/>
        <v>B</v>
      </c>
      <c r="D7" s="17" t="e">
        <f>IF($C7="B",VLOOKUP($A7,Bat!$A$4:$BD$2323,D$1,FALSE),VLOOKUP($A7,Pit!$A$4:$AZ$2261,D$2,FALSE))</f>
        <v>#N/A</v>
      </c>
      <c r="E7" s="16" t="e">
        <f>IF($C7="B",VLOOKUP($A7,Bat!$A$4:$BD$2323,E$1,FALSE),VLOOKUP($A7,Pit!$A$4:$AZ$2261,E$2,FALSE))</f>
        <v>#N/A</v>
      </c>
      <c r="F7" s="16" t="e">
        <f>IF($C7="B",VLOOKUP($A7,Bat!$A$4:$BD$2323,F$1,FALSE),VLOOKUP($A7,Pit!$A$4:$AZ$2261,F$2,FALSE))</f>
        <v>#N/A</v>
      </c>
      <c r="G7" s="16" t="e">
        <f>IF($C7="B",VLOOKUP($A7,Bat!$A$4:$BD$2323,G$1,FALSE),VLOOKUP($A7,Pit!$A$4:$AZ$2261,G$2,FALSE))</f>
        <v>#N/A</v>
      </c>
      <c r="H7" s="16" t="e">
        <f>IF($C7="B",VLOOKUP($A7,Bat!$A$4:$BD$2323,H$1,FALSE),VLOOKUP($A7,Pit!$A$4:$AZ$2261,H$2,FALSE))</f>
        <v>#N/A</v>
      </c>
      <c r="I7" s="16" t="e">
        <f>IF($C7="B",VLOOKUP($A7,Bat!$A$4:$BD$2323,I$1,FALSE),VLOOKUP($A7,Pit!$A$4:$AZ$2261,I$2,FALSE))</f>
        <v>#N/A</v>
      </c>
      <c r="J7" s="16" t="e">
        <f>IF($C7="B",VLOOKUP($A7,Bat!$A$4:$BD$2323,J$1,FALSE),VLOOKUP($A7,Pit!$A$4:$AZ$2261,J$2,FALSE))</f>
        <v>#N/A</v>
      </c>
      <c r="K7" s="17" t="e">
        <f>IF($C7="B",VLOOKUP($A7,Bat!$A$4:$BD$2323,K$1,FALSE),VLOOKUP($A7,Pit!$A$4:$AZ$2261,K$2,FALSE))</f>
        <v>#N/A</v>
      </c>
      <c r="L7" s="16" t="e">
        <f>IF($C7="B",VLOOKUP($A7,Bat!$A$4:$BD$2323,L$1,FALSE),VLOOKUP($A7,Pit!$A$4:$AZ$2261,L$2,FALSE))</f>
        <v>#N/A</v>
      </c>
      <c r="M7" s="16" t="e">
        <f>IF($C7="B",VLOOKUP($A7,Bat!$A$4:$BD$2323,M$1,FALSE),VLOOKUP($A7,Pit!$A$4:$AZ$2261,M$2,FALSE))</f>
        <v>#N/A</v>
      </c>
      <c r="N7" s="16" t="e">
        <f>IF($C7="B",VLOOKUP($A7,Bat!$A$4:$BD$2323,N$1,FALSE),VLOOKUP($A7,Pit!$A$4:$AZ$2261,N$2,FALSE))</f>
        <v>#N/A</v>
      </c>
      <c r="O7" s="16" t="e">
        <f>IF($C7="B",VLOOKUP($A7,Bat!$A$4:$BD$2323,O$1,FALSE),VLOOKUP($A7,Pit!$A$4:$AZ$2261,O$2,FALSE))</f>
        <v>#N/A</v>
      </c>
      <c r="P7" s="17" t="e">
        <f>IF($C7="B",VLOOKUP($A7,Bat!$A$4:$BD$2323,P$1,FALSE),VLOOKUP($A7,Pit!$A$4:$AZ$2261,P$2,FALSE))</f>
        <v>#N/A</v>
      </c>
      <c r="Q7" s="18" t="e">
        <f>IF($C7="B",VLOOKUP($A7,Bat!$A$4:$BD$2323,Q$1,FALSE),VLOOKUP($A7,Pit!$A$4:$AZ$2261,Q$2,FALSE))</f>
        <v>#N/A</v>
      </c>
      <c r="R7" s="19" t="e">
        <f>IF($C7="B",VLOOKUP($A7,Bat!$A$4:$BD$2323,R$1,FALSE),VLOOKUP($A7,Pit!$A$4:$AZ$2261,R$2,FALSE))</f>
        <v>#N/A</v>
      </c>
      <c r="S7" s="20" t="e">
        <f>IF($C7="B",VLOOKUP($A7,Bat!$A$4:$BD$2323,S$1,FALSE),VLOOKUP($A7,Pit!$A$4:$AZ$2261,S$2,FALSE))</f>
        <v>#N/A</v>
      </c>
      <c r="T7" s="17" t="e">
        <f>IF(S7="Slot","",VLOOKUP(IF($C7="B",VLOOKUP($A7,Bat!$A$4:$AT$2323,T$1,FALSE),VLOOKUP($A7,Pit!$A$4:$BD$2261,T$2,FALSE)),COND!$A$34:$B$40,2,FALSE))</f>
        <v>#N/A</v>
      </c>
      <c r="V7" s="21" t="e">
        <f t="shared" si="2"/>
        <v>#N/A</v>
      </c>
      <c r="W7" s="22" t="e">
        <f t="shared" si="3"/>
        <v>#N/A</v>
      </c>
      <c r="X7" s="16" t="e">
        <f>VLOOKUP($E7&amp;$F7,Results!$A$2:$G$413,X$1,FALSE)</f>
        <v>#N/A</v>
      </c>
      <c r="Y7" s="16" t="e">
        <f>VLOOKUP($E7&amp;$F7,Results!$A$2:$G$413,Y$1,FALSE)</f>
        <v>#N/A</v>
      </c>
      <c r="Z7" s="16" t="e">
        <f>VLOOKUP($E7&amp;$F7,Results!$A$2:$G$413,Z$1,FALSE)</f>
        <v>#N/A</v>
      </c>
      <c r="AA7" s="16" t="e">
        <f>VLOOKUP($E7&amp;$F7,Results!$A$2:$G$413,AA$1,FALSE)</f>
        <v>#N/A</v>
      </c>
    </row>
    <row r="8" spans="1:31" s="21" customFormat="1">
      <c r="B8" s="21">
        <f t="shared" si="0"/>
        <v>0</v>
      </c>
      <c r="C8" s="21" t="str">
        <f t="shared" si="1"/>
        <v>B</v>
      </c>
      <c r="D8" s="17" t="e">
        <f>IF($C8="B",VLOOKUP($A8,Bat!$A$4:$BD$2323,D$1,FALSE),VLOOKUP($A8,Pit!$A$4:$AZ$2261,D$2,FALSE))</f>
        <v>#N/A</v>
      </c>
      <c r="E8" s="16" t="e">
        <f>IF($C8="B",VLOOKUP($A8,Bat!$A$4:$BD$2323,E$1,FALSE),VLOOKUP($A8,Pit!$A$4:$AZ$2261,E$2,FALSE))</f>
        <v>#N/A</v>
      </c>
      <c r="F8" s="16" t="e">
        <f>IF($C8="B",VLOOKUP($A8,Bat!$A$4:$BD$2323,F$1,FALSE),VLOOKUP($A8,Pit!$A$4:$AZ$2261,F$2,FALSE))</f>
        <v>#N/A</v>
      </c>
      <c r="G8" s="16" t="e">
        <f>IF($C8="B",VLOOKUP($A8,Bat!$A$4:$BD$2323,G$1,FALSE),VLOOKUP($A8,Pit!$A$4:$AZ$2261,G$2,FALSE))</f>
        <v>#N/A</v>
      </c>
      <c r="H8" s="16" t="e">
        <f>IF($C8="B",VLOOKUP($A8,Bat!$A$4:$BD$2323,H$1,FALSE),VLOOKUP($A8,Pit!$A$4:$AZ$2261,H$2,FALSE))</f>
        <v>#N/A</v>
      </c>
      <c r="I8" s="16" t="e">
        <f>IF($C8="B",VLOOKUP($A8,Bat!$A$4:$BD$2323,I$1,FALSE),VLOOKUP($A8,Pit!$A$4:$AZ$2261,I$2,FALSE))</f>
        <v>#N/A</v>
      </c>
      <c r="J8" s="16" t="e">
        <f>IF($C8="B",VLOOKUP($A8,Bat!$A$4:$BD$2323,J$1,FALSE),VLOOKUP($A8,Pit!$A$4:$AZ$2261,J$2,FALSE))</f>
        <v>#N/A</v>
      </c>
      <c r="K8" s="17" t="e">
        <f>IF($C8="B",VLOOKUP($A8,Bat!$A$4:$BD$2323,K$1,FALSE),VLOOKUP($A8,Pit!$A$4:$AZ$2261,K$2,FALSE))</f>
        <v>#N/A</v>
      </c>
      <c r="L8" s="16" t="e">
        <f>IF($C8="B",VLOOKUP($A8,Bat!$A$4:$BD$2323,L$1,FALSE),VLOOKUP($A8,Pit!$A$4:$AZ$2261,L$2,FALSE))</f>
        <v>#N/A</v>
      </c>
      <c r="M8" s="16" t="e">
        <f>IF($C8="B",VLOOKUP($A8,Bat!$A$4:$BD$2323,M$1,FALSE),VLOOKUP($A8,Pit!$A$4:$AZ$2261,M$2,FALSE))</f>
        <v>#N/A</v>
      </c>
      <c r="N8" s="16" t="e">
        <f>IF($C8="B",VLOOKUP($A8,Bat!$A$4:$BD$2323,N$1,FALSE),VLOOKUP($A8,Pit!$A$4:$AZ$2261,N$2,FALSE))</f>
        <v>#N/A</v>
      </c>
      <c r="O8" s="16" t="e">
        <f>IF($C8="B",VLOOKUP($A8,Bat!$A$4:$BD$2323,O$1,FALSE),VLOOKUP($A8,Pit!$A$4:$AZ$2261,O$2,FALSE))</f>
        <v>#N/A</v>
      </c>
      <c r="P8" s="17" t="e">
        <f>IF($C8="B",VLOOKUP($A8,Bat!$A$4:$BD$2323,P$1,FALSE),VLOOKUP($A8,Pit!$A$4:$AZ$2261,P$2,FALSE))</f>
        <v>#N/A</v>
      </c>
      <c r="Q8" s="18" t="e">
        <f>IF($C8="B",VLOOKUP($A8,Bat!$A$4:$BD$2323,Q$1,FALSE),VLOOKUP($A8,Pit!$A$4:$AZ$2261,Q$2,FALSE))</f>
        <v>#N/A</v>
      </c>
      <c r="R8" s="19" t="e">
        <f>IF($C8="B",VLOOKUP($A8,Bat!$A$4:$BD$2323,R$1,FALSE),VLOOKUP($A8,Pit!$A$4:$AZ$2261,R$2,FALSE))</f>
        <v>#N/A</v>
      </c>
      <c r="S8" s="20" t="e">
        <f>IF($C8="B",VLOOKUP($A8,Bat!$A$4:$BD$2323,S$1,FALSE),VLOOKUP($A8,Pit!$A$4:$AZ$2261,S$2,FALSE))</f>
        <v>#N/A</v>
      </c>
      <c r="T8" s="17" t="e">
        <f>IF(S8="Slot","",VLOOKUP(IF($C8="B",VLOOKUP($A8,Bat!$A$4:$AT$2323,T$1,FALSE),VLOOKUP($A8,Pit!$A$4:$BD$2261,T$2,FALSE)),COND!$A$34:$B$40,2,FALSE))</f>
        <v>#N/A</v>
      </c>
      <c r="V8" s="21" t="e">
        <f t="shared" si="2"/>
        <v>#N/A</v>
      </c>
      <c r="W8" s="22" t="e">
        <f t="shared" si="3"/>
        <v>#N/A</v>
      </c>
      <c r="X8" s="16" t="e">
        <f>VLOOKUP($E8&amp;$F8,Results!$A$2:$G$413,X$1,FALSE)</f>
        <v>#N/A</v>
      </c>
      <c r="Y8" s="16" t="e">
        <f>VLOOKUP($E8&amp;$F8,Results!$A$2:$G$413,Y$1,FALSE)</f>
        <v>#N/A</v>
      </c>
      <c r="Z8" s="16" t="e">
        <f>VLOOKUP($E8&amp;$F8,Results!$A$2:$G$413,Z$1,FALSE)</f>
        <v>#N/A</v>
      </c>
      <c r="AA8" s="16" t="e">
        <f>VLOOKUP($E8&amp;$F8,Results!$A$2:$G$413,AA$1,FALSE)</f>
        <v>#N/A</v>
      </c>
    </row>
    <row r="9" spans="1:31" s="21" customFormat="1">
      <c r="B9" s="21">
        <f t="shared" si="0"/>
        <v>0</v>
      </c>
      <c r="C9" s="21" t="str">
        <f t="shared" si="1"/>
        <v>B</v>
      </c>
      <c r="D9" s="17" t="e">
        <f>IF($C9="B",VLOOKUP($A9,Bat!$A$4:$BD$2323,D$1,FALSE),VLOOKUP($A9,Pit!$A$4:$AZ$2261,D$2,FALSE))</f>
        <v>#N/A</v>
      </c>
      <c r="E9" s="16" t="e">
        <f>IF($C9="B",VLOOKUP($A9,Bat!$A$4:$BD$2323,E$1,FALSE),VLOOKUP($A9,Pit!$A$4:$AZ$2261,E$2,FALSE))</f>
        <v>#N/A</v>
      </c>
      <c r="F9" s="16" t="e">
        <f>IF($C9="B",VLOOKUP($A9,Bat!$A$4:$BD$2323,F$1,FALSE),VLOOKUP($A9,Pit!$A$4:$AZ$2261,F$2,FALSE))</f>
        <v>#N/A</v>
      </c>
      <c r="G9" s="16" t="e">
        <f>IF($C9="B",VLOOKUP($A9,Bat!$A$4:$BD$2323,G$1,FALSE),VLOOKUP($A9,Pit!$A$4:$AZ$2261,G$2,FALSE))</f>
        <v>#N/A</v>
      </c>
      <c r="H9" s="16" t="e">
        <f>IF($C9="B",VLOOKUP($A9,Bat!$A$4:$BD$2323,H$1,FALSE),VLOOKUP($A9,Pit!$A$4:$AZ$2261,H$2,FALSE))</f>
        <v>#N/A</v>
      </c>
      <c r="I9" s="16" t="e">
        <f>IF($C9="B",VLOOKUP($A9,Bat!$A$4:$BD$2323,I$1,FALSE),VLOOKUP($A9,Pit!$A$4:$AZ$2261,I$2,FALSE))</f>
        <v>#N/A</v>
      </c>
      <c r="J9" s="16" t="e">
        <f>IF($C9="B",VLOOKUP($A9,Bat!$A$4:$BD$2323,J$1,FALSE),VLOOKUP($A9,Pit!$A$4:$AZ$2261,J$2,FALSE))</f>
        <v>#N/A</v>
      </c>
      <c r="K9" s="17" t="e">
        <f>IF($C9="B",VLOOKUP($A9,Bat!$A$4:$BD$2323,K$1,FALSE),VLOOKUP($A9,Pit!$A$4:$AZ$2261,K$2,FALSE))</f>
        <v>#N/A</v>
      </c>
      <c r="L9" s="16" t="e">
        <f>IF($C9="B",VLOOKUP($A9,Bat!$A$4:$BD$2323,L$1,FALSE),VLOOKUP($A9,Pit!$A$4:$AZ$2261,L$2,FALSE))</f>
        <v>#N/A</v>
      </c>
      <c r="M9" s="16" t="e">
        <f>IF($C9="B",VLOOKUP($A9,Bat!$A$4:$BD$2323,M$1,FALSE),VLOOKUP($A9,Pit!$A$4:$AZ$2261,M$2,FALSE))</f>
        <v>#N/A</v>
      </c>
      <c r="N9" s="16" t="e">
        <f>IF($C9="B",VLOOKUP($A9,Bat!$A$4:$BD$2323,N$1,FALSE),VLOOKUP($A9,Pit!$A$4:$AZ$2261,N$2,FALSE))</f>
        <v>#N/A</v>
      </c>
      <c r="O9" s="16" t="e">
        <f>IF($C9="B",VLOOKUP($A9,Bat!$A$4:$BD$2323,O$1,FALSE),VLOOKUP($A9,Pit!$A$4:$AZ$2261,O$2,FALSE))</f>
        <v>#N/A</v>
      </c>
      <c r="P9" s="17" t="e">
        <f>IF($C9="B",VLOOKUP($A9,Bat!$A$4:$BD$2323,P$1,FALSE),VLOOKUP($A9,Pit!$A$4:$AZ$2261,P$2,FALSE))</f>
        <v>#N/A</v>
      </c>
      <c r="Q9" s="18" t="e">
        <f>IF($C9="B",VLOOKUP($A9,Bat!$A$4:$BD$2323,Q$1,FALSE),VLOOKUP($A9,Pit!$A$4:$AZ$2261,Q$2,FALSE))</f>
        <v>#N/A</v>
      </c>
      <c r="R9" s="19" t="e">
        <f>IF($C9="B",VLOOKUP($A9,Bat!$A$4:$BD$2323,R$1,FALSE),VLOOKUP($A9,Pit!$A$4:$AZ$2261,R$2,FALSE))</f>
        <v>#N/A</v>
      </c>
      <c r="S9" s="20" t="e">
        <f>IF($C9="B",VLOOKUP($A9,Bat!$A$4:$BD$2323,S$1,FALSE),VLOOKUP($A9,Pit!$A$4:$AZ$2261,S$2,FALSE))</f>
        <v>#N/A</v>
      </c>
      <c r="T9" s="17" t="e">
        <f>IF(S9="Slot","",VLOOKUP(IF($C9="B",VLOOKUP($A9,Bat!$A$4:$AT$2323,T$1,FALSE),VLOOKUP($A9,Pit!$A$4:$BD$2261,T$2,FALSE)),COND!$A$34:$B$40,2,FALSE))</f>
        <v>#N/A</v>
      </c>
      <c r="V9" s="21" t="e">
        <f t="shared" si="2"/>
        <v>#N/A</v>
      </c>
      <c r="W9" s="22" t="e">
        <f t="shared" si="3"/>
        <v>#N/A</v>
      </c>
      <c r="X9" s="16" t="e">
        <f>VLOOKUP($E9&amp;$F9,Results!$A$2:$G$413,X$1,FALSE)</f>
        <v>#N/A</v>
      </c>
      <c r="Y9" s="16" t="e">
        <f>VLOOKUP($E9&amp;$F9,Results!$A$2:$G$413,Y$1,FALSE)</f>
        <v>#N/A</v>
      </c>
      <c r="Z9" s="16" t="e">
        <f>VLOOKUP($E9&amp;$F9,Results!$A$2:$G$413,Z$1,FALSE)</f>
        <v>#N/A</v>
      </c>
      <c r="AA9" s="16" t="e">
        <f>VLOOKUP($E9&amp;$F9,Results!$A$2:$G$413,AA$1,FALSE)</f>
        <v>#N/A</v>
      </c>
    </row>
    <row r="10" spans="1:31" s="21" customFormat="1">
      <c r="B10" s="21">
        <f t="shared" si="0"/>
        <v>0</v>
      </c>
      <c r="C10" s="21" t="str">
        <f t="shared" si="1"/>
        <v>B</v>
      </c>
      <c r="D10" s="17" t="e">
        <f>IF($C10="B",VLOOKUP($A10,Bat!$A$4:$BD$2323,D$1,FALSE),VLOOKUP($A10,Pit!$A$4:$AZ$2261,D$2,FALSE))</f>
        <v>#N/A</v>
      </c>
      <c r="E10" s="16" t="e">
        <f>IF($C10="B",VLOOKUP($A10,Bat!$A$4:$BD$2323,E$1,FALSE),VLOOKUP($A10,Pit!$A$4:$AZ$2261,E$2,FALSE))</f>
        <v>#N/A</v>
      </c>
      <c r="F10" s="16" t="e">
        <f>IF($C10="B",VLOOKUP($A10,Bat!$A$4:$BD$2323,F$1,FALSE),VLOOKUP($A10,Pit!$A$4:$AZ$2261,F$2,FALSE))</f>
        <v>#N/A</v>
      </c>
      <c r="G10" s="16" t="e">
        <f>IF($C10="B",VLOOKUP($A10,Bat!$A$4:$BD$2323,G$1,FALSE),VLOOKUP($A10,Pit!$A$4:$AZ$2261,G$2,FALSE))</f>
        <v>#N/A</v>
      </c>
      <c r="H10" s="16" t="e">
        <f>IF($C10="B",VLOOKUP($A10,Bat!$A$4:$BD$2323,H$1,FALSE),VLOOKUP($A10,Pit!$A$4:$AZ$2261,H$2,FALSE))</f>
        <v>#N/A</v>
      </c>
      <c r="I10" s="16" t="e">
        <f>IF($C10="B",VLOOKUP($A10,Bat!$A$4:$BD$2323,I$1,FALSE),VLOOKUP($A10,Pit!$A$4:$AZ$2261,I$2,FALSE))</f>
        <v>#N/A</v>
      </c>
      <c r="J10" s="16" t="e">
        <f>IF($C10="B",VLOOKUP($A10,Bat!$A$4:$BD$2323,J$1,FALSE),VLOOKUP($A10,Pit!$A$4:$AZ$2261,J$2,FALSE))</f>
        <v>#N/A</v>
      </c>
      <c r="K10" s="17" t="e">
        <f>IF($C10="B",VLOOKUP($A10,Bat!$A$4:$BD$2323,K$1,FALSE),VLOOKUP($A10,Pit!$A$4:$AZ$2261,K$2,FALSE))</f>
        <v>#N/A</v>
      </c>
      <c r="L10" s="16" t="e">
        <f>IF($C10="B",VLOOKUP($A10,Bat!$A$4:$BD$2323,L$1,FALSE),VLOOKUP($A10,Pit!$A$4:$AZ$2261,L$2,FALSE))</f>
        <v>#N/A</v>
      </c>
      <c r="M10" s="16" t="e">
        <f>IF($C10="B",VLOOKUP($A10,Bat!$A$4:$BD$2323,M$1,FALSE),VLOOKUP($A10,Pit!$A$4:$AZ$2261,M$2,FALSE))</f>
        <v>#N/A</v>
      </c>
      <c r="N10" s="16" t="e">
        <f>IF($C10="B",VLOOKUP($A10,Bat!$A$4:$BD$2323,N$1,FALSE),VLOOKUP($A10,Pit!$A$4:$AZ$2261,N$2,FALSE))</f>
        <v>#N/A</v>
      </c>
      <c r="O10" s="16" t="e">
        <f>IF($C10="B",VLOOKUP($A10,Bat!$A$4:$BD$2323,O$1,FALSE),VLOOKUP($A10,Pit!$A$4:$AZ$2261,O$2,FALSE))</f>
        <v>#N/A</v>
      </c>
      <c r="P10" s="17" t="e">
        <f>IF($C10="B",VLOOKUP($A10,Bat!$A$4:$BD$2323,P$1,FALSE),VLOOKUP($A10,Pit!$A$4:$AZ$2261,P$2,FALSE))</f>
        <v>#N/A</v>
      </c>
      <c r="Q10" s="18" t="e">
        <f>IF($C10="B",VLOOKUP($A10,Bat!$A$4:$BD$2323,Q$1,FALSE),VLOOKUP($A10,Pit!$A$4:$AZ$2261,Q$2,FALSE))</f>
        <v>#N/A</v>
      </c>
      <c r="R10" s="19" t="e">
        <f>IF($C10="B",VLOOKUP($A10,Bat!$A$4:$BD$2323,R$1,FALSE),VLOOKUP($A10,Pit!$A$4:$AZ$2261,R$2,FALSE))</f>
        <v>#N/A</v>
      </c>
      <c r="S10" s="20" t="e">
        <f>IF($C10="B",VLOOKUP($A10,Bat!$A$4:$BD$2323,S$1,FALSE),VLOOKUP($A10,Pit!$A$4:$AZ$2261,S$2,FALSE))</f>
        <v>#N/A</v>
      </c>
      <c r="T10" s="17" t="e">
        <f>IF(S10="Slot","",VLOOKUP(IF($C10="B",VLOOKUP($A10,Bat!$A$4:$AT$2323,T$1,FALSE),VLOOKUP($A10,Pit!$A$4:$BD$2261,T$2,FALSE)),COND!$A$34:$B$40,2,FALSE))</f>
        <v>#N/A</v>
      </c>
      <c r="V10" s="21" t="e">
        <f t="shared" si="2"/>
        <v>#N/A</v>
      </c>
      <c r="W10" s="22" t="e">
        <f t="shared" si="3"/>
        <v>#N/A</v>
      </c>
      <c r="X10" s="16" t="e">
        <f>VLOOKUP($E10&amp;$F10,Results!$A$2:$G$413,X$1,FALSE)</f>
        <v>#N/A</v>
      </c>
      <c r="Y10" s="16" t="e">
        <f>VLOOKUP($E10&amp;$F10,Results!$A$2:$G$413,Y$1,FALSE)</f>
        <v>#N/A</v>
      </c>
      <c r="Z10" s="16" t="e">
        <f>VLOOKUP($E10&amp;$F10,Results!$A$2:$G$413,Z$1,FALSE)</f>
        <v>#N/A</v>
      </c>
      <c r="AA10" s="16" t="e">
        <f>VLOOKUP($E10&amp;$F10,Results!$A$2:$G$413,AA$1,FALSE)</f>
        <v>#N/A</v>
      </c>
    </row>
    <row r="11" spans="1:31" s="21" customFormat="1">
      <c r="B11" s="21">
        <f t="shared" si="0"/>
        <v>0</v>
      </c>
      <c r="C11" s="21" t="str">
        <f t="shared" si="1"/>
        <v>B</v>
      </c>
      <c r="D11" s="17" t="e">
        <f>IF($C11="B",VLOOKUP($A11,Bat!$A$4:$BD$2323,D$1,FALSE),VLOOKUP($A11,Pit!$A$4:$AZ$2261,D$2,FALSE))</f>
        <v>#N/A</v>
      </c>
      <c r="E11" s="16" t="e">
        <f>IF($C11="B",VLOOKUP($A11,Bat!$A$4:$BD$2323,E$1,FALSE),VLOOKUP($A11,Pit!$A$4:$AZ$2261,E$2,FALSE))</f>
        <v>#N/A</v>
      </c>
      <c r="F11" s="16" t="e">
        <f>IF($C11="B",VLOOKUP($A11,Bat!$A$4:$BD$2323,F$1,FALSE),VLOOKUP($A11,Pit!$A$4:$AZ$2261,F$2,FALSE))</f>
        <v>#N/A</v>
      </c>
      <c r="G11" s="16" t="e">
        <f>IF($C11="B",VLOOKUP($A11,Bat!$A$4:$BD$2323,G$1,FALSE),VLOOKUP($A11,Pit!$A$4:$AZ$2261,G$2,FALSE))</f>
        <v>#N/A</v>
      </c>
      <c r="H11" s="16" t="e">
        <f>IF($C11="B",VLOOKUP($A11,Bat!$A$4:$BD$2323,H$1,FALSE),VLOOKUP($A11,Pit!$A$4:$AZ$2261,H$2,FALSE))</f>
        <v>#N/A</v>
      </c>
      <c r="I11" s="16" t="e">
        <f>IF($C11="B",VLOOKUP($A11,Bat!$A$4:$BD$2323,I$1,FALSE),VLOOKUP($A11,Pit!$A$4:$AZ$2261,I$2,FALSE))</f>
        <v>#N/A</v>
      </c>
      <c r="J11" s="16" t="e">
        <f>IF($C11="B",VLOOKUP($A11,Bat!$A$4:$BD$2323,J$1,FALSE),VLOOKUP($A11,Pit!$A$4:$AZ$2261,J$2,FALSE))</f>
        <v>#N/A</v>
      </c>
      <c r="K11" s="17" t="e">
        <f>IF($C11="B",VLOOKUP($A11,Bat!$A$4:$BD$2323,K$1,FALSE),VLOOKUP($A11,Pit!$A$4:$AZ$2261,K$2,FALSE))</f>
        <v>#N/A</v>
      </c>
      <c r="L11" s="16" t="e">
        <f>IF($C11="B",VLOOKUP($A11,Bat!$A$4:$BD$2323,L$1,FALSE),VLOOKUP($A11,Pit!$A$4:$AZ$2261,L$2,FALSE))</f>
        <v>#N/A</v>
      </c>
      <c r="M11" s="16" t="e">
        <f>IF($C11="B",VLOOKUP($A11,Bat!$A$4:$BD$2323,M$1,FALSE),VLOOKUP($A11,Pit!$A$4:$AZ$2261,M$2,FALSE))</f>
        <v>#N/A</v>
      </c>
      <c r="N11" s="16" t="e">
        <f>IF($C11="B",VLOOKUP($A11,Bat!$A$4:$BD$2323,N$1,FALSE),VLOOKUP($A11,Pit!$A$4:$AZ$2261,N$2,FALSE))</f>
        <v>#N/A</v>
      </c>
      <c r="O11" s="16" t="e">
        <f>IF($C11="B",VLOOKUP($A11,Bat!$A$4:$BD$2323,O$1,FALSE),VLOOKUP($A11,Pit!$A$4:$AZ$2261,O$2,FALSE))</f>
        <v>#N/A</v>
      </c>
      <c r="P11" s="17" t="e">
        <f>IF($C11="B",VLOOKUP($A11,Bat!$A$4:$BD$2323,P$1,FALSE),VLOOKUP($A11,Pit!$A$4:$AZ$2261,P$2,FALSE))</f>
        <v>#N/A</v>
      </c>
      <c r="Q11" s="18" t="e">
        <f>IF($C11="B",VLOOKUP($A11,Bat!$A$4:$BD$2323,Q$1,FALSE),VLOOKUP($A11,Pit!$A$4:$AZ$2261,Q$2,FALSE))</f>
        <v>#N/A</v>
      </c>
      <c r="R11" s="19" t="e">
        <f>IF($C11="B",VLOOKUP($A11,Bat!$A$4:$BD$2323,R$1,FALSE),VLOOKUP($A11,Pit!$A$4:$AZ$2261,R$2,FALSE))</f>
        <v>#N/A</v>
      </c>
      <c r="S11" s="20" t="e">
        <f>IF($C11="B",VLOOKUP($A11,Bat!$A$4:$BD$2323,S$1,FALSE),VLOOKUP($A11,Pit!$A$4:$AZ$2261,S$2,FALSE))</f>
        <v>#N/A</v>
      </c>
      <c r="T11" s="17" t="e">
        <f>IF(S11="Slot","",VLOOKUP(IF($C11="B",VLOOKUP($A11,Bat!$A$4:$AT$2323,T$1,FALSE),VLOOKUP($A11,Pit!$A$4:$BD$2261,T$2,FALSE)),COND!$A$34:$B$40,2,FALSE))</f>
        <v>#N/A</v>
      </c>
      <c r="V11" s="21" t="e">
        <f t="shared" si="2"/>
        <v>#N/A</v>
      </c>
      <c r="W11" s="22" t="e">
        <f t="shared" si="3"/>
        <v>#N/A</v>
      </c>
      <c r="X11" s="16" t="e">
        <f>VLOOKUP($E11&amp;$F11,Results!$A$2:$G$413,X$1,FALSE)</f>
        <v>#N/A</v>
      </c>
      <c r="Y11" s="16" t="e">
        <f>VLOOKUP($E11&amp;$F11,Results!$A$2:$G$413,Y$1,FALSE)</f>
        <v>#N/A</v>
      </c>
      <c r="Z11" s="16" t="e">
        <f>VLOOKUP($E11&amp;$F11,Results!$A$2:$G$413,Z$1,FALSE)</f>
        <v>#N/A</v>
      </c>
      <c r="AA11" s="16" t="e">
        <f>VLOOKUP($E11&amp;$F11,Results!$A$2:$G$413,AA$1,FALSE)</f>
        <v>#N/A</v>
      </c>
    </row>
    <row r="12" spans="1:31" s="21" customFormat="1">
      <c r="B12" s="21">
        <f t="shared" si="0"/>
        <v>0</v>
      </c>
      <c r="C12" s="21" t="str">
        <f t="shared" si="1"/>
        <v>B</v>
      </c>
      <c r="D12" s="17" t="e">
        <f>IF($C12="B",VLOOKUP($A12,Bat!$A$4:$BD$2323,D$1,FALSE),VLOOKUP($A12,Pit!$A$4:$AZ$2261,D$2,FALSE))</f>
        <v>#N/A</v>
      </c>
      <c r="E12" s="16" t="e">
        <f>IF($C12="B",VLOOKUP($A12,Bat!$A$4:$BD$2323,E$1,FALSE),VLOOKUP($A12,Pit!$A$4:$AZ$2261,E$2,FALSE))</f>
        <v>#N/A</v>
      </c>
      <c r="F12" s="16" t="e">
        <f>IF($C12="B",VLOOKUP($A12,Bat!$A$4:$BD$2323,F$1,FALSE),VLOOKUP($A12,Pit!$A$4:$AZ$2261,F$2,FALSE))</f>
        <v>#N/A</v>
      </c>
      <c r="G12" s="16" t="e">
        <f>IF($C12="B",VLOOKUP($A12,Bat!$A$4:$BD$2323,G$1,FALSE),VLOOKUP($A12,Pit!$A$4:$AZ$2261,G$2,FALSE))</f>
        <v>#N/A</v>
      </c>
      <c r="H12" s="16" t="e">
        <f>IF($C12="B",VLOOKUP($A12,Bat!$A$4:$BD$2323,H$1,FALSE),VLOOKUP($A12,Pit!$A$4:$AZ$2261,H$2,FALSE))</f>
        <v>#N/A</v>
      </c>
      <c r="I12" s="16" t="e">
        <f>IF($C12="B",VLOOKUP($A12,Bat!$A$4:$BD$2323,I$1,FALSE),VLOOKUP($A12,Pit!$A$4:$AZ$2261,I$2,FALSE))</f>
        <v>#N/A</v>
      </c>
      <c r="J12" s="16" t="e">
        <f>IF($C12="B",VLOOKUP($A12,Bat!$A$4:$BD$2323,J$1,FALSE),VLOOKUP($A12,Pit!$A$4:$AZ$2261,J$2,FALSE))</f>
        <v>#N/A</v>
      </c>
      <c r="K12" s="17" t="e">
        <f>IF($C12="B",VLOOKUP($A12,Bat!$A$4:$BD$2323,K$1,FALSE),VLOOKUP($A12,Pit!$A$4:$AZ$2261,K$2,FALSE))</f>
        <v>#N/A</v>
      </c>
      <c r="L12" s="16" t="e">
        <f>IF($C12="B",VLOOKUP($A12,Bat!$A$4:$BD$2323,L$1,FALSE),VLOOKUP($A12,Pit!$A$4:$AZ$2261,L$2,FALSE))</f>
        <v>#N/A</v>
      </c>
      <c r="M12" s="16" t="e">
        <f>IF($C12="B",VLOOKUP($A12,Bat!$A$4:$BD$2323,M$1,FALSE),VLOOKUP($A12,Pit!$A$4:$AZ$2261,M$2,FALSE))</f>
        <v>#N/A</v>
      </c>
      <c r="N12" s="16" t="e">
        <f>IF($C12="B",VLOOKUP($A12,Bat!$A$4:$BD$2323,N$1,FALSE),VLOOKUP($A12,Pit!$A$4:$AZ$2261,N$2,FALSE))</f>
        <v>#N/A</v>
      </c>
      <c r="O12" s="16" t="e">
        <f>IF($C12="B",VLOOKUP($A12,Bat!$A$4:$BD$2323,O$1,FALSE),VLOOKUP($A12,Pit!$A$4:$AZ$2261,O$2,FALSE))</f>
        <v>#N/A</v>
      </c>
      <c r="P12" s="17" t="e">
        <f>IF($C12="B",VLOOKUP($A12,Bat!$A$4:$BD$2323,P$1,FALSE),VLOOKUP($A12,Pit!$A$4:$AZ$2261,P$2,FALSE))</f>
        <v>#N/A</v>
      </c>
      <c r="Q12" s="18" t="e">
        <f>IF($C12="B",VLOOKUP($A12,Bat!$A$4:$BD$2323,Q$1,FALSE),VLOOKUP($A12,Pit!$A$4:$AZ$2261,Q$2,FALSE))</f>
        <v>#N/A</v>
      </c>
      <c r="R12" s="19" t="e">
        <f>IF($C12="B",VLOOKUP($A12,Bat!$A$4:$BD$2323,R$1,FALSE),VLOOKUP($A12,Pit!$A$4:$AZ$2261,R$2,FALSE))</f>
        <v>#N/A</v>
      </c>
      <c r="S12" s="20" t="e">
        <f>IF($C12="B",VLOOKUP($A12,Bat!$A$4:$BD$2323,S$1,FALSE),VLOOKUP($A12,Pit!$A$4:$AZ$2261,S$2,FALSE))</f>
        <v>#N/A</v>
      </c>
      <c r="T12" s="17" t="e">
        <f>IF(S12="Slot","",VLOOKUP(IF($C12="B",VLOOKUP($A12,Bat!$A$4:$AT$2323,T$1,FALSE),VLOOKUP($A12,Pit!$A$4:$BD$2261,T$2,FALSE)),COND!$A$34:$B$40,2,FALSE))</f>
        <v>#N/A</v>
      </c>
      <c r="V12" s="21" t="e">
        <f t="shared" si="2"/>
        <v>#N/A</v>
      </c>
      <c r="W12" s="22" t="e">
        <f t="shared" si="3"/>
        <v>#N/A</v>
      </c>
      <c r="X12" s="16" t="e">
        <f>VLOOKUP($E12&amp;$F12,Results!$A$2:$G$413,X$1,FALSE)</f>
        <v>#N/A</v>
      </c>
      <c r="Y12" s="16" t="e">
        <f>VLOOKUP($E12&amp;$F12,Results!$A$2:$G$413,Y$1,FALSE)</f>
        <v>#N/A</v>
      </c>
      <c r="Z12" s="16" t="e">
        <f>VLOOKUP($E12&amp;$F12,Results!$A$2:$G$413,Z$1,FALSE)</f>
        <v>#N/A</v>
      </c>
      <c r="AA12" s="16" t="e">
        <f>VLOOKUP($E12&amp;$F12,Results!$A$2:$G$413,AA$1,FALSE)</f>
        <v>#N/A</v>
      </c>
    </row>
    <row r="13" spans="1:31" s="21" customFormat="1">
      <c r="B13" s="21">
        <f t="shared" si="0"/>
        <v>0</v>
      </c>
      <c r="C13" s="21" t="str">
        <f t="shared" si="1"/>
        <v>B</v>
      </c>
      <c r="D13" s="17" t="e">
        <f>IF($C13="B",VLOOKUP($A13,Bat!$A$4:$BD$2323,D$1,FALSE),VLOOKUP($A13,Pit!$A$4:$AZ$2261,D$2,FALSE))</f>
        <v>#N/A</v>
      </c>
      <c r="E13" s="16" t="e">
        <f>IF($C13="B",VLOOKUP($A13,Bat!$A$4:$BD$2323,E$1,FALSE),VLOOKUP($A13,Pit!$A$4:$AZ$2261,E$2,FALSE))</f>
        <v>#N/A</v>
      </c>
      <c r="F13" s="16" t="e">
        <f>IF($C13="B",VLOOKUP($A13,Bat!$A$4:$BD$2323,F$1,FALSE),VLOOKUP($A13,Pit!$A$4:$AZ$2261,F$2,FALSE))</f>
        <v>#N/A</v>
      </c>
      <c r="G13" s="16" t="e">
        <f>IF($C13="B",VLOOKUP($A13,Bat!$A$4:$BD$2323,G$1,FALSE),VLOOKUP($A13,Pit!$A$4:$AZ$2261,G$2,FALSE))</f>
        <v>#N/A</v>
      </c>
      <c r="H13" s="16" t="e">
        <f>IF($C13="B",VLOOKUP($A13,Bat!$A$4:$BD$2323,H$1,FALSE),VLOOKUP($A13,Pit!$A$4:$AZ$2261,H$2,FALSE))</f>
        <v>#N/A</v>
      </c>
      <c r="I13" s="16" t="e">
        <f>IF($C13="B",VLOOKUP($A13,Bat!$A$4:$BD$2323,I$1,FALSE),VLOOKUP($A13,Pit!$A$4:$AZ$2261,I$2,FALSE))</f>
        <v>#N/A</v>
      </c>
      <c r="J13" s="16" t="e">
        <f>IF($C13="B",VLOOKUP($A13,Bat!$A$4:$BD$2323,J$1,FALSE),VLOOKUP($A13,Pit!$A$4:$AZ$2261,J$2,FALSE))</f>
        <v>#N/A</v>
      </c>
      <c r="K13" s="17" t="e">
        <f>IF($C13="B",VLOOKUP($A13,Bat!$A$4:$BD$2323,K$1,FALSE),VLOOKUP($A13,Pit!$A$4:$AZ$2261,K$2,FALSE))</f>
        <v>#N/A</v>
      </c>
      <c r="L13" s="16" t="e">
        <f>IF($C13="B",VLOOKUP($A13,Bat!$A$4:$BD$2323,L$1,FALSE),VLOOKUP($A13,Pit!$A$4:$AZ$2261,L$2,FALSE))</f>
        <v>#N/A</v>
      </c>
      <c r="M13" s="16" t="e">
        <f>IF($C13="B",VLOOKUP($A13,Bat!$A$4:$BD$2323,M$1,FALSE),VLOOKUP($A13,Pit!$A$4:$AZ$2261,M$2,FALSE))</f>
        <v>#N/A</v>
      </c>
      <c r="N13" s="16" t="e">
        <f>IF($C13="B",VLOOKUP($A13,Bat!$A$4:$BD$2323,N$1,FALSE),VLOOKUP($A13,Pit!$A$4:$AZ$2261,N$2,FALSE))</f>
        <v>#N/A</v>
      </c>
      <c r="O13" s="16" t="e">
        <f>IF($C13="B",VLOOKUP($A13,Bat!$A$4:$BD$2323,O$1,FALSE),VLOOKUP($A13,Pit!$A$4:$AZ$2261,O$2,FALSE))</f>
        <v>#N/A</v>
      </c>
      <c r="P13" s="17" t="e">
        <f>IF($C13="B",VLOOKUP($A13,Bat!$A$4:$BD$2323,P$1,FALSE),VLOOKUP($A13,Pit!$A$4:$AZ$2261,P$2,FALSE))</f>
        <v>#N/A</v>
      </c>
      <c r="Q13" s="18" t="e">
        <f>IF($C13="B",VLOOKUP($A13,Bat!$A$4:$BD$2323,Q$1,FALSE),VLOOKUP($A13,Pit!$A$4:$AZ$2261,Q$2,FALSE))</f>
        <v>#N/A</v>
      </c>
      <c r="R13" s="19" t="e">
        <f>IF($C13="B",VLOOKUP($A13,Bat!$A$4:$BD$2323,R$1,FALSE),VLOOKUP($A13,Pit!$A$4:$AZ$2261,R$2,FALSE))</f>
        <v>#N/A</v>
      </c>
      <c r="S13" s="20" t="e">
        <f>IF($C13="B",VLOOKUP($A13,Bat!$A$4:$BD$2323,S$1,FALSE),VLOOKUP($A13,Pit!$A$4:$AZ$2261,S$2,FALSE))</f>
        <v>#N/A</v>
      </c>
      <c r="T13" s="17" t="e">
        <f>IF(S13="Slot","",VLOOKUP(IF($C13="B",VLOOKUP($A13,Bat!$A$4:$AT$2323,T$1,FALSE),VLOOKUP($A13,Pit!$A$4:$BD$2261,T$2,FALSE)),COND!$A$34:$B$40,2,FALSE))</f>
        <v>#N/A</v>
      </c>
      <c r="V13" s="21" t="e">
        <f t="shared" si="2"/>
        <v>#N/A</v>
      </c>
      <c r="W13" s="22" t="e">
        <f t="shared" si="3"/>
        <v>#N/A</v>
      </c>
      <c r="X13" s="16" t="e">
        <f>VLOOKUP($E13&amp;$F13,Results!$A$2:$G$413,X$1,FALSE)</f>
        <v>#N/A</v>
      </c>
      <c r="Y13" s="16" t="e">
        <f>VLOOKUP($E13&amp;$F13,Results!$A$2:$G$413,Y$1,FALSE)</f>
        <v>#N/A</v>
      </c>
      <c r="Z13" s="16" t="e">
        <f>VLOOKUP($E13&amp;$F13,Results!$A$2:$G$413,Z$1,FALSE)</f>
        <v>#N/A</v>
      </c>
      <c r="AA13" s="16" t="e">
        <f>VLOOKUP($E13&amp;$F13,Results!$A$2:$G$413,AA$1,FALSE)</f>
        <v>#N/A</v>
      </c>
    </row>
    <row r="14" spans="1:31" s="21" customFormat="1">
      <c r="B14" s="21">
        <f t="shared" si="0"/>
        <v>0</v>
      </c>
      <c r="C14" s="21" t="str">
        <f t="shared" si="1"/>
        <v>B</v>
      </c>
      <c r="D14" s="17" t="e">
        <f>IF($C14="B",VLOOKUP($A14,Bat!$A$4:$BD$2323,D$1,FALSE),VLOOKUP($A14,Pit!$A$4:$AZ$2261,D$2,FALSE))</f>
        <v>#N/A</v>
      </c>
      <c r="E14" s="16" t="e">
        <f>IF($C14="B",VLOOKUP($A14,Bat!$A$4:$BD$2323,E$1,FALSE),VLOOKUP($A14,Pit!$A$4:$AZ$2261,E$2,FALSE))</f>
        <v>#N/A</v>
      </c>
      <c r="F14" s="16" t="e">
        <f>IF($C14="B",VLOOKUP($A14,Bat!$A$4:$BD$2323,F$1,FALSE),VLOOKUP($A14,Pit!$A$4:$AZ$2261,F$2,FALSE))</f>
        <v>#N/A</v>
      </c>
      <c r="G14" s="16" t="e">
        <f>IF($C14="B",VLOOKUP($A14,Bat!$A$4:$BD$2323,G$1,FALSE),VLOOKUP($A14,Pit!$A$4:$AZ$2261,G$2,FALSE))</f>
        <v>#N/A</v>
      </c>
      <c r="H14" s="16" t="e">
        <f>IF($C14="B",VLOOKUP($A14,Bat!$A$4:$BD$2323,H$1,FALSE),VLOOKUP($A14,Pit!$A$4:$AZ$2261,H$2,FALSE))</f>
        <v>#N/A</v>
      </c>
      <c r="I14" s="16" t="e">
        <f>IF($C14="B",VLOOKUP($A14,Bat!$A$4:$BD$2323,I$1,FALSE),VLOOKUP($A14,Pit!$A$4:$AZ$2261,I$2,FALSE))</f>
        <v>#N/A</v>
      </c>
      <c r="J14" s="16" t="e">
        <f>IF($C14="B",VLOOKUP($A14,Bat!$A$4:$BD$2323,J$1,FALSE),VLOOKUP($A14,Pit!$A$4:$AZ$2261,J$2,FALSE))</f>
        <v>#N/A</v>
      </c>
      <c r="K14" s="17" t="e">
        <f>IF($C14="B",VLOOKUP($A14,Bat!$A$4:$BD$2323,K$1,FALSE),VLOOKUP($A14,Pit!$A$4:$AZ$2261,K$2,FALSE))</f>
        <v>#N/A</v>
      </c>
      <c r="L14" s="16" t="e">
        <f>IF($C14="B",VLOOKUP($A14,Bat!$A$4:$BD$2323,L$1,FALSE),VLOOKUP($A14,Pit!$A$4:$AZ$2261,L$2,FALSE))</f>
        <v>#N/A</v>
      </c>
      <c r="M14" s="16" t="e">
        <f>IF($C14="B",VLOOKUP($A14,Bat!$A$4:$BD$2323,M$1,FALSE),VLOOKUP($A14,Pit!$A$4:$AZ$2261,M$2,FALSE))</f>
        <v>#N/A</v>
      </c>
      <c r="N14" s="16" t="e">
        <f>IF($C14="B",VLOOKUP($A14,Bat!$A$4:$BD$2323,N$1,FALSE),VLOOKUP($A14,Pit!$A$4:$AZ$2261,N$2,FALSE))</f>
        <v>#N/A</v>
      </c>
      <c r="O14" s="16" t="e">
        <f>IF($C14="B",VLOOKUP($A14,Bat!$A$4:$BD$2323,O$1,FALSE),VLOOKUP($A14,Pit!$A$4:$AZ$2261,O$2,FALSE))</f>
        <v>#N/A</v>
      </c>
      <c r="P14" s="17" t="e">
        <f>IF($C14="B",VLOOKUP($A14,Bat!$A$4:$BD$2323,P$1,FALSE),VLOOKUP($A14,Pit!$A$4:$AZ$2261,P$2,FALSE))</f>
        <v>#N/A</v>
      </c>
      <c r="Q14" s="18" t="e">
        <f>IF($C14="B",VLOOKUP($A14,Bat!$A$4:$BD$2323,Q$1,FALSE),VLOOKUP($A14,Pit!$A$4:$AZ$2261,Q$2,FALSE))</f>
        <v>#N/A</v>
      </c>
      <c r="R14" s="19" t="e">
        <f>IF($C14="B",VLOOKUP($A14,Bat!$A$4:$BD$2323,R$1,FALSE),VLOOKUP($A14,Pit!$A$4:$AZ$2261,R$2,FALSE))</f>
        <v>#N/A</v>
      </c>
      <c r="S14" s="20" t="e">
        <f>IF($C14="B",VLOOKUP($A14,Bat!$A$4:$BD$2323,S$1,FALSE),VLOOKUP($A14,Pit!$A$4:$AZ$2261,S$2,FALSE))</f>
        <v>#N/A</v>
      </c>
      <c r="T14" s="17" t="e">
        <f>IF(S14="Slot","",VLOOKUP(IF($C14="B",VLOOKUP($A14,Bat!$A$4:$AT$2323,T$1,FALSE),VLOOKUP($A14,Pit!$A$4:$BD$2261,T$2,FALSE)),COND!$A$34:$B$40,2,FALSE))</f>
        <v>#N/A</v>
      </c>
      <c r="V14" s="21" t="e">
        <f t="shared" si="2"/>
        <v>#N/A</v>
      </c>
      <c r="W14" s="22" t="e">
        <f t="shared" si="3"/>
        <v>#N/A</v>
      </c>
      <c r="X14" s="16" t="e">
        <f>VLOOKUP($E14&amp;$F14,Results!$A$2:$G$413,X$1,FALSE)</f>
        <v>#N/A</v>
      </c>
      <c r="Y14" s="16" t="e">
        <f>VLOOKUP($E14&amp;$F14,Results!$A$2:$G$413,Y$1,FALSE)</f>
        <v>#N/A</v>
      </c>
      <c r="Z14" s="16" t="e">
        <f>VLOOKUP($E14&amp;$F14,Results!$A$2:$G$413,Z$1,FALSE)</f>
        <v>#N/A</v>
      </c>
      <c r="AA14" s="16" t="e">
        <f>VLOOKUP($E14&amp;$F14,Results!$A$2:$G$413,AA$1,FALSE)</f>
        <v>#N/A</v>
      </c>
    </row>
    <row r="15" spans="1:31" s="21" customFormat="1">
      <c r="B15" s="21">
        <f t="shared" si="0"/>
        <v>0</v>
      </c>
      <c r="C15" s="21" t="str">
        <f t="shared" si="1"/>
        <v>B</v>
      </c>
      <c r="D15" s="17" t="e">
        <f>IF($C15="B",VLOOKUP($A15,Bat!$A$4:$BD$2323,D$1,FALSE),VLOOKUP($A15,Pit!$A$4:$AZ$2261,D$2,FALSE))</f>
        <v>#N/A</v>
      </c>
      <c r="E15" s="16" t="e">
        <f>IF($C15="B",VLOOKUP($A15,Bat!$A$4:$BD$2323,E$1,FALSE),VLOOKUP($A15,Pit!$A$4:$AZ$2261,E$2,FALSE))</f>
        <v>#N/A</v>
      </c>
      <c r="F15" s="16" t="e">
        <f>IF($C15="B",VLOOKUP($A15,Bat!$A$4:$BD$2323,F$1,FALSE),VLOOKUP($A15,Pit!$A$4:$AZ$2261,F$2,FALSE))</f>
        <v>#N/A</v>
      </c>
      <c r="G15" s="16" t="e">
        <f>IF($C15="B",VLOOKUP($A15,Bat!$A$4:$BD$2323,G$1,FALSE),VLOOKUP($A15,Pit!$A$4:$AZ$2261,G$2,FALSE))</f>
        <v>#N/A</v>
      </c>
      <c r="H15" s="16" t="e">
        <f>IF($C15="B",VLOOKUP($A15,Bat!$A$4:$BD$2323,H$1,FALSE),VLOOKUP($A15,Pit!$A$4:$AZ$2261,H$2,FALSE))</f>
        <v>#N/A</v>
      </c>
      <c r="I15" s="16" t="e">
        <f>IF($C15="B",VLOOKUP($A15,Bat!$A$4:$BD$2323,I$1,FALSE),VLOOKUP($A15,Pit!$A$4:$AZ$2261,I$2,FALSE))</f>
        <v>#N/A</v>
      </c>
      <c r="J15" s="16" t="e">
        <f>IF($C15="B",VLOOKUP($A15,Bat!$A$4:$BD$2323,J$1,FALSE),VLOOKUP($A15,Pit!$A$4:$AZ$2261,J$2,FALSE))</f>
        <v>#N/A</v>
      </c>
      <c r="K15" s="17" t="e">
        <f>IF($C15="B",VLOOKUP($A15,Bat!$A$4:$BD$2323,K$1,FALSE),VLOOKUP($A15,Pit!$A$4:$AZ$2261,K$2,FALSE))</f>
        <v>#N/A</v>
      </c>
      <c r="L15" s="16" t="e">
        <f>IF($C15="B",VLOOKUP($A15,Bat!$A$4:$BD$2323,L$1,FALSE),VLOOKUP($A15,Pit!$A$4:$AZ$2261,L$2,FALSE))</f>
        <v>#N/A</v>
      </c>
      <c r="M15" s="16" t="e">
        <f>IF($C15="B",VLOOKUP($A15,Bat!$A$4:$BD$2323,M$1,FALSE),VLOOKUP($A15,Pit!$A$4:$AZ$2261,M$2,FALSE))</f>
        <v>#N/A</v>
      </c>
      <c r="N15" s="16" t="e">
        <f>IF($C15="B",VLOOKUP($A15,Bat!$A$4:$BD$2323,N$1,FALSE),VLOOKUP($A15,Pit!$A$4:$AZ$2261,N$2,FALSE))</f>
        <v>#N/A</v>
      </c>
      <c r="O15" s="16" t="e">
        <f>IF($C15="B",VLOOKUP($A15,Bat!$A$4:$BD$2323,O$1,FALSE),VLOOKUP($A15,Pit!$A$4:$AZ$2261,O$2,FALSE))</f>
        <v>#N/A</v>
      </c>
      <c r="P15" s="17" t="e">
        <f>IF($C15="B",VLOOKUP($A15,Bat!$A$4:$BD$2323,P$1,FALSE),VLOOKUP($A15,Pit!$A$4:$AZ$2261,P$2,FALSE))</f>
        <v>#N/A</v>
      </c>
      <c r="Q15" s="18" t="e">
        <f>IF($C15="B",VLOOKUP($A15,Bat!$A$4:$BD$2323,Q$1,FALSE),VLOOKUP($A15,Pit!$A$4:$AZ$2261,Q$2,FALSE))</f>
        <v>#N/A</v>
      </c>
      <c r="R15" s="19" t="e">
        <f>IF($C15="B",VLOOKUP($A15,Bat!$A$4:$BD$2323,R$1,FALSE),VLOOKUP($A15,Pit!$A$4:$AZ$2261,R$2,FALSE))</f>
        <v>#N/A</v>
      </c>
      <c r="S15" s="20" t="e">
        <f>IF($C15="B",VLOOKUP($A15,Bat!$A$4:$BD$2323,S$1,FALSE),VLOOKUP($A15,Pit!$A$4:$AZ$2261,S$2,FALSE))</f>
        <v>#N/A</v>
      </c>
      <c r="T15" s="17" t="e">
        <f>IF(S15="Slot","",VLOOKUP(IF($C15="B",VLOOKUP($A15,Bat!$A$4:$AT$2323,T$1,FALSE),VLOOKUP($A15,Pit!$A$4:$BD$2261,T$2,FALSE)),COND!$A$34:$B$40,2,FALSE))</f>
        <v>#N/A</v>
      </c>
      <c r="V15" s="21" t="e">
        <f t="shared" si="2"/>
        <v>#N/A</v>
      </c>
      <c r="W15" s="22" t="e">
        <f t="shared" si="3"/>
        <v>#N/A</v>
      </c>
      <c r="X15" s="16" t="e">
        <f>VLOOKUP($E15&amp;$F15,Results!$A$2:$G$413,X$1,FALSE)</f>
        <v>#N/A</v>
      </c>
      <c r="Y15" s="16" t="e">
        <f>VLOOKUP($E15&amp;$F15,Results!$A$2:$G$413,Y$1,FALSE)</f>
        <v>#N/A</v>
      </c>
      <c r="Z15" s="16" t="e">
        <f>VLOOKUP($E15&amp;$F15,Results!$A$2:$G$413,Z$1,FALSE)</f>
        <v>#N/A</v>
      </c>
      <c r="AA15" s="16" t="e">
        <f>VLOOKUP($E15&amp;$F15,Results!$A$2:$G$413,AA$1,FALSE)</f>
        <v>#N/A</v>
      </c>
    </row>
    <row r="16" spans="1:31" s="21" customFormat="1">
      <c r="B16" s="21">
        <f t="shared" si="0"/>
        <v>0</v>
      </c>
      <c r="C16" s="21" t="str">
        <f t="shared" si="1"/>
        <v>B</v>
      </c>
      <c r="D16" s="17" t="e">
        <f>IF($C16="B",VLOOKUP($A16,Bat!$A$4:$BD$2323,D$1,FALSE),VLOOKUP($A16,Pit!$A$4:$AZ$2261,D$2,FALSE))</f>
        <v>#N/A</v>
      </c>
      <c r="E16" s="16" t="e">
        <f>IF($C16="B",VLOOKUP($A16,Bat!$A$4:$BD$2323,E$1,FALSE),VLOOKUP($A16,Pit!$A$4:$AZ$2261,E$2,FALSE))</f>
        <v>#N/A</v>
      </c>
      <c r="F16" s="16" t="e">
        <f>IF($C16="B",VLOOKUP($A16,Bat!$A$4:$BD$2323,F$1,FALSE),VLOOKUP($A16,Pit!$A$4:$AZ$2261,F$2,FALSE))</f>
        <v>#N/A</v>
      </c>
      <c r="G16" s="16" t="e">
        <f>IF($C16="B",VLOOKUP($A16,Bat!$A$4:$BD$2323,G$1,FALSE),VLOOKUP($A16,Pit!$A$4:$AZ$2261,G$2,FALSE))</f>
        <v>#N/A</v>
      </c>
      <c r="H16" s="16" t="e">
        <f>IF($C16="B",VLOOKUP($A16,Bat!$A$4:$BD$2323,H$1,FALSE),VLOOKUP($A16,Pit!$A$4:$AZ$2261,H$2,FALSE))</f>
        <v>#N/A</v>
      </c>
      <c r="I16" s="16" t="e">
        <f>IF($C16="B",VLOOKUP($A16,Bat!$A$4:$BD$2323,I$1,FALSE),VLOOKUP($A16,Pit!$A$4:$AZ$2261,I$2,FALSE))</f>
        <v>#N/A</v>
      </c>
      <c r="J16" s="16" t="e">
        <f>IF($C16="B",VLOOKUP($A16,Bat!$A$4:$BD$2323,J$1,FALSE),VLOOKUP($A16,Pit!$A$4:$AZ$2261,J$2,FALSE))</f>
        <v>#N/A</v>
      </c>
      <c r="K16" s="17" t="e">
        <f>IF($C16="B",VLOOKUP($A16,Bat!$A$4:$BD$2323,K$1,FALSE),VLOOKUP($A16,Pit!$A$4:$AZ$2261,K$2,FALSE))</f>
        <v>#N/A</v>
      </c>
      <c r="L16" s="16" t="e">
        <f>IF($C16="B",VLOOKUP($A16,Bat!$A$4:$BD$2323,L$1,FALSE),VLOOKUP($A16,Pit!$A$4:$AZ$2261,L$2,FALSE))</f>
        <v>#N/A</v>
      </c>
      <c r="M16" s="16" t="e">
        <f>IF($C16="B",VLOOKUP($A16,Bat!$A$4:$BD$2323,M$1,FALSE),VLOOKUP($A16,Pit!$A$4:$AZ$2261,M$2,FALSE))</f>
        <v>#N/A</v>
      </c>
      <c r="N16" s="16" t="e">
        <f>IF($C16="B",VLOOKUP($A16,Bat!$A$4:$BD$2323,N$1,FALSE),VLOOKUP($A16,Pit!$A$4:$AZ$2261,N$2,FALSE))</f>
        <v>#N/A</v>
      </c>
      <c r="O16" s="16" t="e">
        <f>IF($C16="B",VLOOKUP($A16,Bat!$A$4:$BD$2323,O$1,FALSE),VLOOKUP($A16,Pit!$A$4:$AZ$2261,O$2,FALSE))</f>
        <v>#N/A</v>
      </c>
      <c r="P16" s="17" t="e">
        <f>IF($C16="B",VLOOKUP($A16,Bat!$A$4:$BD$2323,P$1,FALSE),VLOOKUP($A16,Pit!$A$4:$AZ$2261,P$2,FALSE))</f>
        <v>#N/A</v>
      </c>
      <c r="Q16" s="18" t="e">
        <f>IF($C16="B",VLOOKUP($A16,Bat!$A$4:$BD$2323,Q$1,FALSE),VLOOKUP($A16,Pit!$A$4:$AZ$2261,Q$2,FALSE))</f>
        <v>#N/A</v>
      </c>
      <c r="R16" s="19" t="e">
        <f>IF($C16="B",VLOOKUP($A16,Bat!$A$4:$BD$2323,R$1,FALSE),VLOOKUP($A16,Pit!$A$4:$AZ$2261,R$2,FALSE))</f>
        <v>#N/A</v>
      </c>
      <c r="S16" s="20" t="e">
        <f>IF($C16="B",VLOOKUP($A16,Bat!$A$4:$BD$2323,S$1,FALSE),VLOOKUP($A16,Pit!$A$4:$AZ$2261,S$2,FALSE))</f>
        <v>#N/A</v>
      </c>
      <c r="T16" s="17" t="e">
        <f>IF(S16="Slot","",VLOOKUP(IF($C16="B",VLOOKUP($A16,Bat!$A$4:$AT$2323,T$1,FALSE),VLOOKUP($A16,Pit!$A$4:$BD$2261,T$2,FALSE)),COND!$A$34:$B$40,2,FALSE))</f>
        <v>#N/A</v>
      </c>
      <c r="V16" s="21" t="e">
        <f t="shared" si="2"/>
        <v>#N/A</v>
      </c>
      <c r="W16" s="22" t="e">
        <f t="shared" si="3"/>
        <v>#N/A</v>
      </c>
      <c r="X16" s="16" t="e">
        <f>VLOOKUP($E16&amp;$F16,Results!$A$2:$G$413,X$1,FALSE)</f>
        <v>#N/A</v>
      </c>
      <c r="Y16" s="16" t="e">
        <f>VLOOKUP($E16&amp;$F16,Results!$A$2:$G$413,Y$1,FALSE)</f>
        <v>#N/A</v>
      </c>
      <c r="Z16" s="16" t="e">
        <f>VLOOKUP($E16&amp;$F16,Results!$A$2:$G$413,Z$1,FALSE)</f>
        <v>#N/A</v>
      </c>
      <c r="AA16" s="16" t="e">
        <f>VLOOKUP($E16&amp;$F16,Results!$A$2:$G$413,AA$1,FALSE)</f>
        <v>#N/A</v>
      </c>
    </row>
    <row r="17" spans="2:27" s="21" customFormat="1">
      <c r="B17" s="21">
        <f t="shared" si="0"/>
        <v>0</v>
      </c>
      <c r="C17" s="21" t="str">
        <f t="shared" si="1"/>
        <v>B</v>
      </c>
      <c r="D17" s="17" t="e">
        <f>IF($C17="B",VLOOKUP($A17,Bat!$A$4:$BD$2323,D$1,FALSE),VLOOKUP($A17,Pit!$A$4:$AZ$2261,D$2,FALSE))</f>
        <v>#N/A</v>
      </c>
      <c r="E17" s="16" t="e">
        <f>IF($C17="B",VLOOKUP($A17,Bat!$A$4:$BD$2323,E$1,FALSE),VLOOKUP($A17,Pit!$A$4:$AZ$2261,E$2,FALSE))</f>
        <v>#N/A</v>
      </c>
      <c r="F17" s="16" t="e">
        <f>IF($C17="B",VLOOKUP($A17,Bat!$A$4:$BD$2323,F$1,FALSE),VLOOKUP($A17,Pit!$A$4:$AZ$2261,F$2,FALSE))</f>
        <v>#N/A</v>
      </c>
      <c r="G17" s="16" t="e">
        <f>IF($C17="B",VLOOKUP($A17,Bat!$A$4:$BD$2323,G$1,FALSE),VLOOKUP($A17,Pit!$A$4:$AZ$2261,G$2,FALSE))</f>
        <v>#N/A</v>
      </c>
      <c r="H17" s="16" t="e">
        <f>IF($C17="B",VLOOKUP($A17,Bat!$A$4:$BD$2323,H$1,FALSE),VLOOKUP($A17,Pit!$A$4:$AZ$2261,H$2,FALSE))</f>
        <v>#N/A</v>
      </c>
      <c r="I17" s="16" t="e">
        <f>IF($C17="B",VLOOKUP($A17,Bat!$A$4:$BD$2323,I$1,FALSE),VLOOKUP($A17,Pit!$A$4:$AZ$2261,I$2,FALSE))</f>
        <v>#N/A</v>
      </c>
      <c r="J17" s="16" t="e">
        <f>IF($C17="B",VLOOKUP($A17,Bat!$A$4:$BD$2323,J$1,FALSE),VLOOKUP($A17,Pit!$A$4:$AZ$2261,J$2,FALSE))</f>
        <v>#N/A</v>
      </c>
      <c r="K17" s="17" t="e">
        <f>IF($C17="B",VLOOKUP($A17,Bat!$A$4:$BD$2323,K$1,FALSE),VLOOKUP($A17,Pit!$A$4:$AZ$2261,K$2,FALSE))</f>
        <v>#N/A</v>
      </c>
      <c r="L17" s="16" t="e">
        <f>IF($C17="B",VLOOKUP($A17,Bat!$A$4:$BD$2323,L$1,FALSE),VLOOKUP($A17,Pit!$A$4:$AZ$2261,L$2,FALSE))</f>
        <v>#N/A</v>
      </c>
      <c r="M17" s="16" t="e">
        <f>IF($C17="B",VLOOKUP($A17,Bat!$A$4:$BD$2323,M$1,FALSE),VLOOKUP($A17,Pit!$A$4:$AZ$2261,M$2,FALSE))</f>
        <v>#N/A</v>
      </c>
      <c r="N17" s="16" t="e">
        <f>IF($C17="B",VLOOKUP($A17,Bat!$A$4:$BD$2323,N$1,FALSE),VLOOKUP($A17,Pit!$A$4:$AZ$2261,N$2,FALSE))</f>
        <v>#N/A</v>
      </c>
      <c r="O17" s="16" t="e">
        <f>IF($C17="B",VLOOKUP($A17,Bat!$A$4:$BD$2323,O$1,FALSE),VLOOKUP($A17,Pit!$A$4:$AZ$2261,O$2,FALSE))</f>
        <v>#N/A</v>
      </c>
      <c r="P17" s="17" t="e">
        <f>IF($C17="B",VLOOKUP($A17,Bat!$A$4:$BD$2323,P$1,FALSE),VLOOKUP($A17,Pit!$A$4:$AZ$2261,P$2,FALSE))</f>
        <v>#N/A</v>
      </c>
      <c r="Q17" s="18" t="e">
        <f>IF($C17="B",VLOOKUP($A17,Bat!$A$4:$BD$2323,Q$1,FALSE),VLOOKUP($A17,Pit!$A$4:$AZ$2261,Q$2,FALSE))</f>
        <v>#N/A</v>
      </c>
      <c r="R17" s="19" t="e">
        <f>IF($C17="B",VLOOKUP($A17,Bat!$A$4:$BD$2323,R$1,FALSE),VLOOKUP($A17,Pit!$A$4:$AZ$2261,R$2,FALSE))</f>
        <v>#N/A</v>
      </c>
      <c r="S17" s="20" t="e">
        <f>IF($C17="B",VLOOKUP($A17,Bat!$A$4:$BD$2323,S$1,FALSE),VLOOKUP($A17,Pit!$A$4:$AZ$2261,S$2,FALSE))</f>
        <v>#N/A</v>
      </c>
      <c r="T17" s="17" t="e">
        <f>IF(S17="Slot","",VLOOKUP(IF($C17="B",VLOOKUP($A17,Bat!$A$4:$AT$2323,T$1,FALSE),VLOOKUP($A17,Pit!$A$4:$BD$2261,T$2,FALSE)),COND!$A$34:$B$40,2,FALSE))</f>
        <v>#N/A</v>
      </c>
      <c r="V17" s="21" t="e">
        <f t="shared" si="2"/>
        <v>#N/A</v>
      </c>
      <c r="W17" s="22" t="e">
        <f t="shared" si="3"/>
        <v>#N/A</v>
      </c>
      <c r="X17" s="16" t="e">
        <f>VLOOKUP($E17&amp;$F17,Results!$A$2:$G$413,X$1,FALSE)</f>
        <v>#N/A</v>
      </c>
      <c r="Y17" s="16" t="e">
        <f>VLOOKUP($E17&amp;$F17,Results!$A$2:$G$413,Y$1,FALSE)</f>
        <v>#N/A</v>
      </c>
      <c r="Z17" s="16" t="e">
        <f>VLOOKUP($E17&amp;$F17,Results!$A$2:$G$413,Z$1,FALSE)</f>
        <v>#N/A</v>
      </c>
      <c r="AA17" s="16" t="e">
        <f>VLOOKUP($E17&amp;$F17,Results!$A$2:$G$413,AA$1,FALSE)</f>
        <v>#N/A</v>
      </c>
    </row>
    <row r="18" spans="2:27" s="21" customFormat="1">
      <c r="B18" s="21">
        <f t="shared" si="0"/>
        <v>0</v>
      </c>
      <c r="C18" s="21" t="str">
        <f t="shared" si="1"/>
        <v>B</v>
      </c>
      <c r="D18" s="17" t="e">
        <f>IF($C18="B",VLOOKUP($A18,Bat!$A$4:$BD$2323,D$1,FALSE),VLOOKUP($A18,Pit!$A$4:$AZ$2261,D$2,FALSE))</f>
        <v>#N/A</v>
      </c>
      <c r="E18" s="16" t="e">
        <f>IF($C18="B",VLOOKUP($A18,Bat!$A$4:$BD$2323,E$1,FALSE),VLOOKUP($A18,Pit!$A$4:$AZ$2261,E$2,FALSE))</f>
        <v>#N/A</v>
      </c>
      <c r="F18" s="16" t="e">
        <f>IF($C18="B",VLOOKUP($A18,Bat!$A$4:$BD$2323,F$1,FALSE),VLOOKUP($A18,Pit!$A$4:$AZ$2261,F$2,FALSE))</f>
        <v>#N/A</v>
      </c>
      <c r="G18" s="16" t="e">
        <f>IF($C18="B",VLOOKUP($A18,Bat!$A$4:$BD$2323,G$1,FALSE),VLOOKUP($A18,Pit!$A$4:$AZ$2261,G$2,FALSE))</f>
        <v>#N/A</v>
      </c>
      <c r="H18" s="16" t="e">
        <f>IF($C18="B",VLOOKUP($A18,Bat!$A$4:$BD$2323,H$1,FALSE),VLOOKUP($A18,Pit!$A$4:$AZ$2261,H$2,FALSE))</f>
        <v>#N/A</v>
      </c>
      <c r="I18" s="16" t="e">
        <f>IF($C18="B",VLOOKUP($A18,Bat!$A$4:$BD$2323,I$1,FALSE),VLOOKUP($A18,Pit!$A$4:$AZ$2261,I$2,FALSE))</f>
        <v>#N/A</v>
      </c>
      <c r="J18" s="16" t="e">
        <f>IF($C18="B",VLOOKUP($A18,Bat!$A$4:$BD$2323,J$1,FALSE),VLOOKUP($A18,Pit!$A$4:$AZ$2261,J$2,FALSE))</f>
        <v>#N/A</v>
      </c>
      <c r="K18" s="17" t="e">
        <f>IF($C18="B",VLOOKUP($A18,Bat!$A$4:$BD$2323,K$1,FALSE),VLOOKUP($A18,Pit!$A$4:$AZ$2261,K$2,FALSE))</f>
        <v>#N/A</v>
      </c>
      <c r="L18" s="16" t="e">
        <f>IF($C18="B",VLOOKUP($A18,Bat!$A$4:$BD$2323,L$1,FALSE),VLOOKUP($A18,Pit!$A$4:$AZ$2261,L$2,FALSE))</f>
        <v>#N/A</v>
      </c>
      <c r="M18" s="16" t="e">
        <f>IF($C18="B",VLOOKUP($A18,Bat!$A$4:$BD$2323,M$1,FALSE),VLOOKUP($A18,Pit!$A$4:$AZ$2261,M$2,FALSE))</f>
        <v>#N/A</v>
      </c>
      <c r="N18" s="16" t="e">
        <f>IF($C18="B",VLOOKUP($A18,Bat!$A$4:$BD$2323,N$1,FALSE),VLOOKUP($A18,Pit!$A$4:$AZ$2261,N$2,FALSE))</f>
        <v>#N/A</v>
      </c>
      <c r="O18" s="16" t="e">
        <f>IF($C18="B",VLOOKUP($A18,Bat!$A$4:$BD$2323,O$1,FALSE),VLOOKUP($A18,Pit!$A$4:$AZ$2261,O$2,FALSE))</f>
        <v>#N/A</v>
      </c>
      <c r="P18" s="17" t="e">
        <f>IF($C18="B",VLOOKUP($A18,Bat!$A$4:$BD$2323,P$1,FALSE),VLOOKUP($A18,Pit!$A$4:$AZ$2261,P$2,FALSE))</f>
        <v>#N/A</v>
      </c>
      <c r="Q18" s="18" t="e">
        <f>IF($C18="B",VLOOKUP($A18,Bat!$A$4:$BD$2323,Q$1,FALSE),VLOOKUP($A18,Pit!$A$4:$AZ$2261,Q$2,FALSE))</f>
        <v>#N/A</v>
      </c>
      <c r="R18" s="19" t="e">
        <f>IF($C18="B",VLOOKUP($A18,Bat!$A$4:$BD$2323,R$1,FALSE),VLOOKUP($A18,Pit!$A$4:$AZ$2261,R$2,FALSE))</f>
        <v>#N/A</v>
      </c>
      <c r="S18" s="20" t="e">
        <f>IF($C18="B",VLOOKUP($A18,Bat!$A$4:$BD$2323,S$1,FALSE),VLOOKUP($A18,Pit!$A$4:$AZ$2261,S$2,FALSE))</f>
        <v>#N/A</v>
      </c>
      <c r="T18" s="17" t="e">
        <f>IF(S18="Slot","",VLOOKUP(IF($C18="B",VLOOKUP($A18,Bat!$A$4:$AT$2323,T$1,FALSE),VLOOKUP($A18,Pit!$A$4:$BD$2261,T$2,FALSE)),COND!$A$34:$B$40,2,FALSE))</f>
        <v>#N/A</v>
      </c>
      <c r="V18" s="21" t="e">
        <f t="shared" si="2"/>
        <v>#N/A</v>
      </c>
      <c r="W18" s="22" t="e">
        <f t="shared" si="3"/>
        <v>#N/A</v>
      </c>
      <c r="X18" s="16" t="e">
        <f>VLOOKUP($E18&amp;$F18,Results!$A$2:$G$413,X$1,FALSE)</f>
        <v>#N/A</v>
      </c>
      <c r="Y18" s="16" t="e">
        <f>VLOOKUP($E18&amp;$F18,Results!$A$2:$G$413,Y$1,FALSE)</f>
        <v>#N/A</v>
      </c>
      <c r="Z18" s="16" t="e">
        <f>VLOOKUP($E18&amp;$F18,Results!$A$2:$G$413,Z$1,FALSE)</f>
        <v>#N/A</v>
      </c>
      <c r="AA18" s="16" t="e">
        <f>VLOOKUP($E18&amp;$F18,Results!$A$2:$G$413,AA$1,FALSE)</f>
        <v>#N/A</v>
      </c>
    </row>
    <row r="19" spans="2:27" s="21" customFormat="1">
      <c r="B19" s="21">
        <f t="shared" si="0"/>
        <v>0</v>
      </c>
      <c r="C19" s="21" t="str">
        <f t="shared" si="1"/>
        <v>B</v>
      </c>
      <c r="D19" s="17" t="e">
        <f>IF($C19="B",VLOOKUP($A19,Bat!$A$4:$BD$2323,D$1,FALSE),VLOOKUP($A19,Pit!$A$4:$AZ$2261,D$2,FALSE))</f>
        <v>#N/A</v>
      </c>
      <c r="E19" s="16" t="e">
        <f>IF($C19="B",VLOOKUP($A19,Bat!$A$4:$BD$2323,E$1,FALSE),VLOOKUP($A19,Pit!$A$4:$AZ$2261,E$2,FALSE))</f>
        <v>#N/A</v>
      </c>
      <c r="F19" s="16" t="e">
        <f>IF($C19="B",VLOOKUP($A19,Bat!$A$4:$BD$2323,F$1,FALSE),VLOOKUP($A19,Pit!$A$4:$AZ$2261,F$2,FALSE))</f>
        <v>#N/A</v>
      </c>
      <c r="G19" s="16" t="e">
        <f>IF($C19="B",VLOOKUP($A19,Bat!$A$4:$BD$2323,G$1,FALSE),VLOOKUP($A19,Pit!$A$4:$AZ$2261,G$2,FALSE))</f>
        <v>#N/A</v>
      </c>
      <c r="H19" s="16" t="e">
        <f>IF($C19="B",VLOOKUP($A19,Bat!$A$4:$BD$2323,H$1,FALSE),VLOOKUP($A19,Pit!$A$4:$AZ$2261,H$2,FALSE))</f>
        <v>#N/A</v>
      </c>
      <c r="I19" s="16" t="e">
        <f>IF($C19="B",VLOOKUP($A19,Bat!$A$4:$BD$2323,I$1,FALSE),VLOOKUP($A19,Pit!$A$4:$AZ$2261,I$2,FALSE))</f>
        <v>#N/A</v>
      </c>
      <c r="J19" s="16" t="e">
        <f>IF($C19="B",VLOOKUP($A19,Bat!$A$4:$BD$2323,J$1,FALSE),VLOOKUP($A19,Pit!$A$4:$AZ$2261,J$2,FALSE))</f>
        <v>#N/A</v>
      </c>
      <c r="K19" s="17" t="e">
        <f>IF($C19="B",VLOOKUP($A19,Bat!$A$4:$BD$2323,K$1,FALSE),VLOOKUP($A19,Pit!$A$4:$AZ$2261,K$2,FALSE))</f>
        <v>#N/A</v>
      </c>
      <c r="L19" s="16" t="e">
        <f>IF($C19="B",VLOOKUP($A19,Bat!$A$4:$BD$2323,L$1,FALSE),VLOOKUP($A19,Pit!$A$4:$AZ$2261,L$2,FALSE))</f>
        <v>#N/A</v>
      </c>
      <c r="M19" s="16" t="e">
        <f>IF($C19="B",VLOOKUP($A19,Bat!$A$4:$BD$2323,M$1,FALSE),VLOOKUP($A19,Pit!$A$4:$AZ$2261,M$2,FALSE))</f>
        <v>#N/A</v>
      </c>
      <c r="N19" s="16" t="e">
        <f>IF($C19="B",VLOOKUP($A19,Bat!$A$4:$BD$2323,N$1,FALSE),VLOOKUP($A19,Pit!$A$4:$AZ$2261,N$2,FALSE))</f>
        <v>#N/A</v>
      </c>
      <c r="O19" s="16" t="e">
        <f>IF($C19="B",VLOOKUP($A19,Bat!$A$4:$BD$2323,O$1,FALSE),VLOOKUP($A19,Pit!$A$4:$AZ$2261,O$2,FALSE))</f>
        <v>#N/A</v>
      </c>
      <c r="P19" s="17" t="e">
        <f>IF($C19="B",VLOOKUP($A19,Bat!$A$4:$BD$2323,P$1,FALSE),VLOOKUP($A19,Pit!$A$4:$AZ$2261,P$2,FALSE))</f>
        <v>#N/A</v>
      </c>
      <c r="Q19" s="18" t="e">
        <f>IF($C19="B",VLOOKUP($A19,Bat!$A$4:$BD$2323,Q$1,FALSE),VLOOKUP($A19,Pit!$A$4:$AZ$2261,Q$2,FALSE))</f>
        <v>#N/A</v>
      </c>
      <c r="R19" s="19" t="e">
        <f>IF($C19="B",VLOOKUP($A19,Bat!$A$4:$BD$2323,R$1,FALSE),VLOOKUP($A19,Pit!$A$4:$AZ$2261,R$2,FALSE))</f>
        <v>#N/A</v>
      </c>
      <c r="S19" s="20" t="e">
        <f>IF($C19="B",VLOOKUP($A19,Bat!$A$4:$BD$2323,S$1,FALSE),VLOOKUP($A19,Pit!$A$4:$AZ$2261,S$2,FALSE))</f>
        <v>#N/A</v>
      </c>
      <c r="T19" s="17" t="e">
        <f>IF(S19="Slot","",VLOOKUP(IF($C19="B",VLOOKUP($A19,Bat!$A$4:$AT$2323,T$1,FALSE),VLOOKUP($A19,Pit!$A$4:$BD$2261,T$2,FALSE)),COND!$A$34:$B$40,2,FALSE))</f>
        <v>#N/A</v>
      </c>
      <c r="V19" s="21" t="e">
        <f t="shared" si="2"/>
        <v>#N/A</v>
      </c>
      <c r="W19" s="22" t="e">
        <f t="shared" si="3"/>
        <v>#N/A</v>
      </c>
      <c r="X19" s="16" t="e">
        <f>VLOOKUP($E19&amp;$F19,Results!$A$2:$G$413,X$1,FALSE)</f>
        <v>#N/A</v>
      </c>
      <c r="Y19" s="16" t="e">
        <f>VLOOKUP($E19&amp;$F19,Results!$A$2:$G$413,Y$1,FALSE)</f>
        <v>#N/A</v>
      </c>
      <c r="Z19" s="16" t="e">
        <f>VLOOKUP($E19&amp;$F19,Results!$A$2:$G$413,Z$1,FALSE)</f>
        <v>#N/A</v>
      </c>
      <c r="AA19" s="16" t="e">
        <f>VLOOKUP($E19&amp;$F19,Results!$A$2:$G$413,AA$1,FALSE)</f>
        <v>#N/A</v>
      </c>
    </row>
    <row r="20" spans="2:27" s="21" customFormat="1">
      <c r="B20" s="21">
        <f t="shared" si="0"/>
        <v>0</v>
      </c>
      <c r="C20" s="21" t="str">
        <f t="shared" si="1"/>
        <v>B</v>
      </c>
      <c r="D20" s="17" t="e">
        <f>IF($C20="B",VLOOKUP($A20,Bat!$A$4:$BD$2323,D$1,FALSE),VLOOKUP($A20,Pit!$A$4:$AZ$2261,D$2,FALSE))</f>
        <v>#N/A</v>
      </c>
      <c r="E20" s="16" t="e">
        <f>IF($C20="B",VLOOKUP($A20,Bat!$A$4:$BD$2323,E$1,FALSE),VLOOKUP($A20,Pit!$A$4:$AZ$2261,E$2,FALSE))</f>
        <v>#N/A</v>
      </c>
      <c r="F20" s="16" t="e">
        <f>IF($C20="B",VLOOKUP($A20,Bat!$A$4:$BD$2323,F$1,FALSE),VLOOKUP($A20,Pit!$A$4:$AZ$2261,F$2,FALSE))</f>
        <v>#N/A</v>
      </c>
      <c r="G20" s="16" t="e">
        <f>IF($C20="B",VLOOKUP($A20,Bat!$A$4:$BD$2323,G$1,FALSE),VLOOKUP($A20,Pit!$A$4:$AZ$2261,G$2,FALSE))</f>
        <v>#N/A</v>
      </c>
      <c r="H20" s="16" t="e">
        <f>IF($C20="B",VLOOKUP($A20,Bat!$A$4:$BD$2323,H$1,FALSE),VLOOKUP($A20,Pit!$A$4:$AZ$2261,H$2,FALSE))</f>
        <v>#N/A</v>
      </c>
      <c r="I20" s="16" t="e">
        <f>IF($C20="B",VLOOKUP($A20,Bat!$A$4:$BD$2323,I$1,FALSE),VLOOKUP($A20,Pit!$A$4:$AZ$2261,I$2,FALSE))</f>
        <v>#N/A</v>
      </c>
      <c r="J20" s="16" t="e">
        <f>IF($C20="B",VLOOKUP($A20,Bat!$A$4:$BD$2323,J$1,FALSE),VLOOKUP($A20,Pit!$A$4:$AZ$2261,J$2,FALSE))</f>
        <v>#N/A</v>
      </c>
      <c r="K20" s="17" t="e">
        <f>IF($C20="B",VLOOKUP($A20,Bat!$A$4:$BD$2323,K$1,FALSE),VLOOKUP($A20,Pit!$A$4:$AZ$2261,K$2,FALSE))</f>
        <v>#N/A</v>
      </c>
      <c r="L20" s="16" t="e">
        <f>IF($C20="B",VLOOKUP($A20,Bat!$A$4:$BD$2323,L$1,FALSE),VLOOKUP($A20,Pit!$A$4:$AZ$2261,L$2,FALSE))</f>
        <v>#N/A</v>
      </c>
      <c r="M20" s="16" t="e">
        <f>IF($C20="B",VLOOKUP($A20,Bat!$A$4:$BD$2323,M$1,FALSE),VLOOKUP($A20,Pit!$A$4:$AZ$2261,M$2,FALSE))</f>
        <v>#N/A</v>
      </c>
      <c r="N20" s="16" t="e">
        <f>IF($C20="B",VLOOKUP($A20,Bat!$A$4:$BD$2323,N$1,FALSE),VLOOKUP($A20,Pit!$A$4:$AZ$2261,N$2,FALSE))</f>
        <v>#N/A</v>
      </c>
      <c r="O20" s="16" t="e">
        <f>IF($C20="B",VLOOKUP($A20,Bat!$A$4:$BD$2323,O$1,FALSE),VLOOKUP($A20,Pit!$A$4:$AZ$2261,O$2,FALSE))</f>
        <v>#N/A</v>
      </c>
      <c r="P20" s="17" t="e">
        <f>IF($C20="B",VLOOKUP($A20,Bat!$A$4:$BD$2323,P$1,FALSE),VLOOKUP($A20,Pit!$A$4:$AZ$2261,P$2,FALSE))</f>
        <v>#N/A</v>
      </c>
      <c r="Q20" s="18" t="e">
        <f>IF($C20="B",VLOOKUP($A20,Bat!$A$4:$BD$2323,Q$1,FALSE),VLOOKUP($A20,Pit!$A$4:$AZ$2261,Q$2,FALSE))</f>
        <v>#N/A</v>
      </c>
      <c r="R20" s="19" t="e">
        <f>IF($C20="B",VLOOKUP($A20,Bat!$A$4:$BD$2323,R$1,FALSE),VLOOKUP($A20,Pit!$A$4:$AZ$2261,R$2,FALSE))</f>
        <v>#N/A</v>
      </c>
      <c r="S20" s="20" t="e">
        <f>IF($C20="B",VLOOKUP($A20,Bat!$A$4:$BD$2323,S$1,FALSE),VLOOKUP($A20,Pit!$A$4:$AZ$2261,S$2,FALSE))</f>
        <v>#N/A</v>
      </c>
      <c r="T20" s="17" t="e">
        <f>IF(S20="Slot","",VLOOKUP(IF($C20="B",VLOOKUP($A20,Bat!$A$4:$AT$2323,T$1,FALSE),VLOOKUP($A20,Pit!$A$4:$BD$2261,T$2,FALSE)),COND!$A$34:$B$40,2,FALSE))</f>
        <v>#N/A</v>
      </c>
      <c r="V20" s="21" t="e">
        <f t="shared" si="2"/>
        <v>#N/A</v>
      </c>
      <c r="W20" s="22" t="e">
        <f t="shared" si="3"/>
        <v>#N/A</v>
      </c>
      <c r="X20" s="16" t="e">
        <f>VLOOKUP($E20&amp;$F20,Results!$A$2:$G$413,X$1,FALSE)</f>
        <v>#N/A</v>
      </c>
      <c r="Y20" s="16" t="e">
        <f>VLOOKUP($E20&amp;$F20,Results!$A$2:$G$413,Y$1,FALSE)</f>
        <v>#N/A</v>
      </c>
      <c r="Z20" s="16" t="e">
        <f>VLOOKUP($E20&amp;$F20,Results!$A$2:$G$413,Z$1,FALSE)</f>
        <v>#N/A</v>
      </c>
      <c r="AA20" s="16" t="e">
        <f>VLOOKUP($E20&amp;$F20,Results!$A$2:$G$413,AA$1,FALSE)</f>
        <v>#N/A</v>
      </c>
    </row>
  </sheetData>
  <sheetCalcPr fullCalcOnLoad="1"/>
  <autoFilter ref="A4:AE20"/>
  <conditionalFormatting sqref="A5:XFD20">
    <cfRule type="expression" dxfId="5" priority="2">
      <formula>IF($C5="B",1,0)</formula>
    </cfRule>
  </conditionalFormatting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27"/>
  <sheetViews>
    <sheetView workbookViewId="0">
      <selection activeCell="I21" sqref="I21"/>
    </sheetView>
  </sheetViews>
  <sheetFormatPr baseColWidth="10" defaultColWidth="8.83203125" defaultRowHeight="14"/>
  <cols>
    <col min="1" max="1" width="29.33203125" bestFit="1" customWidth="1"/>
    <col min="2" max="2" width="17" bestFit="1" customWidth="1"/>
    <col min="3" max="3" width="15.83203125" bestFit="1" customWidth="1"/>
    <col min="4" max="4" width="9.33203125" bestFit="1" customWidth="1"/>
    <col min="5" max="5" width="11.6640625" bestFit="1" customWidth="1"/>
    <col min="6" max="7" width="12.5" bestFit="1" customWidth="1"/>
    <col min="8" max="8" width="6.5" bestFit="1" customWidth="1"/>
  </cols>
  <sheetData>
    <row r="1" spans="1:9">
      <c r="I1" s="44" t="e">
        <f>"Team"&amp;REPT(" ",'Salary Pivot'!$H$27+2)&amp;"Dft  Elg  Sgn  UnS         Total           Avg"</f>
        <v>#VALUE!</v>
      </c>
    </row>
    <row r="2" spans="1:9" s="4" customFormat="1">
      <c r="A2" s="4" t="s">
        <v>1605</v>
      </c>
      <c r="B2" s="4" t="s">
        <v>1400</v>
      </c>
      <c r="C2" s="4" t="s">
        <v>1401</v>
      </c>
      <c r="D2" s="4" t="s">
        <v>1402</v>
      </c>
      <c r="E2" s="4" t="s">
        <v>1403</v>
      </c>
      <c r="F2" s="4" t="s">
        <v>1405</v>
      </c>
      <c r="G2" s="4" t="s">
        <v>1404</v>
      </c>
      <c r="H2" s="4" t="s">
        <v>1407</v>
      </c>
      <c r="I2" s="42" t="s">
        <v>1408</v>
      </c>
    </row>
    <row r="3" spans="1:9">
      <c r="A3" t="s">
        <v>1616</v>
      </c>
      <c r="B3">
        <f>COUNTIF('Draft List'!$AB$5:$AB$2598,$A3)</f>
        <v>0</v>
      </c>
      <c r="C3">
        <f>SUMPRODUCT(('Draft List'!$AB$5:$AB$2598=$A3)*('Draft List'!$Z$5:$Z$2598&lt;6))+SUMPRODUCT(('Draft List'!$AB$5:$AB$2598=$A3)*('Draft List'!$Z$5:$Z$2598="S1"))+SUMPRODUCT(('Draft List'!$AB$5:$AB$2598=$A3)*('Draft List'!$Z$5:$Z$2598&lt;&gt;"S1")*('Draft List'!$Z$5:$Z$2598&gt;5)*('Draft List'!$AD$5:$AD$2598&gt;0)*('Draft List'!$AD$5:$AD$2598&lt;100000000))</f>
        <v>0</v>
      </c>
      <c r="D3">
        <f>SUMPRODUCT(('Draft List'!$AB$5:$AB$2598=$A3)*('Draft List'!$AD$5:$AD$2598&gt;0)*('Draft List'!$AD$5:$AD$2598&lt;100000000))</f>
        <v>0</v>
      </c>
      <c r="E3">
        <f t="shared" ref="E3:E26" si="0">C3-D3</f>
        <v>0</v>
      </c>
      <c r="F3" s="11">
        <f>SUMIF('Draft List'!$AB$5:$AB$2598,$A3,'Draft List'!$AD$5:$AD$2598)</f>
        <v>0</v>
      </c>
      <c r="G3" s="40">
        <f t="shared" ref="G3:G26" si="1">IF(D3&gt;0,F3/D3,0)</f>
        <v>0</v>
      </c>
      <c r="H3" s="39">
        <f>LEN('Salary Pivot'!$A3)</f>
        <v>15</v>
      </c>
      <c r="I3" s="43" t="e">
        <f>IF(RANK('Salary Pivot'!$F3,'Salary Pivot'!$F$3:$F$26)&lt;10," ","")&amp;RANK('Salary Pivot'!$F3,'Salary Pivot'!$F$3:$F$26)&amp;". "&amp;'Salary Pivot'!$A3&amp;REPT(" ",'Salary Pivot'!$H$27-'Salary Pivot'!$H3+3)&amp;'Salary Pivot'!$B3&amp;"   "&amp;IF('Salary Pivot'!$C3&lt;10," ","")&amp;'Salary Pivot'!$C3&amp;"   "&amp;IF('Salary Pivot'!$D3&lt;10," ","")&amp;'Salary Pivot'!$D3&amp;"   "&amp;IF('Salary Pivot'!$E3&lt;10," ","")&amp;'Salary Pivot'!$E3&amp;"   "&amp;IF('Salary Pivot'!$F3&lt;10000000," ","")&amp;IF('Salary Pivot'!$F3&lt;1000000,"  ","")&amp;IF('Salary Pivot'!$F3&lt;1000,"  ","")&amp;TEXT('Salary Pivot'!$F3,"$0,000")&amp;"   "&amp;IF('Salary Pivot'!$G3&lt;10000000," ","")&amp;IF('Salary Pivot'!$G3&lt;1000000,"  ","")&amp;IF('Salary Pivot'!$G3&lt;1000,"  ","")&amp;TEXT('Salary Pivot'!$G3,"$0,000")</f>
        <v>#VALUE!</v>
      </c>
    </row>
    <row r="4" spans="1:9">
      <c r="A4" t="s">
        <v>1617</v>
      </c>
      <c r="B4">
        <f>COUNTIF('Draft List'!$AB$5:$AB$2598,$A4)</f>
        <v>0</v>
      </c>
      <c r="C4">
        <f>SUMPRODUCT(('Draft List'!$AB$5:$AB$2598=$A4)*('Draft List'!$Z$5:$Z$2598&lt;6))+SUMPRODUCT(('Draft List'!$AB$5:$AB$2598=$A4)*('Draft List'!$Z$5:$Z$2598="S1"))+SUMPRODUCT(('Draft List'!$AB$5:$AB$2598=$A4)*('Draft List'!$Z$5:$Z$2598&lt;&gt;"S1")*('Draft List'!$Z$5:$Z$2598&gt;5)*('Draft List'!$AD$5:$AD$2598&gt;0)*('Draft List'!$AD$5:$AD$2598&lt;100000000))</f>
        <v>0</v>
      </c>
      <c r="D4">
        <f>SUMPRODUCT(('Draft List'!$AB$5:$AB$2598=$A4)*('Draft List'!$AD$5:$AD$2598&gt;0)*('Draft List'!$AD$5:$AD$2598&lt;100000000))</f>
        <v>0</v>
      </c>
      <c r="E4">
        <f t="shared" si="0"/>
        <v>0</v>
      </c>
      <c r="F4" s="11">
        <f>SUMIF('Draft List'!$AB$5:$AB$2598,$A4,'Draft List'!$AD$5:$AD$2598)</f>
        <v>0</v>
      </c>
      <c r="G4" s="40">
        <f t="shared" si="1"/>
        <v>0</v>
      </c>
      <c r="H4" s="39">
        <f>LEN('Salary Pivot'!$A4)</f>
        <v>13</v>
      </c>
      <c r="I4" s="43" t="e">
        <f>IF(RANK('Salary Pivot'!$F4,'Salary Pivot'!$F$3:$F$26)&lt;10," ","")&amp;RANK('Salary Pivot'!$F4,'Salary Pivot'!$F$3:$F$26)&amp;". "&amp;'Salary Pivot'!$A4&amp;REPT(" ",'Salary Pivot'!$H$27-'Salary Pivot'!$H4+3)&amp;'Salary Pivot'!$B4&amp;"   "&amp;IF('Salary Pivot'!$C4&lt;10," ","")&amp;'Salary Pivot'!$C4&amp;"   "&amp;IF('Salary Pivot'!$D4&lt;10," ","")&amp;'Salary Pivot'!$D4&amp;"   "&amp;IF('Salary Pivot'!$E4&lt;10," ","")&amp;'Salary Pivot'!$E4&amp;"   "&amp;IF('Salary Pivot'!$F4&lt;10000000," ","")&amp;IF('Salary Pivot'!$F4&lt;1000000,"  ","")&amp;IF('Salary Pivot'!$F4&lt;1000,"  ","")&amp;TEXT('Salary Pivot'!$F4,"$0,000")&amp;"   "&amp;IF('Salary Pivot'!$G4&lt;10000000," ","")&amp;IF('Salary Pivot'!$G4&lt;1000000,"  ","")&amp;IF('Salary Pivot'!$G4&lt;1000,"  ","")&amp;TEXT('Salary Pivot'!$G4,"$0,000")</f>
        <v>#VALUE!</v>
      </c>
    </row>
    <row r="5" spans="1:9">
      <c r="A5" t="s">
        <v>1626</v>
      </c>
      <c r="B5">
        <f>COUNTIF('Draft List'!$AB$5:$AB$2598,$A5)</f>
        <v>0</v>
      </c>
      <c r="C5">
        <f>SUMPRODUCT(('Draft List'!$AB$5:$AB$2598=$A5)*('Draft List'!$Z$5:$Z$2598&lt;6))+SUMPRODUCT(('Draft List'!$AB$5:$AB$2598=$A5)*('Draft List'!$Z$5:$Z$2598="S1"))+SUMPRODUCT(('Draft List'!$AB$5:$AB$2598=$A5)*('Draft List'!$Z$5:$Z$2598&lt;&gt;"S1")*('Draft List'!$Z$5:$Z$2598&gt;5)*('Draft List'!$AD$5:$AD$2598&gt;0)*('Draft List'!$AD$5:$AD$2598&lt;100000000))</f>
        <v>0</v>
      </c>
      <c r="D5">
        <f>SUMPRODUCT(('Draft List'!$AB$5:$AB$2598=$A5)*('Draft List'!$AD$5:$AD$2598&gt;0)*('Draft List'!$AD$5:$AD$2598&lt;100000000))</f>
        <v>0</v>
      </c>
      <c r="E5">
        <f t="shared" si="0"/>
        <v>0</v>
      </c>
      <c r="F5" s="11">
        <f>SUMIF('Draft List'!$AB$5:$AB$2598,$A5,'Draft List'!$AD$5:$AD$2598)</f>
        <v>0</v>
      </c>
      <c r="G5" s="40">
        <f t="shared" si="1"/>
        <v>0</v>
      </c>
      <c r="H5" s="39">
        <f>LEN('Salary Pivot'!$A5)</f>
        <v>22</v>
      </c>
      <c r="I5" s="43" t="e">
        <f>IF(RANK('Salary Pivot'!$F5,'Salary Pivot'!$F$3:$F$26)&lt;10," ","")&amp;RANK('Salary Pivot'!$F5,'Salary Pivot'!$F$3:$F$26)&amp;". "&amp;'Salary Pivot'!$A5&amp;REPT(" ",'Salary Pivot'!$H$27-'Salary Pivot'!$H5+3)&amp;'Salary Pivot'!$B5&amp;"   "&amp;IF('Salary Pivot'!$C5&lt;10," ","")&amp;'Salary Pivot'!$C5&amp;"   "&amp;IF('Salary Pivot'!$D5&lt;10," ","")&amp;'Salary Pivot'!$D5&amp;"   "&amp;IF('Salary Pivot'!$E5&lt;10," ","")&amp;'Salary Pivot'!$E5&amp;"   "&amp;IF('Salary Pivot'!$F5&lt;10000000," ","")&amp;IF('Salary Pivot'!$F5&lt;1000000,"  ","")&amp;IF('Salary Pivot'!$F5&lt;1000,"  ","")&amp;TEXT('Salary Pivot'!$F5,"$0,000")&amp;"   "&amp;IF('Salary Pivot'!$G5&lt;10000000," ","")&amp;IF('Salary Pivot'!$G5&lt;1000000,"  ","")&amp;IF('Salary Pivot'!$G5&lt;1000,"  ","")&amp;TEXT('Salary Pivot'!$G5,"$0,000")</f>
        <v>#VALUE!</v>
      </c>
    </row>
    <row r="6" spans="1:9">
      <c r="A6" t="s">
        <v>1622</v>
      </c>
      <c r="B6">
        <f>COUNTIF('Draft List'!$AB$5:$AB$2598,$A6)</f>
        <v>0</v>
      </c>
      <c r="C6">
        <f>SUMPRODUCT(('Draft List'!$AB$5:$AB$2598=$A6)*('Draft List'!$Z$5:$Z$2598&lt;6))+SUMPRODUCT(('Draft List'!$AB$5:$AB$2598=$A6)*('Draft List'!$Z$5:$Z$2598="S1"))+SUMPRODUCT(('Draft List'!$AB$5:$AB$2598=$A6)*('Draft List'!$Z$5:$Z$2598&lt;&gt;"S1")*('Draft List'!$Z$5:$Z$2598&gt;5)*('Draft List'!$AD$5:$AD$2598&gt;0)*('Draft List'!$AD$5:$AD$2598&lt;100000000))</f>
        <v>0</v>
      </c>
      <c r="D6">
        <f>SUMPRODUCT(('Draft List'!$AB$5:$AB$2598=$A6)*('Draft List'!$AD$5:$AD$2598&gt;0)*('Draft List'!$AD$5:$AD$2598&lt;100000000))</f>
        <v>0</v>
      </c>
      <c r="E6">
        <f t="shared" si="0"/>
        <v>0</v>
      </c>
      <c r="F6" s="11">
        <f>SUMIF('Draft List'!$AB$5:$AB$2598,$A6,'Draft List'!$AD$5:$AD$2598)</f>
        <v>0</v>
      </c>
      <c r="G6" s="40">
        <f t="shared" si="1"/>
        <v>0</v>
      </c>
      <c r="H6" s="39">
        <f>LEN('Salary Pivot'!$A6)</f>
        <v>22</v>
      </c>
      <c r="I6" s="43" t="e">
        <f>IF(RANK('Salary Pivot'!$F6,'Salary Pivot'!$F$3:$F$26)&lt;10," ","")&amp;RANK('Salary Pivot'!$F6,'Salary Pivot'!$F$3:$F$26)&amp;". "&amp;'Salary Pivot'!$A6&amp;REPT(" ",'Salary Pivot'!$H$27-'Salary Pivot'!$H6+3)&amp;'Salary Pivot'!$B6&amp;"   "&amp;IF('Salary Pivot'!$C6&lt;10," ","")&amp;'Salary Pivot'!$C6&amp;"   "&amp;IF('Salary Pivot'!$D6&lt;10," ","")&amp;'Salary Pivot'!$D6&amp;"   "&amp;IF('Salary Pivot'!$E6&lt;10," ","")&amp;'Salary Pivot'!$E6&amp;"   "&amp;IF('Salary Pivot'!$F6&lt;10000000," ","")&amp;IF('Salary Pivot'!$F6&lt;1000000,"  ","")&amp;IF('Salary Pivot'!$F6&lt;1000,"  ","")&amp;TEXT('Salary Pivot'!$F6,"$0,000")&amp;"   "&amp;IF('Salary Pivot'!$G6&lt;10000000," ","")&amp;IF('Salary Pivot'!$G6&lt;1000000,"  ","")&amp;IF('Salary Pivot'!$G6&lt;1000,"  ","")&amp;TEXT('Salary Pivot'!$G6,"$0,000")</f>
        <v>#VALUE!</v>
      </c>
    </row>
    <row r="7" spans="1:9">
      <c r="A7" t="s">
        <v>1625</v>
      </c>
      <c r="B7">
        <f>COUNTIF('Draft List'!$AB$5:$AB$2598,$A7)</f>
        <v>0</v>
      </c>
      <c r="C7">
        <f>SUMPRODUCT(('Draft List'!$AB$5:$AB$2598=$A7)*('Draft List'!$Z$5:$Z$2598&lt;6))+SUMPRODUCT(('Draft List'!$AB$5:$AB$2598=$A7)*('Draft List'!$Z$5:$Z$2598="S1"))+SUMPRODUCT(('Draft List'!$AB$5:$AB$2598=$A7)*('Draft List'!$Z$5:$Z$2598&lt;&gt;"S1")*('Draft List'!$Z$5:$Z$2598&gt;5)*('Draft List'!$AD$5:$AD$2598&gt;0)*('Draft List'!$AD$5:$AD$2598&lt;100000000))</f>
        <v>0</v>
      </c>
      <c r="D7">
        <f>SUMPRODUCT(('Draft List'!$AB$5:$AB$2598=$A7)*('Draft List'!$AD$5:$AD$2598&gt;0)*('Draft List'!$AD$5:$AD$2598&lt;100000000))</f>
        <v>0</v>
      </c>
      <c r="E7">
        <f t="shared" si="0"/>
        <v>0</v>
      </c>
      <c r="F7" s="11">
        <f>SUMIF('Draft List'!$AB$5:$AB$2598,$A7,'Draft List'!$AD$5:$AD$2598)</f>
        <v>0</v>
      </c>
      <c r="G7" s="40">
        <f t="shared" si="1"/>
        <v>0</v>
      </c>
      <c r="H7" s="39">
        <f>LEN('Salary Pivot'!$A7)</f>
        <v>25</v>
      </c>
      <c r="I7" s="43" t="e">
        <f>IF(RANK('Salary Pivot'!$F7,'Salary Pivot'!$F$3:$F$26)&lt;10," ","")&amp;RANK('Salary Pivot'!$F7,'Salary Pivot'!$F$3:$F$26)&amp;". "&amp;'Salary Pivot'!$A7&amp;REPT(" ",'Salary Pivot'!$H$27-'Salary Pivot'!$H7+3)&amp;'Salary Pivot'!$B7&amp;"   "&amp;IF('Salary Pivot'!$C7&lt;10," ","")&amp;'Salary Pivot'!$C7&amp;"   "&amp;IF('Salary Pivot'!$D7&lt;10," ","")&amp;'Salary Pivot'!$D7&amp;"   "&amp;IF('Salary Pivot'!$E7&lt;10," ","")&amp;'Salary Pivot'!$E7&amp;"   "&amp;IF('Salary Pivot'!$F7&lt;10000000," ","")&amp;IF('Salary Pivot'!$F7&lt;1000000,"  ","")&amp;IF('Salary Pivot'!$F7&lt;1000,"  ","")&amp;TEXT('Salary Pivot'!$F7,"$0,000")&amp;"   "&amp;IF('Salary Pivot'!$G7&lt;10000000," ","")&amp;IF('Salary Pivot'!$G7&lt;1000000,"  ","")&amp;IF('Salary Pivot'!$G7&lt;1000,"  ","")&amp;TEXT('Salary Pivot'!$G7,"$0,000")</f>
        <v>#VALUE!</v>
      </c>
    </row>
    <row r="8" spans="1:9">
      <c r="A8" t="s">
        <v>1621</v>
      </c>
      <c r="B8">
        <f>COUNTIF('Draft List'!$AB$5:$AB$2598,$A8)</f>
        <v>0</v>
      </c>
      <c r="C8">
        <f>SUMPRODUCT(('Draft List'!$AB$5:$AB$2598=$A8)*('Draft List'!$Z$5:$Z$2598&lt;6))+SUMPRODUCT(('Draft List'!$AB$5:$AB$2598=$A8)*('Draft List'!$Z$5:$Z$2598="S1"))+SUMPRODUCT(('Draft List'!$AB$5:$AB$2598=$A8)*('Draft List'!$Z$5:$Z$2598&lt;&gt;"S1")*('Draft List'!$Z$5:$Z$2598&gt;5)*('Draft List'!$AD$5:$AD$2598&gt;0)*('Draft List'!$AD$5:$AD$2598&lt;100000000))</f>
        <v>0</v>
      </c>
      <c r="D8">
        <f>SUMPRODUCT(('Draft List'!$AB$5:$AB$2598=$A8)*('Draft List'!$AD$5:$AD$2598&gt;0)*('Draft List'!$AD$5:$AD$2598&lt;100000000))</f>
        <v>0</v>
      </c>
      <c r="E8">
        <f t="shared" si="0"/>
        <v>0</v>
      </c>
      <c r="F8" s="11">
        <f>SUMIF('Draft List'!$AB$5:$AB$2598,$A8,'Draft List'!$AD$5:$AD$2598)</f>
        <v>0</v>
      </c>
      <c r="G8" s="40">
        <f t="shared" si="1"/>
        <v>0</v>
      </c>
      <c r="H8" s="39">
        <f>LEN('Salary Pivot'!$A8)</f>
        <v>20</v>
      </c>
      <c r="I8" s="43" t="e">
        <f>IF(RANK('Salary Pivot'!$F8,'Salary Pivot'!$F$3:$F$26)&lt;10," ","")&amp;RANK('Salary Pivot'!$F8,'Salary Pivot'!$F$3:$F$26)&amp;". "&amp;'Salary Pivot'!$A8&amp;REPT(" ",'Salary Pivot'!$H$27-'Salary Pivot'!$H8+3)&amp;'Salary Pivot'!$B8&amp;"   "&amp;IF('Salary Pivot'!$C8&lt;10," ","")&amp;'Salary Pivot'!$C8&amp;"   "&amp;IF('Salary Pivot'!$D8&lt;10," ","")&amp;'Salary Pivot'!$D8&amp;"   "&amp;IF('Salary Pivot'!$E8&lt;10," ","")&amp;'Salary Pivot'!$E8&amp;"   "&amp;IF('Salary Pivot'!$F8&lt;10000000," ","")&amp;IF('Salary Pivot'!$F8&lt;1000000,"  ","")&amp;IF('Salary Pivot'!$F8&lt;1000,"  ","")&amp;TEXT('Salary Pivot'!$F8,"$0,000")&amp;"   "&amp;IF('Salary Pivot'!$G8&lt;10000000," ","")&amp;IF('Salary Pivot'!$G8&lt;1000000,"  ","")&amp;IF('Salary Pivot'!$G8&lt;1000,"  ","")&amp;TEXT('Salary Pivot'!$G8,"$0,000")</f>
        <v>#VALUE!</v>
      </c>
    </row>
    <row r="9" spans="1:9">
      <c r="A9" t="s">
        <v>1623</v>
      </c>
      <c r="B9">
        <f>COUNTIF('Draft List'!$AB$5:$AB$2598,$A9)</f>
        <v>0</v>
      </c>
      <c r="C9">
        <f>SUMPRODUCT(('Draft List'!$AB$5:$AB$2598=$A9)*('Draft List'!$Z$5:$Z$2598&lt;6))+SUMPRODUCT(('Draft List'!$AB$5:$AB$2598=$A9)*('Draft List'!$Z$5:$Z$2598="S1"))+SUMPRODUCT(('Draft List'!$AB$5:$AB$2598=$A9)*('Draft List'!$Z$5:$Z$2598&lt;&gt;"S1")*('Draft List'!$Z$5:$Z$2598&gt;5)*('Draft List'!$AD$5:$AD$2598&gt;0)*('Draft List'!$AD$5:$AD$2598&lt;100000000))</f>
        <v>0</v>
      </c>
      <c r="D9">
        <f>SUMPRODUCT(('Draft List'!$AB$5:$AB$2598=$A9)*('Draft List'!$AD$5:$AD$2598&gt;0)*('Draft List'!$AD$5:$AD$2598&lt;100000000))</f>
        <v>0</v>
      </c>
      <c r="E9">
        <f t="shared" si="0"/>
        <v>0</v>
      </c>
      <c r="F9" s="11">
        <f>SUMIF('Draft List'!$AB$5:$AB$2598,$A9,'Draft List'!$AD$5:$AD$2598)</f>
        <v>0</v>
      </c>
      <c r="G9" s="40">
        <f t="shared" si="1"/>
        <v>0</v>
      </c>
      <c r="H9" s="39">
        <f>LEN('Salary Pivot'!$A9)</f>
        <v>17</v>
      </c>
      <c r="I9" s="43" t="e">
        <f>IF(RANK('Salary Pivot'!$F9,'Salary Pivot'!$F$3:$F$26)&lt;10," ","")&amp;RANK('Salary Pivot'!$F9,'Salary Pivot'!$F$3:$F$26)&amp;". "&amp;'Salary Pivot'!$A9&amp;REPT(" ",'Salary Pivot'!$H$27-'Salary Pivot'!$H9+3)&amp;'Salary Pivot'!$B9&amp;"   "&amp;IF('Salary Pivot'!$C9&lt;10," ","")&amp;'Salary Pivot'!$C9&amp;"   "&amp;IF('Salary Pivot'!$D9&lt;10," ","")&amp;'Salary Pivot'!$D9&amp;"   "&amp;IF('Salary Pivot'!$E9&lt;10," ","")&amp;'Salary Pivot'!$E9&amp;"   "&amp;IF('Salary Pivot'!$F9&lt;10000000," ","")&amp;IF('Salary Pivot'!$F9&lt;1000000,"  ","")&amp;IF('Salary Pivot'!$F9&lt;1000,"  ","")&amp;TEXT('Salary Pivot'!$F9,"$0,000")&amp;"   "&amp;IF('Salary Pivot'!$G9&lt;10000000," ","")&amp;IF('Salary Pivot'!$G9&lt;1000000,"  ","")&amp;IF('Salary Pivot'!$G9&lt;1000,"  ","")&amp;TEXT('Salary Pivot'!$G9,"$0,000")</f>
        <v>#VALUE!</v>
      </c>
    </row>
    <row r="10" spans="1:9">
      <c r="A10" t="s">
        <v>1618</v>
      </c>
      <c r="B10">
        <f>COUNTIF('Draft List'!$AB$5:$AB$2598,$A10)</f>
        <v>0</v>
      </c>
      <c r="C10">
        <f>SUMPRODUCT(('Draft List'!$AB$5:$AB$2598=$A10)*('Draft List'!$Z$5:$Z$2598&lt;6))+SUMPRODUCT(('Draft List'!$AB$5:$AB$2598=$A10)*('Draft List'!$Z$5:$Z$2598="S1"))+SUMPRODUCT(('Draft List'!$AB$5:$AB$2598=$A10)*('Draft List'!$Z$5:$Z$2598&lt;&gt;"S1")*('Draft List'!$Z$5:$Z$2598&gt;5)*('Draft List'!$AD$5:$AD$2598&gt;0)*('Draft List'!$AD$5:$AD$2598&lt;100000000))</f>
        <v>0</v>
      </c>
      <c r="D10">
        <f>SUMPRODUCT(('Draft List'!$AB$5:$AB$2598=$A10)*('Draft List'!$AD$5:$AD$2598&gt;0)*('Draft List'!$AD$5:$AD$2598&lt;100000000))</f>
        <v>0</v>
      </c>
      <c r="E10">
        <f t="shared" si="0"/>
        <v>0</v>
      </c>
      <c r="F10" s="11">
        <f>SUMIF('Draft List'!$AB$5:$AB$2598,$A10,'Draft List'!$AD$5:$AD$2598)</f>
        <v>0</v>
      </c>
      <c r="G10" s="40">
        <f t="shared" si="1"/>
        <v>0</v>
      </c>
      <c r="H10" s="39">
        <f>LEN('Salary Pivot'!$A10)</f>
        <v>15</v>
      </c>
      <c r="I10" s="43" t="e">
        <f>IF(RANK('Salary Pivot'!$F10,'Salary Pivot'!$F$3:$F$26)&lt;10," ","")&amp;RANK('Salary Pivot'!$F10,'Salary Pivot'!$F$3:$F$26)&amp;". "&amp;'Salary Pivot'!$A10&amp;REPT(" ",'Salary Pivot'!$H$27-'Salary Pivot'!$H10+3)&amp;'Salary Pivot'!$B10&amp;"   "&amp;IF('Salary Pivot'!$C10&lt;10," ","")&amp;'Salary Pivot'!$C10&amp;"   "&amp;IF('Salary Pivot'!$D10&lt;10," ","")&amp;'Salary Pivot'!$D10&amp;"   "&amp;IF('Salary Pivot'!$E10&lt;10," ","")&amp;'Salary Pivot'!$E10&amp;"   "&amp;IF('Salary Pivot'!$F10&lt;10000000," ","")&amp;IF('Salary Pivot'!$F10&lt;1000000,"  ","")&amp;IF('Salary Pivot'!$F10&lt;1000,"  ","")&amp;TEXT('Salary Pivot'!$F10,"$0,000")&amp;"   "&amp;IF('Salary Pivot'!$G10&lt;10000000," ","")&amp;IF('Salary Pivot'!$G10&lt;1000000,"  ","")&amp;IF('Salary Pivot'!$G10&lt;1000,"  ","")&amp;TEXT('Salary Pivot'!$G10,"$0,000")</f>
        <v>#VALUE!</v>
      </c>
    </row>
    <row r="11" spans="1:9">
      <c r="A11" t="s">
        <v>1620</v>
      </c>
      <c r="B11">
        <f>COUNTIF('Draft List'!$AB$5:$AB$2598,$A11)</f>
        <v>0</v>
      </c>
      <c r="C11">
        <f>SUMPRODUCT(('Draft List'!$AB$5:$AB$2598=$A11)*('Draft List'!$Z$5:$Z$2598&lt;6))+SUMPRODUCT(('Draft List'!$AB$5:$AB$2598=$A11)*('Draft List'!$Z$5:$Z$2598="S1"))+SUMPRODUCT(('Draft List'!$AB$5:$AB$2598=$A11)*('Draft List'!$Z$5:$Z$2598&lt;&gt;"S1")*('Draft List'!$Z$5:$Z$2598&gt;5)*('Draft List'!$AD$5:$AD$2598&gt;0)*('Draft List'!$AD$5:$AD$2598&lt;100000000))</f>
        <v>0</v>
      </c>
      <c r="D11">
        <f>SUMPRODUCT(('Draft List'!$AB$5:$AB$2598=$A11)*('Draft List'!$AD$5:$AD$2598&gt;0)*('Draft List'!$AD$5:$AD$2598&lt;100000000))</f>
        <v>0</v>
      </c>
      <c r="E11">
        <f t="shared" si="0"/>
        <v>0</v>
      </c>
      <c r="F11" s="11">
        <f>SUMIF('Draft List'!$AB$5:$AB$2598,$A11,'Draft List'!$AD$5:$AD$2598)</f>
        <v>0</v>
      </c>
      <c r="G11" s="40">
        <f t="shared" si="1"/>
        <v>0</v>
      </c>
      <c r="H11" s="39">
        <f>LEN('Salary Pivot'!$A11)</f>
        <v>19</v>
      </c>
      <c r="I11" s="43" t="e">
        <f>IF(RANK('Salary Pivot'!$F11,'Salary Pivot'!$F$3:$F$26)&lt;10," ","")&amp;RANK('Salary Pivot'!$F11,'Salary Pivot'!$F$3:$F$26)&amp;". "&amp;'Salary Pivot'!$A11&amp;REPT(" ",'Salary Pivot'!$H$27-'Salary Pivot'!$H11+3)&amp;'Salary Pivot'!$B11&amp;"   "&amp;IF('Salary Pivot'!$C11&lt;10," ","")&amp;'Salary Pivot'!$C11&amp;"   "&amp;IF('Salary Pivot'!$D11&lt;10," ","")&amp;'Salary Pivot'!$D11&amp;"   "&amp;IF('Salary Pivot'!$E11&lt;10," ","")&amp;'Salary Pivot'!$E11&amp;"   "&amp;IF('Salary Pivot'!$F11&lt;10000000," ","")&amp;IF('Salary Pivot'!$F11&lt;1000000,"  ","")&amp;IF('Salary Pivot'!$F11&lt;1000,"  ","")&amp;TEXT('Salary Pivot'!$F11,"$0,000")&amp;"   "&amp;IF('Salary Pivot'!$G11&lt;10000000," ","")&amp;IF('Salary Pivot'!$G11&lt;1000000,"  ","")&amp;IF('Salary Pivot'!$G11&lt;1000,"  ","")&amp;TEXT('Salary Pivot'!$G11,"$0,000")</f>
        <v>#VALUE!</v>
      </c>
    </row>
    <row r="12" spans="1:9">
      <c r="A12" t="s">
        <v>1632</v>
      </c>
      <c r="B12">
        <f>COUNTIF('Draft List'!$AB$5:$AB$2598,$A12)</f>
        <v>0</v>
      </c>
      <c r="C12">
        <f>SUMPRODUCT(('Draft List'!$AB$5:$AB$2598=$A12)*('Draft List'!$Z$5:$Z$2598&lt;6))+SUMPRODUCT(('Draft List'!$AB$5:$AB$2598=$A12)*('Draft List'!$Z$5:$Z$2598="S1"))+SUMPRODUCT(('Draft List'!$AB$5:$AB$2598=$A12)*('Draft List'!$Z$5:$Z$2598&lt;&gt;"S1")*('Draft List'!$Z$5:$Z$2598&gt;5)*('Draft List'!$AD$5:$AD$2598&gt;0)*('Draft List'!$AD$5:$AD$2598&lt;100000000))</f>
        <v>0</v>
      </c>
      <c r="D12">
        <f>SUMPRODUCT(('Draft List'!$AB$5:$AB$2598=$A12)*('Draft List'!$AD$5:$AD$2598&gt;0)*('Draft List'!$AD$5:$AD$2598&lt;100000000))</f>
        <v>0</v>
      </c>
      <c r="E12">
        <f t="shared" si="0"/>
        <v>0</v>
      </c>
      <c r="F12" s="11">
        <f>SUMIF('Draft List'!$AB$5:$AB$2598,$A12,'Draft List'!$AD$5:$AD$2598)</f>
        <v>0</v>
      </c>
      <c r="G12" s="40">
        <f t="shared" si="1"/>
        <v>0</v>
      </c>
      <c r="H12" s="39">
        <f>LEN('Salary Pivot'!$A12)</f>
        <v>15</v>
      </c>
      <c r="I12" s="43" t="e">
        <f>IF(RANK('Salary Pivot'!$F12,'Salary Pivot'!$F$3:$F$26)&lt;10," ","")&amp;RANK('Salary Pivot'!$F12,'Salary Pivot'!$F$3:$F$26)&amp;". "&amp;'Salary Pivot'!$A12&amp;REPT(" ",'Salary Pivot'!$H$27-'Salary Pivot'!$H12+3)&amp;'Salary Pivot'!$B12&amp;"   "&amp;IF('Salary Pivot'!$C12&lt;10," ","")&amp;'Salary Pivot'!$C12&amp;"   "&amp;IF('Salary Pivot'!$D12&lt;10," ","")&amp;'Salary Pivot'!$D12&amp;"   "&amp;IF('Salary Pivot'!$E12&lt;10," ","")&amp;'Salary Pivot'!$E12&amp;"   "&amp;IF('Salary Pivot'!$F12&lt;10000000," ","")&amp;IF('Salary Pivot'!$F12&lt;1000000,"  ","")&amp;IF('Salary Pivot'!$F12&lt;1000,"  ","")&amp;TEXT('Salary Pivot'!$F12,"$0,000")&amp;"   "&amp;IF('Salary Pivot'!$G12&lt;10000000," ","")&amp;IF('Salary Pivot'!$G12&lt;1000000,"  ","")&amp;IF('Salary Pivot'!$G12&lt;1000,"  ","")&amp;TEXT('Salary Pivot'!$G12,"$0,000")</f>
        <v>#VALUE!</v>
      </c>
    </row>
    <row r="13" spans="1:9">
      <c r="A13" t="s">
        <v>1637</v>
      </c>
      <c r="B13">
        <f>COUNTIF('Draft List'!$AB$5:$AB$2598,$A13)</f>
        <v>0</v>
      </c>
      <c r="C13">
        <f>SUMPRODUCT(('Draft List'!$AB$5:$AB$2598=$A13)*('Draft List'!$Z$5:$Z$2598&lt;6))+SUMPRODUCT(('Draft List'!$AB$5:$AB$2598=$A13)*('Draft List'!$Z$5:$Z$2598="S1"))+SUMPRODUCT(('Draft List'!$AB$5:$AB$2598=$A13)*('Draft List'!$Z$5:$Z$2598&lt;&gt;"S1")*('Draft List'!$Z$5:$Z$2598&gt;5)*('Draft List'!$AD$5:$AD$2598&gt;0)*('Draft List'!$AD$5:$AD$2598&lt;100000000))</f>
        <v>0</v>
      </c>
      <c r="D13">
        <f>SUMPRODUCT(('Draft List'!$AB$5:$AB$2598=$A13)*('Draft List'!$AD$5:$AD$2598&gt;0)*('Draft List'!$AD$5:$AD$2598&lt;100000000))</f>
        <v>0</v>
      </c>
      <c r="E13">
        <f t="shared" si="0"/>
        <v>0</v>
      </c>
      <c r="F13" s="11">
        <f>SUMIF('Draft List'!$AB$5:$AB$2598,$A13,'Draft List'!$AD$5:$AD$2598)</f>
        <v>0</v>
      </c>
      <c r="G13" s="40">
        <f t="shared" si="1"/>
        <v>0</v>
      </c>
      <c r="H13" s="39">
        <f>LEN('Salary Pivot'!$A13)</f>
        <v>17</v>
      </c>
      <c r="I13" s="43" t="e">
        <f>IF(RANK('Salary Pivot'!$F13,'Salary Pivot'!$F$3:$F$26)&lt;10," ","")&amp;RANK('Salary Pivot'!$F13,'Salary Pivot'!$F$3:$F$26)&amp;". "&amp;'Salary Pivot'!$A13&amp;REPT(" ",'Salary Pivot'!$H$27-'Salary Pivot'!$H13+3)&amp;'Salary Pivot'!$B13&amp;"   "&amp;IF('Salary Pivot'!$C13&lt;10," ","")&amp;'Salary Pivot'!$C13&amp;"   "&amp;IF('Salary Pivot'!$D13&lt;10," ","")&amp;'Salary Pivot'!$D13&amp;"   "&amp;IF('Salary Pivot'!$E13&lt;10," ","")&amp;'Salary Pivot'!$E13&amp;"   "&amp;IF('Salary Pivot'!$F13&lt;10000000," ","")&amp;IF('Salary Pivot'!$F13&lt;1000000,"  ","")&amp;IF('Salary Pivot'!$F13&lt;1000,"  ","")&amp;TEXT('Salary Pivot'!$F13,"$0,000")&amp;"   "&amp;IF('Salary Pivot'!$G13&lt;10000000," ","")&amp;IF('Salary Pivot'!$G13&lt;1000000,"  ","")&amp;IF('Salary Pivot'!$G13&lt;1000,"  ","")&amp;TEXT('Salary Pivot'!$G13,"$0,000")</f>
        <v>#VALUE!</v>
      </c>
    </row>
    <row r="14" spans="1:9">
      <c r="A14" t="s">
        <v>1627</v>
      </c>
      <c r="B14">
        <f>COUNTIF('Draft List'!$AB$5:$AB$2598,$A14)</f>
        <v>0</v>
      </c>
      <c r="C14">
        <f>SUMPRODUCT(('Draft List'!$AB$5:$AB$2598=$A14)*('Draft List'!$Z$5:$Z$2598&lt;6))+SUMPRODUCT(('Draft List'!$AB$5:$AB$2598=$A14)*('Draft List'!$Z$5:$Z$2598="S1"))+SUMPRODUCT(('Draft List'!$AB$5:$AB$2598=$A14)*('Draft List'!$Z$5:$Z$2598&lt;&gt;"S1")*('Draft List'!$Z$5:$Z$2598&gt;5)*('Draft List'!$AD$5:$AD$2598&gt;0)*('Draft List'!$AD$5:$AD$2598&lt;100000000))</f>
        <v>0</v>
      </c>
      <c r="D14">
        <f>SUMPRODUCT(('Draft List'!$AB$5:$AB$2598=$A14)*('Draft List'!$AD$5:$AD$2598&gt;0)*('Draft List'!$AD$5:$AD$2598&lt;100000000))</f>
        <v>0</v>
      </c>
      <c r="E14">
        <f t="shared" si="0"/>
        <v>0</v>
      </c>
      <c r="F14" s="11">
        <f>SUMIF('Draft List'!$AB$5:$AB$2598,$A14,'Draft List'!$AD$5:$AD$2598)</f>
        <v>0</v>
      </c>
      <c r="G14" s="40">
        <f t="shared" si="1"/>
        <v>0</v>
      </c>
      <c r="H14" s="39">
        <f>LEN('Salary Pivot'!$A14)</f>
        <v>18</v>
      </c>
      <c r="I14" s="43" t="e">
        <f>IF(RANK('Salary Pivot'!$F14,'Salary Pivot'!$F$3:$F$26)&lt;10," ","")&amp;RANK('Salary Pivot'!$F14,'Salary Pivot'!$F$3:$F$26)&amp;". "&amp;'Salary Pivot'!$A14&amp;REPT(" ",'Salary Pivot'!$H$27-'Salary Pivot'!$H14+3)&amp;'Salary Pivot'!$B14&amp;"   "&amp;IF('Salary Pivot'!$C14&lt;10," ","")&amp;'Salary Pivot'!$C14&amp;"   "&amp;IF('Salary Pivot'!$D14&lt;10," ","")&amp;'Salary Pivot'!$D14&amp;"   "&amp;IF('Salary Pivot'!$E14&lt;10," ","")&amp;'Salary Pivot'!$E14&amp;"   "&amp;IF('Salary Pivot'!$F14&lt;10000000," ","")&amp;IF('Salary Pivot'!$F14&lt;1000000,"  ","")&amp;IF('Salary Pivot'!$F14&lt;1000,"  ","")&amp;TEXT('Salary Pivot'!$F14,"$0,000")&amp;"   "&amp;IF('Salary Pivot'!$G14&lt;10000000," ","")&amp;IF('Salary Pivot'!$G14&lt;1000000,"  ","")&amp;IF('Salary Pivot'!$G14&lt;1000,"  ","")&amp;TEXT('Salary Pivot'!$G14,"$0,000")</f>
        <v>#VALUE!</v>
      </c>
    </row>
    <row r="15" spans="1:9">
      <c r="A15" t="s">
        <v>1624</v>
      </c>
      <c r="B15">
        <f>COUNTIF('Draft List'!$AB$5:$AB$2598,$A15)</f>
        <v>0</v>
      </c>
      <c r="C15">
        <f>SUMPRODUCT(('Draft List'!$AB$5:$AB$2598=$A15)*('Draft List'!$Z$5:$Z$2598&lt;6))+SUMPRODUCT(('Draft List'!$AB$5:$AB$2598=$A15)*('Draft List'!$Z$5:$Z$2598="S1"))+SUMPRODUCT(('Draft List'!$AB$5:$AB$2598=$A15)*('Draft List'!$Z$5:$Z$2598&lt;&gt;"S1")*('Draft List'!$Z$5:$Z$2598&gt;5)*('Draft List'!$AD$5:$AD$2598&gt;0)*('Draft List'!$AD$5:$AD$2598&lt;100000000))</f>
        <v>0</v>
      </c>
      <c r="D15">
        <f>SUMPRODUCT(('Draft List'!$AB$5:$AB$2598=$A15)*('Draft List'!$AD$5:$AD$2598&gt;0)*('Draft List'!$AD$5:$AD$2598&lt;100000000))</f>
        <v>0</v>
      </c>
      <c r="E15">
        <f t="shared" si="0"/>
        <v>0</v>
      </c>
      <c r="F15" s="11">
        <f>SUMIF('Draft List'!$AB$5:$AB$2598,$A15,'Draft List'!$AD$5:$AD$2598)</f>
        <v>0</v>
      </c>
      <c r="G15" s="40">
        <f t="shared" si="1"/>
        <v>0</v>
      </c>
      <c r="H15" s="39">
        <f>LEN('Salary Pivot'!$A15)</f>
        <v>20</v>
      </c>
      <c r="I15" s="43" t="e">
        <f>IF(RANK('Salary Pivot'!$F15,'Salary Pivot'!$F$3:$F$26)&lt;10," ","")&amp;RANK('Salary Pivot'!$F15,'Salary Pivot'!$F$3:$F$26)&amp;". "&amp;'Salary Pivot'!$A15&amp;REPT(" ",'Salary Pivot'!$H$27-'Salary Pivot'!$H15+3)&amp;'Salary Pivot'!$B15&amp;"   "&amp;IF('Salary Pivot'!$C15&lt;10," ","")&amp;'Salary Pivot'!$C15&amp;"   "&amp;IF('Salary Pivot'!$D15&lt;10," ","")&amp;'Salary Pivot'!$D15&amp;"   "&amp;IF('Salary Pivot'!$E15&lt;10," ","")&amp;'Salary Pivot'!$E15&amp;"   "&amp;IF('Salary Pivot'!$F15&lt;10000000," ","")&amp;IF('Salary Pivot'!$F15&lt;1000000,"  ","")&amp;IF('Salary Pivot'!$F15&lt;1000,"  ","")&amp;TEXT('Salary Pivot'!$F15,"$0,000")&amp;"   "&amp;IF('Salary Pivot'!$G15&lt;10000000," ","")&amp;IF('Salary Pivot'!$G15&lt;1000000,"  ","")&amp;IF('Salary Pivot'!$G15&lt;1000,"  ","")&amp;TEXT('Salary Pivot'!$G15,"$0,000")</f>
        <v>#VALUE!</v>
      </c>
    </row>
    <row r="16" spans="1:9">
      <c r="A16" t="s">
        <v>1631</v>
      </c>
      <c r="B16">
        <f>COUNTIF('Draft List'!$AB$5:$AB$2598,$A16)</f>
        <v>0</v>
      </c>
      <c r="C16">
        <f>SUMPRODUCT(('Draft List'!$AB$5:$AB$2598=$A16)*('Draft List'!$Z$5:$Z$2598&lt;6))+SUMPRODUCT(('Draft List'!$AB$5:$AB$2598=$A16)*('Draft List'!$Z$5:$Z$2598="S1"))+SUMPRODUCT(('Draft List'!$AB$5:$AB$2598=$A16)*('Draft List'!$Z$5:$Z$2598&lt;&gt;"S1")*('Draft List'!$Z$5:$Z$2598&gt;5)*('Draft List'!$AD$5:$AD$2598&gt;0)*('Draft List'!$AD$5:$AD$2598&lt;100000000))</f>
        <v>0</v>
      </c>
      <c r="D16">
        <f>SUMPRODUCT(('Draft List'!$AB$5:$AB$2598=$A16)*('Draft List'!$AD$5:$AD$2598&gt;0)*('Draft List'!$AD$5:$AD$2598&lt;100000000))</f>
        <v>0</v>
      </c>
      <c r="E16">
        <f t="shared" si="0"/>
        <v>0</v>
      </c>
      <c r="F16" s="11">
        <f>SUMIF('Draft List'!$AB$5:$AB$2598,$A16,'Draft List'!$AD$5:$AD$2598)</f>
        <v>0</v>
      </c>
      <c r="G16" s="40">
        <f t="shared" si="1"/>
        <v>0</v>
      </c>
      <c r="H16" s="39">
        <f>LEN('Salary Pivot'!$A16)</f>
        <v>22</v>
      </c>
      <c r="I16" s="43" t="e">
        <f>IF(RANK('Salary Pivot'!$F16,'Salary Pivot'!$F$3:$F$26)&lt;10," ","")&amp;RANK('Salary Pivot'!$F16,'Salary Pivot'!$F$3:$F$26)&amp;". "&amp;'Salary Pivot'!$A16&amp;REPT(" ",'Salary Pivot'!$H$27-'Salary Pivot'!$H16+3)&amp;'Salary Pivot'!$B16&amp;"   "&amp;IF('Salary Pivot'!$C16&lt;10," ","")&amp;'Salary Pivot'!$C16&amp;"   "&amp;IF('Salary Pivot'!$D16&lt;10," ","")&amp;'Salary Pivot'!$D16&amp;"   "&amp;IF('Salary Pivot'!$E16&lt;10," ","")&amp;'Salary Pivot'!$E16&amp;"   "&amp;IF('Salary Pivot'!$F16&lt;10000000," ","")&amp;IF('Salary Pivot'!$F16&lt;1000000,"  ","")&amp;IF('Salary Pivot'!$F16&lt;1000,"  ","")&amp;TEXT('Salary Pivot'!$F16,"$0,000")&amp;"   "&amp;IF('Salary Pivot'!$G16&lt;10000000," ","")&amp;IF('Salary Pivot'!$G16&lt;1000000,"  ","")&amp;IF('Salary Pivot'!$G16&lt;1000,"  ","")&amp;TEXT('Salary Pivot'!$G16,"$0,000")</f>
        <v>#VALUE!</v>
      </c>
    </row>
    <row r="17" spans="1:9">
      <c r="A17" t="s">
        <v>1628</v>
      </c>
      <c r="B17">
        <f>COUNTIF('Draft List'!$AB$5:$AB$2598,$A17)</f>
        <v>0</v>
      </c>
      <c r="C17">
        <f>SUMPRODUCT(('Draft List'!$AB$5:$AB$2598=$A17)*('Draft List'!$Z$5:$Z$2598&lt;6))+SUMPRODUCT(('Draft List'!$AB$5:$AB$2598=$A17)*('Draft List'!$Z$5:$Z$2598="S1"))+SUMPRODUCT(('Draft List'!$AB$5:$AB$2598=$A17)*('Draft List'!$Z$5:$Z$2598&lt;&gt;"S1")*('Draft List'!$Z$5:$Z$2598&gt;5)*('Draft List'!$AD$5:$AD$2598&gt;0)*('Draft List'!$AD$5:$AD$2598&lt;100000000))</f>
        <v>0</v>
      </c>
      <c r="D17">
        <f>SUMPRODUCT(('Draft List'!$AB$5:$AB$2598=$A17)*('Draft List'!$AD$5:$AD$2598&gt;0)*('Draft List'!$AD$5:$AD$2598&lt;100000000))</f>
        <v>0</v>
      </c>
      <c r="E17">
        <f t="shared" si="0"/>
        <v>0</v>
      </c>
      <c r="F17" s="11">
        <f>SUMIF('Draft List'!$AB$5:$AB$2598,$A17,'Draft List'!$AD$5:$AD$2598)</f>
        <v>0</v>
      </c>
      <c r="G17" s="40">
        <f t="shared" si="1"/>
        <v>0</v>
      </c>
      <c r="H17" s="39">
        <f>LEN('Salary Pivot'!$A17)</f>
        <v>20</v>
      </c>
      <c r="I17" s="43" t="e">
        <f>IF(RANK('Salary Pivot'!$F17,'Salary Pivot'!$F$3:$F$26)&lt;10," ","")&amp;RANK('Salary Pivot'!$F17,'Salary Pivot'!$F$3:$F$26)&amp;". "&amp;'Salary Pivot'!$A17&amp;REPT(" ",'Salary Pivot'!$H$27-'Salary Pivot'!$H17+3)&amp;'Salary Pivot'!$B17&amp;"   "&amp;IF('Salary Pivot'!$C17&lt;10," ","")&amp;'Salary Pivot'!$C17&amp;"   "&amp;IF('Salary Pivot'!$D17&lt;10," ","")&amp;'Salary Pivot'!$D17&amp;"   "&amp;IF('Salary Pivot'!$E17&lt;10," ","")&amp;'Salary Pivot'!$E17&amp;"   "&amp;IF('Salary Pivot'!$F17&lt;10000000," ","")&amp;IF('Salary Pivot'!$F17&lt;1000000,"  ","")&amp;IF('Salary Pivot'!$F17&lt;1000,"  ","")&amp;TEXT('Salary Pivot'!$F17,"$0,000")&amp;"   "&amp;IF('Salary Pivot'!$G17&lt;10000000," ","")&amp;IF('Salary Pivot'!$G17&lt;1000000,"  ","")&amp;IF('Salary Pivot'!$G17&lt;1000,"  ","")&amp;TEXT('Salary Pivot'!$G17,"$0,000")</f>
        <v>#VALUE!</v>
      </c>
    </row>
    <row r="18" spans="1:9">
      <c r="A18" t="s">
        <v>1629</v>
      </c>
      <c r="B18">
        <f>COUNTIF('Draft List'!$AB$5:$AB$2598,$A18)</f>
        <v>0</v>
      </c>
      <c r="C18">
        <f>SUMPRODUCT(('Draft List'!$AB$5:$AB$2598=$A18)*('Draft List'!$Z$5:$Z$2598&lt;6))+SUMPRODUCT(('Draft List'!$AB$5:$AB$2598=$A18)*('Draft List'!$Z$5:$Z$2598="S1"))+SUMPRODUCT(('Draft List'!$AB$5:$AB$2598=$A18)*('Draft List'!$Z$5:$Z$2598&lt;&gt;"S1")*('Draft List'!$Z$5:$Z$2598&gt;5)*('Draft List'!$AD$5:$AD$2598&gt;0)*('Draft List'!$AD$5:$AD$2598&lt;100000000))</f>
        <v>0</v>
      </c>
      <c r="D18">
        <f>SUMPRODUCT(('Draft List'!$AB$5:$AB$2598=$A18)*('Draft List'!$AD$5:$AD$2598&gt;0)*('Draft List'!$AD$5:$AD$2598&lt;100000000))</f>
        <v>0</v>
      </c>
      <c r="E18">
        <f t="shared" si="0"/>
        <v>0</v>
      </c>
      <c r="F18" s="11">
        <f>SUMIF('Draft List'!$AB$5:$AB$2598,$A18,'Draft List'!$AD$5:$AD$2598)</f>
        <v>0</v>
      </c>
      <c r="G18" s="40">
        <f t="shared" si="1"/>
        <v>0</v>
      </c>
      <c r="H18" s="39">
        <f>LEN('Salary Pivot'!$A18)</f>
        <v>21</v>
      </c>
      <c r="I18" s="43" t="e">
        <f>IF(RANK('Salary Pivot'!$F18,'Salary Pivot'!$F$3:$F$26)&lt;10," ","")&amp;RANK('Salary Pivot'!$F18,'Salary Pivot'!$F$3:$F$26)&amp;". "&amp;'Salary Pivot'!$A18&amp;REPT(" ",'Salary Pivot'!$H$27-'Salary Pivot'!$H18+3)&amp;'Salary Pivot'!$B18&amp;"   "&amp;IF('Salary Pivot'!$C18&lt;10," ","")&amp;'Salary Pivot'!$C18&amp;"   "&amp;IF('Salary Pivot'!$D18&lt;10," ","")&amp;'Salary Pivot'!$D18&amp;"   "&amp;IF('Salary Pivot'!$E18&lt;10," ","")&amp;'Salary Pivot'!$E18&amp;"   "&amp;IF('Salary Pivot'!$F18&lt;10000000," ","")&amp;IF('Salary Pivot'!$F18&lt;1000000,"  ","")&amp;IF('Salary Pivot'!$F18&lt;1000,"  ","")&amp;TEXT('Salary Pivot'!$F18,"$0,000")&amp;"   "&amp;IF('Salary Pivot'!$G18&lt;10000000," ","")&amp;IF('Salary Pivot'!$G18&lt;1000000,"  ","")&amp;IF('Salary Pivot'!$G18&lt;1000,"  ","")&amp;TEXT('Salary Pivot'!$G18,"$0,000")</f>
        <v>#VALUE!</v>
      </c>
    </row>
    <row r="19" spans="1:9">
      <c r="A19" t="s">
        <v>1619</v>
      </c>
      <c r="B19">
        <f>COUNTIF('Draft List'!$AB$5:$AB$2598,$A19)</f>
        <v>0</v>
      </c>
      <c r="C19">
        <f>SUMPRODUCT(('Draft List'!$AB$5:$AB$2598=$A19)*('Draft List'!$Z$5:$Z$2598&lt;6))+SUMPRODUCT(('Draft List'!$AB$5:$AB$2598=$A19)*('Draft List'!$Z$5:$Z$2598="S1"))+SUMPRODUCT(('Draft List'!$AB$5:$AB$2598=$A19)*('Draft List'!$Z$5:$Z$2598&lt;&gt;"S1")*('Draft List'!$Z$5:$Z$2598&gt;5)*('Draft List'!$AD$5:$AD$2598&gt;0)*('Draft List'!$AD$5:$AD$2598&lt;100000000))</f>
        <v>0</v>
      </c>
      <c r="D19">
        <f>SUMPRODUCT(('Draft List'!$AB$5:$AB$2598=$A19)*('Draft List'!$AD$5:$AD$2598&gt;0)*('Draft List'!$AD$5:$AD$2598&lt;100000000))</f>
        <v>0</v>
      </c>
      <c r="E19">
        <f t="shared" si="0"/>
        <v>0</v>
      </c>
      <c r="F19" s="11">
        <f>SUMIF('Draft List'!$AB$5:$AB$2598,$A19,'Draft List'!$AD$5:$AD$2598)</f>
        <v>0</v>
      </c>
      <c r="G19" s="40">
        <f t="shared" si="1"/>
        <v>0</v>
      </c>
      <c r="H19" s="39">
        <f>LEN('Salary Pivot'!$A19)</f>
        <v>12</v>
      </c>
      <c r="I19" s="43" t="e">
        <f>IF(RANK('Salary Pivot'!$F19,'Salary Pivot'!$F$3:$F$26)&lt;10," ","")&amp;RANK('Salary Pivot'!$F19,'Salary Pivot'!$F$3:$F$26)&amp;". "&amp;'Salary Pivot'!$A19&amp;REPT(" ",'Salary Pivot'!$H$27-'Salary Pivot'!$H19+3)&amp;'Salary Pivot'!$B19&amp;"   "&amp;IF('Salary Pivot'!$C19&lt;10," ","")&amp;'Salary Pivot'!$C19&amp;"   "&amp;IF('Salary Pivot'!$D19&lt;10," ","")&amp;'Salary Pivot'!$D19&amp;"   "&amp;IF('Salary Pivot'!$E19&lt;10," ","")&amp;'Salary Pivot'!$E19&amp;"   "&amp;IF('Salary Pivot'!$F19&lt;10000000," ","")&amp;IF('Salary Pivot'!$F19&lt;1000000,"  ","")&amp;IF('Salary Pivot'!$F19&lt;1000,"  ","")&amp;TEXT('Salary Pivot'!$F19,"$0,000")&amp;"   "&amp;IF('Salary Pivot'!$G19&lt;10000000," ","")&amp;IF('Salary Pivot'!$G19&lt;1000000,"  ","")&amp;IF('Salary Pivot'!$G19&lt;1000,"  ","")&amp;TEXT('Salary Pivot'!$G19,"$0,000")</f>
        <v>#VALUE!</v>
      </c>
    </row>
    <row r="20" spans="1:9">
      <c r="A20" t="s">
        <v>1636</v>
      </c>
      <c r="B20">
        <f>COUNTIF('Draft List'!$AB$5:$AB$2598,$A20)</f>
        <v>0</v>
      </c>
      <c r="C20">
        <f>SUMPRODUCT(('Draft List'!$AB$5:$AB$2598=$A20)*('Draft List'!$Z$5:$Z$2598&lt;6))+SUMPRODUCT(('Draft List'!$AB$5:$AB$2598=$A20)*('Draft List'!$Z$5:$Z$2598="S1"))+SUMPRODUCT(('Draft List'!$AB$5:$AB$2598=$A20)*('Draft List'!$Z$5:$Z$2598&lt;&gt;"S1")*('Draft List'!$Z$5:$Z$2598&gt;5)*('Draft List'!$AD$5:$AD$2598&gt;0)*('Draft List'!$AD$5:$AD$2598&lt;100000000))</f>
        <v>0</v>
      </c>
      <c r="D20">
        <f>SUMPRODUCT(('Draft List'!$AB$5:$AB$2598=$A20)*('Draft List'!$AD$5:$AD$2598&gt;0)*('Draft List'!$AD$5:$AD$2598&lt;100000000))</f>
        <v>0</v>
      </c>
      <c r="E20">
        <f t="shared" si="0"/>
        <v>0</v>
      </c>
      <c r="F20" s="11">
        <f>SUMIF('Draft List'!$AB$5:$AB$2598,$A20,'Draft List'!$AD$5:$AD$2598)</f>
        <v>0</v>
      </c>
      <c r="G20" s="40">
        <f t="shared" si="1"/>
        <v>0</v>
      </c>
      <c r="H20" s="39">
        <f>LEN('Salary Pivot'!$A20)</f>
        <v>20</v>
      </c>
      <c r="I20" s="43" t="e">
        <f>IF(RANK('Salary Pivot'!$F20,'Salary Pivot'!$F$3:$F$26)&lt;10," ","")&amp;RANK('Salary Pivot'!$F20,'Salary Pivot'!$F$3:$F$26)&amp;". "&amp;'Salary Pivot'!$A20&amp;REPT(" ",'Salary Pivot'!$H$27-'Salary Pivot'!$H20+3)&amp;'Salary Pivot'!$B20&amp;"   "&amp;IF('Salary Pivot'!$C20&lt;10," ","")&amp;'Salary Pivot'!$C20&amp;"   "&amp;IF('Salary Pivot'!$D20&lt;10," ","")&amp;'Salary Pivot'!$D20&amp;"   "&amp;IF('Salary Pivot'!$E20&lt;10," ","")&amp;'Salary Pivot'!$E20&amp;"   "&amp;IF('Salary Pivot'!$F20&lt;10000000," ","")&amp;IF('Salary Pivot'!$F20&lt;1000000,"  ","")&amp;IF('Salary Pivot'!$F20&lt;1000,"  ","")&amp;TEXT('Salary Pivot'!$F20,"$0,000")&amp;"   "&amp;IF('Salary Pivot'!$G20&lt;10000000," ","")&amp;IF('Salary Pivot'!$G20&lt;1000000,"  ","")&amp;IF('Salary Pivot'!$G20&lt;1000,"  ","")&amp;TEXT('Salary Pivot'!$G20,"$0,000")</f>
        <v>#VALUE!</v>
      </c>
    </row>
    <row r="21" spans="1:9">
      <c r="A21" t="s">
        <v>1641</v>
      </c>
      <c r="B21">
        <f>COUNTIF('Draft List'!$AB$5:$AB$2598,$A21)</f>
        <v>0</v>
      </c>
      <c r="C21">
        <f>SUMPRODUCT(('Draft List'!$AB$5:$AB$2598=$A21)*('Draft List'!$Z$5:$Z$2598&lt;6))+SUMPRODUCT(('Draft List'!$AB$5:$AB$2598=$A21)*('Draft List'!$Z$5:$Z$2598="S1"))+SUMPRODUCT(('Draft List'!$AB$5:$AB$2598=$A21)*('Draft List'!$Z$5:$Z$2598&lt;&gt;"S1")*('Draft List'!$Z$5:$Z$2598&gt;5)*('Draft List'!$AD$5:$AD$2598&gt;0)*('Draft List'!$AD$5:$AD$2598&lt;100000000))</f>
        <v>0</v>
      </c>
      <c r="D21">
        <f>SUMPRODUCT(('Draft List'!$AB$5:$AB$2598=$A21)*('Draft List'!$AD$5:$AD$2598&gt;0)*('Draft List'!$AD$5:$AD$2598&lt;100000000))</f>
        <v>0</v>
      </c>
      <c r="E21">
        <f t="shared" si="0"/>
        <v>0</v>
      </c>
      <c r="F21" s="11">
        <f>SUMIF('Draft List'!$AB$5:$AB$2598,$A21,'Draft List'!$AD$5:$AD$2598)</f>
        <v>0</v>
      </c>
      <c r="G21" s="40">
        <f t="shared" si="1"/>
        <v>0</v>
      </c>
      <c r="H21" s="39">
        <f>LEN('Salary Pivot'!$A21)</f>
        <v>15</v>
      </c>
      <c r="I21" s="43" t="e">
        <f>IF(RANK('Salary Pivot'!$F21,'Salary Pivot'!$F$3:$F$26)&lt;10," ","")&amp;RANK('Salary Pivot'!$F21,'Salary Pivot'!$F$3:$F$26)&amp;". "&amp;'Salary Pivot'!$A21&amp;REPT(" ",'Salary Pivot'!$H$27-'Salary Pivot'!$H21+3)&amp;'Salary Pivot'!$B21&amp;"   "&amp;IF('Salary Pivot'!$C21&lt;10," ","")&amp;'Salary Pivot'!$C21&amp;"   "&amp;IF('Salary Pivot'!$D21&lt;10," ","")&amp;'Salary Pivot'!$D21&amp;"   "&amp;IF('Salary Pivot'!$E21&lt;10," ","")&amp;'Salary Pivot'!$E21&amp;"   "&amp;IF('Salary Pivot'!$F21&lt;10000000," ","")&amp;IF('Salary Pivot'!$F21&lt;1000000,"  ","")&amp;IF('Salary Pivot'!$F21&lt;1000,"  ","")&amp;TEXT('Salary Pivot'!$F21,"$0,000")&amp;"   "&amp;IF('Salary Pivot'!$G21&lt;10000000," ","")&amp;IF('Salary Pivot'!$G21&lt;1000000,"  ","")&amp;IF('Salary Pivot'!$G21&lt;1000,"  ","")&amp;TEXT('Salary Pivot'!$G21,"$0,000")</f>
        <v>#VALUE!</v>
      </c>
    </row>
    <row r="22" spans="1:9">
      <c r="A22" t="s">
        <v>1640</v>
      </c>
      <c r="B22">
        <f>COUNTIF('Draft List'!$AB$5:$AB$2598,$A22)</f>
        <v>0</v>
      </c>
      <c r="C22">
        <f>SUMPRODUCT(('Draft List'!$AB$5:$AB$2598=$A22)*('Draft List'!$Z$5:$Z$2598&lt;6))+SUMPRODUCT(('Draft List'!$AB$5:$AB$2598=$A22)*('Draft List'!$Z$5:$Z$2598="S1"))+SUMPRODUCT(('Draft List'!$AB$5:$AB$2598=$A22)*('Draft List'!$Z$5:$Z$2598&lt;&gt;"S1")*('Draft List'!$Z$5:$Z$2598&gt;5)*('Draft List'!$AD$5:$AD$2598&gt;0)*('Draft List'!$AD$5:$AD$2598&lt;100000000))</f>
        <v>0</v>
      </c>
      <c r="D22">
        <f>SUMPRODUCT(('Draft List'!$AB$5:$AB$2598=$A22)*('Draft List'!$AD$5:$AD$2598&gt;0)*('Draft List'!$AD$5:$AD$2598&lt;100000000))</f>
        <v>0</v>
      </c>
      <c r="E22">
        <f t="shared" si="0"/>
        <v>0</v>
      </c>
      <c r="F22" s="11">
        <f>SUMIF('Draft List'!$AB$5:$AB$2598,$A22,'Draft List'!$AD$5:$AD$2598)</f>
        <v>0</v>
      </c>
      <c r="G22" s="40">
        <f t="shared" si="1"/>
        <v>0</v>
      </c>
      <c r="H22" s="39">
        <f>LEN('Salary Pivot'!$A22)</f>
        <v>18</v>
      </c>
      <c r="I22" s="43" t="e">
        <f>IF(RANK('Salary Pivot'!$F22,'Salary Pivot'!$F$3:$F$26)&lt;10," ","")&amp;RANK('Salary Pivot'!$F22,'Salary Pivot'!$F$3:$F$26)&amp;". "&amp;'Salary Pivot'!$A22&amp;REPT(" ",'Salary Pivot'!$H$27-'Salary Pivot'!$H22+3)&amp;'Salary Pivot'!$B22&amp;"   "&amp;IF('Salary Pivot'!$C22&lt;10," ","")&amp;'Salary Pivot'!$C22&amp;"   "&amp;IF('Salary Pivot'!$D22&lt;10," ","")&amp;'Salary Pivot'!$D22&amp;"   "&amp;IF('Salary Pivot'!$E22&lt;10," ","")&amp;'Salary Pivot'!$E22&amp;"   "&amp;IF('Salary Pivot'!$F22&lt;10000000," ","")&amp;IF('Salary Pivot'!$F22&lt;1000000,"  ","")&amp;IF('Salary Pivot'!$F22&lt;1000,"  ","")&amp;TEXT('Salary Pivot'!$F22,"$0,000")&amp;"   "&amp;IF('Salary Pivot'!$G22&lt;10000000," ","")&amp;IF('Salary Pivot'!$G22&lt;1000000,"  ","")&amp;IF('Salary Pivot'!$G22&lt;1000,"  ","")&amp;TEXT('Salary Pivot'!$G22,"$0,000")</f>
        <v>#VALUE!</v>
      </c>
    </row>
    <row r="23" spans="1:9">
      <c r="A23" t="s">
        <v>1633</v>
      </c>
      <c r="B23">
        <f>COUNTIF('Draft List'!$AB$5:$AB$2598,$A23)</f>
        <v>0</v>
      </c>
      <c r="C23">
        <f>SUMPRODUCT(('Draft List'!$AB$5:$AB$2598=$A23)*('Draft List'!$Z$5:$Z$2598&lt;6))+SUMPRODUCT(('Draft List'!$AB$5:$AB$2598=$A23)*('Draft List'!$Z$5:$Z$2598="S1"))+SUMPRODUCT(('Draft List'!$AB$5:$AB$2598=$A23)*('Draft List'!$Z$5:$Z$2598&lt;&gt;"S1")*('Draft List'!$Z$5:$Z$2598&gt;5)*('Draft List'!$AD$5:$AD$2598&gt;0)*('Draft List'!$AD$5:$AD$2598&lt;100000000))</f>
        <v>0</v>
      </c>
      <c r="D23">
        <f>SUMPRODUCT(('Draft List'!$AB$5:$AB$2598=$A23)*('Draft List'!$AD$5:$AD$2598&gt;0)*('Draft List'!$AD$5:$AD$2598&lt;100000000))</f>
        <v>0</v>
      </c>
      <c r="E23">
        <f t="shared" si="0"/>
        <v>0</v>
      </c>
      <c r="F23" s="11">
        <f>SUMIF('Draft List'!$AB$5:$AB$2598,$A23,'Draft List'!$AD$5:$AD$2598)</f>
        <v>0</v>
      </c>
      <c r="G23" s="40">
        <f t="shared" si="1"/>
        <v>0</v>
      </c>
      <c r="H23" s="39">
        <f>LEN('Salary Pivot'!$A23)</f>
        <v>17</v>
      </c>
      <c r="I23" s="43" t="e">
        <f>IF(RANK('Salary Pivot'!$F23,'Salary Pivot'!$F$3:$F$26)&lt;10," ","")&amp;RANK('Salary Pivot'!$F23,'Salary Pivot'!$F$3:$F$26)&amp;". "&amp;'Salary Pivot'!$A23&amp;REPT(" ",'Salary Pivot'!$H$27-'Salary Pivot'!$H23+3)&amp;'Salary Pivot'!$B23&amp;"   "&amp;IF('Salary Pivot'!$C23&lt;10," ","")&amp;'Salary Pivot'!$C23&amp;"   "&amp;IF('Salary Pivot'!$D23&lt;10," ","")&amp;'Salary Pivot'!$D23&amp;"   "&amp;IF('Salary Pivot'!$E23&lt;10," ","")&amp;'Salary Pivot'!$E23&amp;"   "&amp;IF('Salary Pivot'!$F23&lt;10000000," ","")&amp;IF('Salary Pivot'!$F23&lt;1000000,"  ","")&amp;IF('Salary Pivot'!$F23&lt;1000,"  ","")&amp;TEXT('Salary Pivot'!$F23,"$0,000")&amp;"   "&amp;IF('Salary Pivot'!$G23&lt;10000000," ","")&amp;IF('Salary Pivot'!$G23&lt;1000000,"  ","")&amp;IF('Salary Pivot'!$G23&lt;1000,"  ","")&amp;TEXT('Salary Pivot'!$G23,"$0,000")</f>
        <v>#VALUE!</v>
      </c>
    </row>
    <row r="24" spans="1:9">
      <c r="A24" t="s">
        <v>1639</v>
      </c>
      <c r="B24">
        <f>COUNTIF('Draft List'!$AB$5:$AB$2598,$A24)</f>
        <v>0</v>
      </c>
      <c r="C24">
        <f>SUMPRODUCT(('Draft List'!$AB$5:$AB$2598=$A24)*('Draft List'!$Z$5:$Z$2598&lt;6))+SUMPRODUCT(('Draft List'!$AB$5:$AB$2598=$A24)*('Draft List'!$Z$5:$Z$2598="S1"))+SUMPRODUCT(('Draft List'!$AB$5:$AB$2598=$A24)*('Draft List'!$Z$5:$Z$2598&lt;&gt;"S1")*('Draft List'!$Z$5:$Z$2598&gt;5)*('Draft List'!$AD$5:$AD$2598&gt;0)*('Draft List'!$AD$5:$AD$2598&lt;100000000))</f>
        <v>0</v>
      </c>
      <c r="D24">
        <f>SUMPRODUCT(('Draft List'!$AB$5:$AB$2598=$A24)*('Draft List'!$AD$5:$AD$2598&gt;0)*('Draft List'!$AD$5:$AD$2598&lt;100000000))</f>
        <v>0</v>
      </c>
      <c r="E24">
        <f t="shared" si="0"/>
        <v>0</v>
      </c>
      <c r="F24" s="11">
        <f>SUMIF('Draft List'!$AB$5:$AB$2598,$A24,'Draft List'!$AD$5:$AD$2598)</f>
        <v>0</v>
      </c>
      <c r="G24" s="40">
        <f t="shared" si="1"/>
        <v>0</v>
      </c>
      <c r="H24" s="39">
        <f>LEN('Salary Pivot'!$A24)</f>
        <v>24</v>
      </c>
      <c r="I24" s="43" t="e">
        <f>IF(RANK('Salary Pivot'!$F24,'Salary Pivot'!$F$3:$F$26)&lt;10," ","")&amp;RANK('Salary Pivot'!$F24,'Salary Pivot'!$F$3:$F$26)&amp;". "&amp;'Salary Pivot'!$A24&amp;REPT(" ",'Salary Pivot'!$H$27-'Salary Pivot'!$H24+3)&amp;'Salary Pivot'!$B24&amp;"   "&amp;IF('Salary Pivot'!$C24&lt;10," ","")&amp;'Salary Pivot'!$C24&amp;"   "&amp;IF('Salary Pivot'!$D24&lt;10," ","")&amp;'Salary Pivot'!$D24&amp;"   "&amp;IF('Salary Pivot'!$E24&lt;10," ","")&amp;'Salary Pivot'!$E24&amp;"   "&amp;IF('Salary Pivot'!$F24&lt;10000000," ","")&amp;IF('Salary Pivot'!$F24&lt;1000000,"  ","")&amp;IF('Salary Pivot'!$F24&lt;1000,"  ","")&amp;TEXT('Salary Pivot'!$F24,"$0,000")&amp;"   "&amp;IF('Salary Pivot'!$G24&lt;10000000," ","")&amp;IF('Salary Pivot'!$G24&lt;1000000,"  ","")&amp;IF('Salary Pivot'!$G24&lt;1000,"  ","")&amp;TEXT('Salary Pivot'!$G24,"$0,000")</f>
        <v>#VALUE!</v>
      </c>
    </row>
    <row r="25" spans="1:9">
      <c r="A25" t="s">
        <v>1630</v>
      </c>
      <c r="B25">
        <f>COUNTIF('Draft List'!$AB$5:$AB$2598,$A25)</f>
        <v>0</v>
      </c>
      <c r="C25">
        <f>SUMPRODUCT(('Draft List'!$AB$5:$AB$2598=$A25)*('Draft List'!$Z$5:$Z$2598&lt;6))+SUMPRODUCT(('Draft List'!$AB$5:$AB$2598=$A25)*('Draft List'!$Z$5:$Z$2598="S1"))+SUMPRODUCT(('Draft List'!$AB$5:$AB$2598=$A25)*('Draft List'!$Z$5:$Z$2598&lt;&gt;"S1")*('Draft List'!$Z$5:$Z$2598&gt;5)*('Draft List'!$AD$5:$AD$2598&gt;0)*('Draft List'!$AD$5:$AD$2598&lt;100000000))</f>
        <v>0</v>
      </c>
      <c r="D25">
        <f>SUMPRODUCT(('Draft List'!$AB$5:$AB$2598=$A25)*('Draft List'!$AD$5:$AD$2598&gt;0)*('Draft List'!$AD$5:$AD$2598&lt;100000000))</f>
        <v>0</v>
      </c>
      <c r="E25">
        <f t="shared" si="0"/>
        <v>0</v>
      </c>
      <c r="F25" s="11">
        <f>SUMIF('Draft List'!$AB$5:$AB$2598,$A25,'Draft List'!$AD$5:$AD$2598)</f>
        <v>0</v>
      </c>
      <c r="G25" s="40">
        <f t="shared" si="1"/>
        <v>0</v>
      </c>
      <c r="H25" s="39">
        <f>LEN('Salary Pivot'!$A25)</f>
        <v>14</v>
      </c>
      <c r="I25" s="43" t="e">
        <f>IF(RANK('Salary Pivot'!$F25,'Salary Pivot'!$F$3:$F$26)&lt;10," ","")&amp;RANK('Salary Pivot'!$F25,'Salary Pivot'!$F$3:$F$26)&amp;". "&amp;'Salary Pivot'!$A25&amp;REPT(" ",'Salary Pivot'!$H$27-'Salary Pivot'!$H25+3)&amp;'Salary Pivot'!$B25&amp;"   "&amp;IF('Salary Pivot'!$C25&lt;10," ","")&amp;'Salary Pivot'!$C25&amp;"   "&amp;IF('Salary Pivot'!$D25&lt;10," ","")&amp;'Salary Pivot'!$D25&amp;"   "&amp;IF('Salary Pivot'!$E25&lt;10," ","")&amp;'Salary Pivot'!$E25&amp;"   "&amp;IF('Salary Pivot'!$F25&lt;10000000," ","")&amp;IF('Salary Pivot'!$F25&lt;1000000,"  ","")&amp;IF('Salary Pivot'!$F25&lt;1000,"  ","")&amp;TEXT('Salary Pivot'!$F25,"$0,000")&amp;"   "&amp;IF('Salary Pivot'!$G25&lt;10000000," ","")&amp;IF('Salary Pivot'!$G25&lt;1000000,"  ","")&amp;IF('Salary Pivot'!$G25&lt;1000,"  ","")&amp;TEXT('Salary Pivot'!$G25,"$0,000")</f>
        <v>#VALUE!</v>
      </c>
    </row>
    <row r="26" spans="1:9">
      <c r="A26" t="s">
        <v>1646</v>
      </c>
      <c r="B26">
        <f>COUNTIF('Draft List'!$AB$5:$AB$2598,$A26)</f>
        <v>0</v>
      </c>
      <c r="C26">
        <f>SUMPRODUCT(('Draft List'!$AB$5:$AB$2598=$A26)*('Draft List'!$Z$5:$Z$2598&lt;6))+SUMPRODUCT(('Draft List'!$AB$5:$AB$2598=$A26)*('Draft List'!$Z$5:$Z$2598="S1"))+SUMPRODUCT(('Draft List'!$AB$5:$AB$2598=$A26)*('Draft List'!$Z$5:$Z$2598&lt;&gt;"S1")*('Draft List'!$Z$5:$Z$2598&gt;5)*('Draft List'!$AD$5:$AD$2598&gt;0)*('Draft List'!$AD$5:$AD$2598&lt;100000000))</f>
        <v>0</v>
      </c>
      <c r="D26">
        <f>SUMPRODUCT(('Draft List'!$AB$5:$AB$2598=$A26)*('Draft List'!$AD$5:$AD$2598&gt;0)*('Draft List'!$AD$5:$AD$2598&lt;100000000))</f>
        <v>0</v>
      </c>
      <c r="E26">
        <f t="shared" si="0"/>
        <v>0</v>
      </c>
      <c r="F26" s="11">
        <f>SUMIF('Draft List'!$AB$5:$AB$2598,$A26,'Draft List'!$AD$5:$AD$2598)</f>
        <v>0</v>
      </c>
      <c r="G26" s="40">
        <f t="shared" si="1"/>
        <v>0</v>
      </c>
      <c r="H26" s="39">
        <f>LEN('Salary Pivot'!$A26)</f>
        <v>30</v>
      </c>
      <c r="I26" s="43" t="e">
        <f>IF(RANK('Salary Pivot'!$F26,'Salary Pivot'!$F$3:$F$26)&lt;10," ","")&amp;RANK('Salary Pivot'!$F26,'Salary Pivot'!$F$3:$F$26)&amp;". "&amp;'Salary Pivot'!$A26&amp;REPT(" ",'Salary Pivot'!$H$27-'Salary Pivot'!$H26+3)&amp;'Salary Pivot'!$B26&amp;"   "&amp;IF('Salary Pivot'!$C26&lt;10," ","")&amp;'Salary Pivot'!$C26&amp;"   "&amp;IF('Salary Pivot'!$D26&lt;10," ","")&amp;'Salary Pivot'!$D26&amp;"   "&amp;IF('Salary Pivot'!$E26&lt;10," ","")&amp;'Salary Pivot'!$E26&amp;"   "&amp;IF('Salary Pivot'!$F26&lt;10000000," ","")&amp;IF('Salary Pivot'!$F26&lt;1000000,"  ","")&amp;IF('Salary Pivot'!$F26&lt;1000,"  ","")&amp;TEXT('Salary Pivot'!$F26,"$0,000")&amp;"   "&amp;IF('Salary Pivot'!$G26&lt;10000000," ","")&amp;IF('Salary Pivot'!$G26&lt;1000000,"  ","")&amp;IF('Salary Pivot'!$G26&lt;1000,"  ","")&amp;TEXT('Salary Pivot'!$G26,"$0,000")</f>
        <v>#VALUE!</v>
      </c>
    </row>
    <row r="27" spans="1:9" s="4" customFormat="1">
      <c r="A27" s="4" t="s">
        <v>1406</v>
      </c>
      <c r="B27" s="4">
        <f>SUBTOTAL(109,'Salary Pivot'!$B$3:$B$26)</f>
        <v>0</v>
      </c>
      <c r="C27" s="4">
        <f>SUBTOTAL(109,'Salary Pivot'!$C$3:$C$26)</f>
        <v>0</v>
      </c>
      <c r="D27" s="4">
        <f>SUBTOTAL(109,'Salary Pivot'!$D$3:$D$26)</f>
        <v>0</v>
      </c>
      <c r="E27" s="4">
        <f>SUBTOTAL(109,'Salary Pivot'!$E$3:$E$26)</f>
        <v>0</v>
      </c>
      <c r="F27" s="41">
        <f>SUBTOTAL(109,'Salary Pivot'!$F$3:$F$26)</f>
        <v>0</v>
      </c>
      <c r="G27" s="41" t="e">
        <f>'Salary Pivot'!$F$27/'Salary Pivot'!$D$27</f>
        <v>#VALUE!</v>
      </c>
      <c r="H27" s="4">
        <f>SUBTOTAL(104,'Salary Pivot'!$H$3:$H$26)</f>
        <v>30</v>
      </c>
    </row>
  </sheetData>
  <sheetCalcPr fullCalcOnLoad="1"/>
  <autoFilter ref="A2:I26"/>
  <sortState ref="A3:I26">
    <sortCondition ref="A3:A26"/>
    <sortCondition descending="1" ref="F3:F26"/>
  </sortState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Sheet3" enableFormatConditionsCalculation="0"/>
  <dimension ref="A2:D40"/>
  <sheetViews>
    <sheetView workbookViewId="0">
      <selection activeCell="B31" sqref="B31"/>
    </sheetView>
  </sheetViews>
  <sheetFormatPr baseColWidth="10" defaultColWidth="8.83203125" defaultRowHeight="14"/>
  <cols>
    <col min="1" max="1" width="14.6640625" bestFit="1" customWidth="1"/>
    <col min="2" max="2" width="8.5" bestFit="1" customWidth="1"/>
    <col min="3" max="3" width="5" bestFit="1" customWidth="1"/>
    <col min="4" max="4" width="5.33203125" bestFit="1" customWidth="1"/>
  </cols>
  <sheetData>
    <row r="2" spans="1:4">
      <c r="B2" t="s">
        <v>1985</v>
      </c>
      <c r="C2" t="s">
        <v>1986</v>
      </c>
      <c r="D2" t="s">
        <v>2119</v>
      </c>
    </row>
    <row r="3" spans="1:4">
      <c r="A3" t="s">
        <v>2036</v>
      </c>
      <c r="B3">
        <v>1.05</v>
      </c>
      <c r="C3">
        <v>1.05</v>
      </c>
      <c r="D3" t="s">
        <v>2120</v>
      </c>
    </row>
    <row r="4" spans="1:4">
      <c r="A4" t="s">
        <v>2030</v>
      </c>
      <c r="B4">
        <v>1.02</v>
      </c>
      <c r="C4">
        <v>1.02</v>
      </c>
      <c r="D4" t="s">
        <v>2121</v>
      </c>
    </row>
    <row r="5" spans="1:4">
      <c r="A5" t="s">
        <v>2025</v>
      </c>
      <c r="B5">
        <v>1</v>
      </c>
      <c r="C5">
        <v>1</v>
      </c>
      <c r="D5" t="s">
        <v>2122</v>
      </c>
    </row>
    <row r="6" spans="1:4">
      <c r="A6" t="s">
        <v>2026</v>
      </c>
      <c r="B6">
        <v>0.98</v>
      </c>
      <c r="C6">
        <v>0.98</v>
      </c>
      <c r="D6" t="s">
        <v>2038</v>
      </c>
    </row>
    <row r="7" spans="1:4">
      <c r="A7" t="s">
        <v>2040</v>
      </c>
      <c r="B7">
        <v>0.9</v>
      </c>
      <c r="C7">
        <v>0.9</v>
      </c>
      <c r="D7" t="s">
        <v>2123</v>
      </c>
    </row>
    <row r="10" spans="1:4">
      <c r="A10" t="s">
        <v>2124</v>
      </c>
      <c r="B10" t="s">
        <v>2125</v>
      </c>
    </row>
    <row r="11" spans="1:4">
      <c r="A11" t="s">
        <v>2126</v>
      </c>
      <c r="B11">
        <v>0.75</v>
      </c>
    </row>
    <row r="12" spans="1:4">
      <c r="A12" t="s">
        <v>2077</v>
      </c>
      <c r="B12">
        <v>0.85</v>
      </c>
    </row>
    <row r="13" spans="1:4">
      <c r="A13" t="s">
        <v>2127</v>
      </c>
      <c r="B13">
        <v>0.85</v>
      </c>
    </row>
    <row r="14" spans="1:4">
      <c r="A14" t="s">
        <v>2037</v>
      </c>
      <c r="B14">
        <v>0.85</v>
      </c>
    </row>
    <row r="15" spans="1:4">
      <c r="A15" t="s">
        <v>2063</v>
      </c>
      <c r="B15">
        <v>0.9</v>
      </c>
    </row>
    <row r="16" spans="1:4">
      <c r="A16" t="s">
        <v>2059</v>
      </c>
      <c r="B16">
        <v>0.9</v>
      </c>
    </row>
    <row r="17" spans="1:2">
      <c r="A17" t="s">
        <v>2056</v>
      </c>
      <c r="B17">
        <v>0.95</v>
      </c>
    </row>
    <row r="18" spans="1:2">
      <c r="A18" t="s">
        <v>2060</v>
      </c>
      <c r="B18">
        <v>0.95</v>
      </c>
    </row>
    <row r="19" spans="1:2">
      <c r="A19" t="s">
        <v>2054</v>
      </c>
      <c r="B19">
        <v>1</v>
      </c>
    </row>
    <row r="20" spans="1:2">
      <c r="A20" t="s">
        <v>2034</v>
      </c>
      <c r="B20">
        <v>1</v>
      </c>
    </row>
    <row r="21" spans="1:2">
      <c r="A21" t="s">
        <v>2042</v>
      </c>
      <c r="B21">
        <v>1</v>
      </c>
    </row>
    <row r="22" spans="1:2">
      <c r="A22" t="s">
        <v>2041</v>
      </c>
      <c r="B22">
        <v>1</v>
      </c>
    </row>
    <row r="23" spans="1:2">
      <c r="A23" t="s">
        <v>2044</v>
      </c>
      <c r="B23">
        <v>1</v>
      </c>
    </row>
    <row r="24" spans="1:2">
      <c r="A24" t="s">
        <v>2047</v>
      </c>
      <c r="B24">
        <v>1.0249999999999999</v>
      </c>
    </row>
    <row r="25" spans="1:2">
      <c r="A25" t="s">
        <v>2039</v>
      </c>
      <c r="B25">
        <v>1.0249999999999999</v>
      </c>
    </row>
    <row r="26" spans="1:2">
      <c r="A26" t="s">
        <v>2031</v>
      </c>
      <c r="B26">
        <v>1.05</v>
      </c>
    </row>
    <row r="27" spans="1:2">
      <c r="A27" t="s">
        <v>2048</v>
      </c>
      <c r="B27">
        <v>1.05</v>
      </c>
    </row>
    <row r="28" spans="1:2">
      <c r="A28" t="s">
        <v>2028</v>
      </c>
      <c r="B28">
        <v>1.05</v>
      </c>
    </row>
    <row r="29" spans="1:2">
      <c r="A29" t="s">
        <v>2046</v>
      </c>
      <c r="B29">
        <v>1.075</v>
      </c>
    </row>
    <row r="30" spans="1:2">
      <c r="A30" t="s">
        <v>2050</v>
      </c>
      <c r="B30">
        <v>1.075</v>
      </c>
    </row>
    <row r="31" spans="1:2">
      <c r="A31" t="s">
        <v>2128</v>
      </c>
      <c r="B31">
        <v>1.075</v>
      </c>
    </row>
    <row r="34" spans="1:2">
      <c r="A34" t="s">
        <v>2129</v>
      </c>
      <c r="B34" t="s">
        <v>2119</v>
      </c>
    </row>
    <row r="35" spans="1:2">
      <c r="A35" t="s">
        <v>2117</v>
      </c>
      <c r="B35" t="s">
        <v>2130</v>
      </c>
    </row>
    <row r="36" spans="1:2">
      <c r="A36" t="s">
        <v>2131</v>
      </c>
      <c r="B36" t="s">
        <v>2121</v>
      </c>
    </row>
    <row r="37" spans="1:2">
      <c r="A37" t="s">
        <v>2025</v>
      </c>
      <c r="B37" t="s">
        <v>2122</v>
      </c>
    </row>
    <row r="38" spans="1:2">
      <c r="A38" t="s">
        <v>2132</v>
      </c>
      <c r="B38" t="s">
        <v>2133</v>
      </c>
    </row>
    <row r="39" spans="1:2">
      <c r="A39" t="s">
        <v>2118</v>
      </c>
      <c r="B39" t="s">
        <v>2134</v>
      </c>
    </row>
    <row r="40" spans="1:2">
      <c r="A40">
        <v>0</v>
      </c>
      <c r="B40" t="s">
        <v>1610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C324"/>
  <sheetViews>
    <sheetView workbookViewId="0"/>
  </sheetViews>
  <sheetFormatPr baseColWidth="10" defaultColWidth="8.83203125" defaultRowHeight="14"/>
  <cols>
    <col min="3" max="3" width="4" bestFit="1" customWidth="1"/>
    <col min="4" max="4" width="12.6640625" bestFit="1" customWidth="1"/>
    <col min="5" max="5" width="12.1640625" bestFit="1" customWidth="1"/>
    <col min="6" max="6" width="12.33203125" bestFit="1" customWidth="1"/>
    <col min="7" max="7" width="12.1640625" bestFit="1" customWidth="1"/>
    <col min="8" max="8" width="4.5" bestFit="1" customWidth="1"/>
    <col min="9" max="9" width="8.33203125" bestFit="1" customWidth="1"/>
    <col min="10" max="10" width="5" bestFit="1" customWidth="1"/>
    <col min="11" max="11" width="4" bestFit="1" customWidth="1"/>
    <col min="12" max="12" width="5" bestFit="1" customWidth="1"/>
    <col min="13" max="14" width="4" bestFit="1" customWidth="1"/>
    <col min="15" max="16" width="3.1640625" bestFit="1" customWidth="1"/>
    <col min="17" max="17" width="3.5" bestFit="1" customWidth="1"/>
    <col min="18" max="20" width="4" bestFit="1" customWidth="1"/>
    <col min="21" max="22" width="3.1640625" bestFit="1" customWidth="1"/>
    <col min="23" max="26" width="6" bestFit="1" customWidth="1"/>
    <col min="27" max="27" width="6.5" bestFit="1" customWidth="1"/>
  </cols>
  <sheetData>
    <row r="1" spans="1:29">
      <c r="A1" t="s">
        <v>1809</v>
      </c>
      <c r="B1" t="s">
        <v>1710</v>
      </c>
      <c r="C1" t="s">
        <v>2113</v>
      </c>
      <c r="D1" t="s">
        <v>1709</v>
      </c>
      <c r="E1" t="s">
        <v>1708</v>
      </c>
      <c r="F1" t="s">
        <v>1707</v>
      </c>
      <c r="G1" t="s">
        <v>1706</v>
      </c>
      <c r="H1" t="s">
        <v>1980</v>
      </c>
      <c r="I1" t="s">
        <v>1705</v>
      </c>
      <c r="J1" t="s">
        <v>2111</v>
      </c>
      <c r="K1" t="s">
        <v>1704</v>
      </c>
      <c r="L1" t="s">
        <v>1703</v>
      </c>
      <c r="M1" t="s">
        <v>2022</v>
      </c>
      <c r="N1" t="s">
        <v>2121</v>
      </c>
      <c r="O1" t="s">
        <v>2069</v>
      </c>
      <c r="P1" t="s">
        <v>2061</v>
      </c>
      <c r="Q1" t="s">
        <v>1702</v>
      </c>
      <c r="R1" t="s">
        <v>1701</v>
      </c>
      <c r="S1" t="s">
        <v>1700</v>
      </c>
      <c r="T1" t="s">
        <v>1699</v>
      </c>
      <c r="U1" t="s">
        <v>1698</v>
      </c>
      <c r="V1" t="s">
        <v>1697</v>
      </c>
      <c r="W1" t="s">
        <v>1696</v>
      </c>
      <c r="X1" t="s">
        <v>1695</v>
      </c>
      <c r="Y1" t="s">
        <v>1694</v>
      </c>
      <c r="Z1" t="s">
        <v>1693</v>
      </c>
      <c r="AA1" t="s">
        <v>1692</v>
      </c>
    </row>
    <row r="2" spans="1:29">
      <c r="A2" t="str">
        <f>IF(I2="C","C-",I2)&amp;D2&amp;" "&amp;E2&amp;H2</f>
        <v>CFRubÈn JimÈnez18</v>
      </c>
      <c r="B2">
        <v>360</v>
      </c>
      <c r="C2">
        <v>14</v>
      </c>
      <c r="D2" t="s">
        <v>110</v>
      </c>
      <c r="E2" t="s">
        <v>111</v>
      </c>
      <c r="F2">
        <v>0</v>
      </c>
      <c r="G2" s="10">
        <v>36610</v>
      </c>
      <c r="H2">
        <v>18</v>
      </c>
      <c r="I2" t="s">
        <v>2079</v>
      </c>
      <c r="J2" t="s">
        <v>1824</v>
      </c>
      <c r="K2">
        <v>10</v>
      </c>
      <c r="L2">
        <v>8</v>
      </c>
      <c r="M2">
        <v>7</v>
      </c>
      <c r="N2">
        <v>6</v>
      </c>
      <c r="O2">
        <v>9</v>
      </c>
      <c r="P2">
        <v>6</v>
      </c>
      <c r="Q2">
        <v>9</v>
      </c>
      <c r="R2">
        <v>9</v>
      </c>
      <c r="S2" t="s">
        <v>2027</v>
      </c>
      <c r="T2" t="s">
        <v>2027</v>
      </c>
      <c r="U2" t="s">
        <v>2027</v>
      </c>
      <c r="V2" t="s">
        <v>2027</v>
      </c>
      <c r="W2" t="s">
        <v>2027</v>
      </c>
      <c r="X2">
        <v>1</v>
      </c>
      <c r="Y2">
        <v>7</v>
      </c>
      <c r="Z2">
        <v>2</v>
      </c>
      <c r="AA2">
        <v>1</v>
      </c>
      <c r="AB2">
        <v>5</v>
      </c>
      <c r="AC2">
        <v>8</v>
      </c>
    </row>
    <row r="3" spans="1:29">
      <c r="A3" t="str">
        <f t="shared" ref="A3:A66" si="0">IF(I3="C","C-",I3)&amp;D3&amp;" "&amp;E3&amp;H3</f>
        <v>SSMichael Manley21</v>
      </c>
      <c r="B3">
        <v>8953</v>
      </c>
      <c r="C3">
        <v>15</v>
      </c>
      <c r="D3" t="s">
        <v>1841</v>
      </c>
      <c r="E3" t="s">
        <v>457</v>
      </c>
      <c r="F3">
        <v>0</v>
      </c>
      <c r="G3" s="10">
        <v>35238</v>
      </c>
      <c r="H3">
        <v>21</v>
      </c>
      <c r="I3" t="s">
        <v>2074</v>
      </c>
      <c r="J3" t="s">
        <v>1824</v>
      </c>
      <c r="K3">
        <v>10</v>
      </c>
      <c r="L3">
        <v>7</v>
      </c>
      <c r="M3">
        <v>5</v>
      </c>
      <c r="N3">
        <v>7</v>
      </c>
      <c r="O3">
        <v>7</v>
      </c>
      <c r="P3">
        <v>6</v>
      </c>
      <c r="Q3">
        <v>8</v>
      </c>
      <c r="R3">
        <v>4</v>
      </c>
      <c r="S3" t="s">
        <v>2027</v>
      </c>
      <c r="T3" t="s">
        <v>2027</v>
      </c>
      <c r="U3">
        <v>1</v>
      </c>
      <c r="V3">
        <v>5</v>
      </c>
      <c r="W3">
        <v>7</v>
      </c>
      <c r="X3" t="s">
        <v>2027</v>
      </c>
      <c r="Y3" t="s">
        <v>2027</v>
      </c>
      <c r="Z3" t="s">
        <v>2027</v>
      </c>
      <c r="AA3">
        <v>1</v>
      </c>
      <c r="AB3">
        <v>8</v>
      </c>
      <c r="AC3">
        <v>2</v>
      </c>
    </row>
    <row r="4" spans="1:29">
      <c r="A4" t="str">
        <f t="shared" si="0"/>
        <v>1BJes˙s LÛpez21</v>
      </c>
      <c r="B4">
        <v>7987</v>
      </c>
      <c r="C4">
        <v>3</v>
      </c>
      <c r="D4" t="s">
        <v>112</v>
      </c>
      <c r="E4" t="s">
        <v>113</v>
      </c>
      <c r="F4">
        <v>0</v>
      </c>
      <c r="G4" s="10">
        <v>35460</v>
      </c>
      <c r="H4">
        <v>21</v>
      </c>
      <c r="I4" t="s">
        <v>2092</v>
      </c>
      <c r="J4" t="s">
        <v>1824</v>
      </c>
      <c r="K4">
        <v>9</v>
      </c>
      <c r="L4">
        <v>8</v>
      </c>
      <c r="M4">
        <v>9</v>
      </c>
      <c r="N4">
        <v>8</v>
      </c>
      <c r="O4">
        <v>6</v>
      </c>
      <c r="P4">
        <v>4</v>
      </c>
      <c r="Q4">
        <v>5</v>
      </c>
      <c r="R4">
        <v>7</v>
      </c>
      <c r="S4" t="s">
        <v>2027</v>
      </c>
      <c r="T4">
        <v>6</v>
      </c>
      <c r="U4" t="s">
        <v>2027</v>
      </c>
      <c r="V4">
        <v>8</v>
      </c>
      <c r="W4" t="s">
        <v>2027</v>
      </c>
      <c r="X4" t="s">
        <v>2027</v>
      </c>
      <c r="Y4" t="s">
        <v>2027</v>
      </c>
      <c r="Z4" t="s">
        <v>2027</v>
      </c>
      <c r="AA4">
        <v>3</v>
      </c>
      <c r="AB4">
        <v>9</v>
      </c>
      <c r="AC4">
        <v>3</v>
      </c>
    </row>
    <row r="5" spans="1:29">
      <c r="A5" t="str">
        <f t="shared" si="0"/>
        <v>3BManuel Rivera21</v>
      </c>
      <c r="B5">
        <v>7639</v>
      </c>
      <c r="C5">
        <v>15</v>
      </c>
      <c r="D5" t="s">
        <v>1862</v>
      </c>
      <c r="E5" t="s">
        <v>1765</v>
      </c>
      <c r="F5">
        <v>0</v>
      </c>
      <c r="G5" s="10">
        <v>35403</v>
      </c>
      <c r="H5">
        <v>21</v>
      </c>
      <c r="I5" t="s">
        <v>2061</v>
      </c>
      <c r="J5" t="s">
        <v>1824</v>
      </c>
      <c r="K5">
        <v>9</v>
      </c>
      <c r="L5">
        <v>5</v>
      </c>
      <c r="M5">
        <v>9</v>
      </c>
      <c r="N5">
        <v>7</v>
      </c>
      <c r="O5">
        <v>6</v>
      </c>
      <c r="P5">
        <v>3</v>
      </c>
      <c r="Q5">
        <v>7</v>
      </c>
      <c r="R5">
        <v>2</v>
      </c>
      <c r="S5" t="s">
        <v>2027</v>
      </c>
      <c r="T5">
        <v>9</v>
      </c>
      <c r="U5" t="s">
        <v>2027</v>
      </c>
      <c r="V5">
        <v>9</v>
      </c>
      <c r="W5" t="s">
        <v>2027</v>
      </c>
      <c r="X5" t="s">
        <v>2027</v>
      </c>
      <c r="Y5" t="s">
        <v>2027</v>
      </c>
      <c r="Z5" t="s">
        <v>2027</v>
      </c>
      <c r="AA5">
        <v>2</v>
      </c>
      <c r="AB5">
        <v>9</v>
      </c>
      <c r="AC5">
        <v>1</v>
      </c>
    </row>
    <row r="6" spans="1:29">
      <c r="A6" t="str">
        <f t="shared" si="0"/>
        <v>RFMichael Gray22</v>
      </c>
      <c r="B6">
        <v>5718</v>
      </c>
      <c r="C6">
        <v>1</v>
      </c>
      <c r="D6" t="s">
        <v>1841</v>
      </c>
      <c r="E6" t="s">
        <v>1688</v>
      </c>
      <c r="F6">
        <v>0</v>
      </c>
      <c r="G6" s="10">
        <v>34864</v>
      </c>
      <c r="H6">
        <v>22</v>
      </c>
      <c r="I6" t="s">
        <v>2057</v>
      </c>
      <c r="J6" t="s">
        <v>1824</v>
      </c>
      <c r="K6">
        <v>9</v>
      </c>
      <c r="L6">
        <v>10</v>
      </c>
      <c r="M6">
        <v>9</v>
      </c>
      <c r="N6">
        <v>6</v>
      </c>
      <c r="O6">
        <v>7</v>
      </c>
      <c r="P6">
        <v>9</v>
      </c>
      <c r="Q6">
        <v>10</v>
      </c>
      <c r="R6">
        <v>10</v>
      </c>
      <c r="S6" t="s">
        <v>2027</v>
      </c>
      <c r="T6" t="s">
        <v>2027</v>
      </c>
      <c r="U6" t="s">
        <v>2027</v>
      </c>
      <c r="V6" t="s">
        <v>2027</v>
      </c>
      <c r="W6" t="s">
        <v>2027</v>
      </c>
      <c r="X6">
        <v>4</v>
      </c>
      <c r="Y6">
        <v>5</v>
      </c>
      <c r="Z6">
        <v>6</v>
      </c>
      <c r="AA6">
        <v>2</v>
      </c>
      <c r="AB6">
        <v>5</v>
      </c>
      <c r="AC6">
        <v>4</v>
      </c>
    </row>
    <row r="7" spans="1:29">
      <c r="A7" t="str">
        <f t="shared" si="0"/>
        <v>3BMarcos S·nchez18</v>
      </c>
      <c r="B7">
        <v>1816</v>
      </c>
      <c r="C7">
        <v>17</v>
      </c>
      <c r="D7" t="s">
        <v>497</v>
      </c>
      <c r="E7" t="s">
        <v>114</v>
      </c>
      <c r="F7">
        <v>0</v>
      </c>
      <c r="G7" s="10">
        <v>36505</v>
      </c>
      <c r="H7">
        <v>18</v>
      </c>
      <c r="I7" t="s">
        <v>2061</v>
      </c>
      <c r="J7" t="s">
        <v>2003</v>
      </c>
      <c r="K7">
        <v>9</v>
      </c>
      <c r="L7">
        <v>10</v>
      </c>
      <c r="M7">
        <v>9</v>
      </c>
      <c r="N7">
        <v>6</v>
      </c>
      <c r="O7">
        <v>8</v>
      </c>
      <c r="P7">
        <v>3</v>
      </c>
      <c r="Q7">
        <v>8</v>
      </c>
      <c r="R7">
        <v>10</v>
      </c>
      <c r="S7" t="s">
        <v>2027</v>
      </c>
      <c r="T7" t="s">
        <v>2027</v>
      </c>
      <c r="U7" t="s">
        <v>2027</v>
      </c>
      <c r="V7">
        <v>1</v>
      </c>
      <c r="W7" t="s">
        <v>2027</v>
      </c>
      <c r="X7" t="s">
        <v>2027</v>
      </c>
      <c r="Y7" t="s">
        <v>2027</v>
      </c>
      <c r="Z7" t="s">
        <v>2027</v>
      </c>
      <c r="AA7">
        <v>1</v>
      </c>
      <c r="AB7">
        <v>9</v>
      </c>
      <c r="AC7">
        <v>7</v>
      </c>
    </row>
    <row r="8" spans="1:29">
      <c r="A8" t="str">
        <f t="shared" si="0"/>
        <v>RFBruce McGuire21</v>
      </c>
      <c r="B8">
        <v>8725</v>
      </c>
      <c r="C8">
        <v>5</v>
      </c>
      <c r="D8" t="s">
        <v>1673</v>
      </c>
      <c r="E8" t="s">
        <v>467</v>
      </c>
      <c r="F8">
        <v>0</v>
      </c>
      <c r="G8" s="10">
        <v>35575</v>
      </c>
      <c r="H8">
        <v>21</v>
      </c>
      <c r="I8" t="s">
        <v>2057</v>
      </c>
      <c r="J8" t="s">
        <v>1824</v>
      </c>
      <c r="K8">
        <v>9</v>
      </c>
      <c r="L8">
        <v>6</v>
      </c>
      <c r="M8">
        <v>9</v>
      </c>
      <c r="N8">
        <v>5</v>
      </c>
      <c r="O8">
        <v>7</v>
      </c>
      <c r="P8">
        <v>6</v>
      </c>
      <c r="Q8">
        <v>9</v>
      </c>
      <c r="R8">
        <v>6</v>
      </c>
      <c r="S8" t="s">
        <v>2027</v>
      </c>
      <c r="T8">
        <v>6</v>
      </c>
      <c r="U8" t="s">
        <v>2027</v>
      </c>
      <c r="V8" t="s">
        <v>2027</v>
      </c>
      <c r="W8" t="s">
        <v>2027</v>
      </c>
      <c r="X8">
        <v>5</v>
      </c>
      <c r="Y8">
        <v>5</v>
      </c>
      <c r="Z8">
        <v>5</v>
      </c>
      <c r="AA8">
        <v>1</v>
      </c>
      <c r="AB8">
        <v>7</v>
      </c>
      <c r="AC8">
        <v>9</v>
      </c>
    </row>
    <row r="9" spans="1:29">
      <c r="A9" t="str">
        <f t="shared" si="0"/>
        <v>1BSherwood Alldritt21</v>
      </c>
      <c r="B9">
        <v>2633</v>
      </c>
      <c r="C9">
        <v>23</v>
      </c>
      <c r="D9" t="s">
        <v>479</v>
      </c>
      <c r="E9" t="s">
        <v>480</v>
      </c>
      <c r="F9">
        <v>0</v>
      </c>
      <c r="G9" s="10">
        <v>35319</v>
      </c>
      <c r="H9">
        <v>21</v>
      </c>
      <c r="I9" t="s">
        <v>2092</v>
      </c>
      <c r="J9" t="s">
        <v>1824</v>
      </c>
      <c r="K9">
        <v>9</v>
      </c>
      <c r="L9">
        <v>5</v>
      </c>
      <c r="M9">
        <v>8</v>
      </c>
      <c r="N9">
        <v>6</v>
      </c>
      <c r="O9">
        <v>7</v>
      </c>
      <c r="P9">
        <v>3</v>
      </c>
      <c r="Q9">
        <v>6</v>
      </c>
      <c r="R9">
        <v>2</v>
      </c>
      <c r="S9" t="s">
        <v>2027</v>
      </c>
      <c r="T9">
        <v>8</v>
      </c>
      <c r="U9" t="s">
        <v>2027</v>
      </c>
      <c r="V9" t="s">
        <v>2027</v>
      </c>
      <c r="W9" t="s">
        <v>2027</v>
      </c>
      <c r="X9" t="s">
        <v>2027</v>
      </c>
      <c r="Y9" t="s">
        <v>2027</v>
      </c>
      <c r="Z9" t="s">
        <v>2027</v>
      </c>
      <c r="AA9">
        <v>1</v>
      </c>
      <c r="AB9">
        <v>6</v>
      </c>
      <c r="AC9">
        <v>4</v>
      </c>
    </row>
    <row r="10" spans="1:29">
      <c r="A10" t="str">
        <f t="shared" si="0"/>
        <v>2BHoward Tucker18</v>
      </c>
      <c r="B10">
        <v>13750</v>
      </c>
      <c r="C10">
        <v>29</v>
      </c>
      <c r="D10" t="s">
        <v>1951</v>
      </c>
      <c r="E10" t="s">
        <v>512</v>
      </c>
      <c r="F10">
        <v>0</v>
      </c>
      <c r="G10" s="10">
        <v>36660</v>
      </c>
      <c r="H10">
        <v>18</v>
      </c>
      <c r="I10" t="s">
        <v>2069</v>
      </c>
      <c r="J10" t="s">
        <v>1824</v>
      </c>
      <c r="K10">
        <v>9</v>
      </c>
      <c r="L10">
        <v>7</v>
      </c>
      <c r="M10">
        <v>8</v>
      </c>
      <c r="N10">
        <v>5</v>
      </c>
      <c r="O10">
        <v>6</v>
      </c>
      <c r="P10">
        <v>5</v>
      </c>
      <c r="Q10">
        <v>8</v>
      </c>
      <c r="R10">
        <v>2</v>
      </c>
      <c r="S10" t="s">
        <v>2027</v>
      </c>
      <c r="T10">
        <v>7</v>
      </c>
      <c r="U10">
        <v>1</v>
      </c>
      <c r="V10">
        <v>1</v>
      </c>
      <c r="W10">
        <v>3</v>
      </c>
      <c r="X10">
        <v>3</v>
      </c>
      <c r="Y10" t="s">
        <v>2027</v>
      </c>
      <c r="Z10" t="s">
        <v>2027</v>
      </c>
      <c r="AA10">
        <v>3</v>
      </c>
      <c r="AB10">
        <v>10</v>
      </c>
      <c r="AC10">
        <v>10</v>
      </c>
    </row>
    <row r="11" spans="1:29">
      <c r="A11" t="str">
        <f t="shared" si="0"/>
        <v>1BDominic Maye21</v>
      </c>
      <c r="B11">
        <v>3923</v>
      </c>
      <c r="C11">
        <v>22</v>
      </c>
      <c r="D11" t="s">
        <v>455</v>
      </c>
      <c r="E11" t="s">
        <v>456</v>
      </c>
      <c r="F11">
        <v>0</v>
      </c>
      <c r="G11" s="10">
        <v>35259</v>
      </c>
      <c r="H11">
        <v>21</v>
      </c>
      <c r="I11" t="s">
        <v>2092</v>
      </c>
      <c r="J11" t="s">
        <v>1824</v>
      </c>
      <c r="K11">
        <v>9</v>
      </c>
      <c r="L11">
        <v>5</v>
      </c>
      <c r="M11">
        <v>8</v>
      </c>
      <c r="N11">
        <v>4</v>
      </c>
      <c r="O11">
        <v>5</v>
      </c>
      <c r="P11">
        <v>4</v>
      </c>
      <c r="Q11">
        <v>4</v>
      </c>
      <c r="R11">
        <v>2</v>
      </c>
      <c r="S11" t="s">
        <v>2027</v>
      </c>
      <c r="T11">
        <v>8</v>
      </c>
      <c r="U11" t="s">
        <v>2027</v>
      </c>
      <c r="V11" t="s">
        <v>2027</v>
      </c>
      <c r="W11" t="s">
        <v>2027</v>
      </c>
      <c r="X11" t="s">
        <v>2027</v>
      </c>
      <c r="Y11" t="s">
        <v>2027</v>
      </c>
      <c r="Z11" t="s">
        <v>2027</v>
      </c>
      <c r="AA11">
        <v>3</v>
      </c>
      <c r="AB11">
        <v>4</v>
      </c>
      <c r="AC11">
        <v>2</v>
      </c>
    </row>
    <row r="12" spans="1:29">
      <c r="A12" t="str">
        <f t="shared" si="0"/>
        <v>2BJack Washington21</v>
      </c>
      <c r="B12">
        <v>9529</v>
      </c>
      <c r="C12">
        <v>18</v>
      </c>
      <c r="D12" t="s">
        <v>1856</v>
      </c>
      <c r="E12" t="s">
        <v>1736</v>
      </c>
      <c r="F12">
        <v>0</v>
      </c>
      <c r="G12" s="10">
        <v>35386</v>
      </c>
      <c r="H12">
        <v>21</v>
      </c>
      <c r="I12" t="s">
        <v>2069</v>
      </c>
      <c r="J12" t="s">
        <v>1824</v>
      </c>
      <c r="K12">
        <v>9</v>
      </c>
      <c r="L12">
        <v>6</v>
      </c>
      <c r="M12">
        <v>7</v>
      </c>
      <c r="N12">
        <v>6</v>
      </c>
      <c r="O12">
        <v>7</v>
      </c>
      <c r="P12">
        <v>7</v>
      </c>
      <c r="Q12">
        <v>10</v>
      </c>
      <c r="R12">
        <v>10</v>
      </c>
      <c r="S12" t="s">
        <v>2027</v>
      </c>
      <c r="T12">
        <v>8</v>
      </c>
      <c r="U12">
        <v>7</v>
      </c>
      <c r="V12">
        <v>5</v>
      </c>
      <c r="W12">
        <v>5</v>
      </c>
      <c r="X12" t="s">
        <v>2027</v>
      </c>
      <c r="Y12">
        <v>6</v>
      </c>
      <c r="Z12">
        <v>5</v>
      </c>
      <c r="AA12">
        <v>1</v>
      </c>
      <c r="AB12">
        <v>9</v>
      </c>
      <c r="AC12">
        <v>7</v>
      </c>
    </row>
    <row r="13" spans="1:29">
      <c r="A13" t="str">
        <f t="shared" si="0"/>
        <v>LFFlint Butler21</v>
      </c>
      <c r="B13">
        <v>12949</v>
      </c>
      <c r="C13">
        <v>2</v>
      </c>
      <c r="D13" t="s">
        <v>1753</v>
      </c>
      <c r="E13" t="s">
        <v>460</v>
      </c>
      <c r="F13">
        <v>0</v>
      </c>
      <c r="G13" s="10">
        <v>35497</v>
      </c>
      <c r="H13">
        <v>21</v>
      </c>
      <c r="I13" t="s">
        <v>2035</v>
      </c>
      <c r="J13" t="s">
        <v>1824</v>
      </c>
      <c r="K13">
        <v>9</v>
      </c>
      <c r="L13">
        <v>10</v>
      </c>
      <c r="M13">
        <v>7</v>
      </c>
      <c r="N13">
        <v>5</v>
      </c>
      <c r="O13">
        <v>10</v>
      </c>
      <c r="P13">
        <v>8</v>
      </c>
      <c r="Q13">
        <v>10</v>
      </c>
      <c r="R13">
        <v>10</v>
      </c>
      <c r="S13" t="s">
        <v>2027</v>
      </c>
      <c r="T13">
        <v>4</v>
      </c>
      <c r="U13" t="s">
        <v>2027</v>
      </c>
      <c r="V13" t="s">
        <v>2027</v>
      </c>
      <c r="W13" t="s">
        <v>2027</v>
      </c>
      <c r="X13">
        <v>8</v>
      </c>
      <c r="Y13">
        <v>5</v>
      </c>
      <c r="Z13">
        <v>5</v>
      </c>
      <c r="AA13">
        <v>2</v>
      </c>
      <c r="AB13">
        <v>4</v>
      </c>
      <c r="AC13">
        <v>8</v>
      </c>
    </row>
    <row r="14" spans="1:29">
      <c r="A14" t="str">
        <f t="shared" si="0"/>
        <v>2BLuis MartÌnez21</v>
      </c>
      <c r="B14">
        <v>3239</v>
      </c>
      <c r="C14">
        <v>42</v>
      </c>
      <c r="D14" t="s">
        <v>1826</v>
      </c>
      <c r="E14" t="s">
        <v>115</v>
      </c>
      <c r="F14">
        <v>0</v>
      </c>
      <c r="G14" s="10">
        <v>35308</v>
      </c>
      <c r="H14">
        <v>21</v>
      </c>
      <c r="I14" t="s">
        <v>2069</v>
      </c>
      <c r="J14" t="s">
        <v>1824</v>
      </c>
      <c r="K14">
        <v>9</v>
      </c>
      <c r="L14">
        <v>4</v>
      </c>
      <c r="M14">
        <v>7</v>
      </c>
      <c r="N14">
        <v>4</v>
      </c>
      <c r="O14">
        <v>9</v>
      </c>
      <c r="P14">
        <v>9</v>
      </c>
      <c r="Q14">
        <v>10</v>
      </c>
      <c r="R14">
        <v>5</v>
      </c>
      <c r="S14" t="s">
        <v>2027</v>
      </c>
      <c r="T14" t="s">
        <v>2027</v>
      </c>
      <c r="U14">
        <v>4</v>
      </c>
      <c r="V14" t="s">
        <v>2027</v>
      </c>
      <c r="W14" t="s">
        <v>2027</v>
      </c>
      <c r="X14" t="s">
        <v>2027</v>
      </c>
      <c r="Y14" t="s">
        <v>2027</v>
      </c>
      <c r="Z14" t="s">
        <v>2027</v>
      </c>
      <c r="AA14">
        <v>3</v>
      </c>
      <c r="AB14">
        <v>7</v>
      </c>
      <c r="AC14">
        <v>7</v>
      </c>
    </row>
    <row r="15" spans="1:29">
      <c r="A15" t="str">
        <f t="shared" si="0"/>
        <v>1BGabriel McIntyre21</v>
      </c>
      <c r="B15">
        <v>3375</v>
      </c>
      <c r="C15">
        <v>12</v>
      </c>
      <c r="D15" t="s">
        <v>1727</v>
      </c>
      <c r="E15" t="s">
        <v>466</v>
      </c>
      <c r="F15">
        <v>0</v>
      </c>
      <c r="G15" s="10">
        <v>35551</v>
      </c>
      <c r="H15">
        <v>21</v>
      </c>
      <c r="I15" t="s">
        <v>2092</v>
      </c>
      <c r="J15" t="s">
        <v>1824</v>
      </c>
      <c r="K15">
        <v>9</v>
      </c>
      <c r="L15">
        <v>7</v>
      </c>
      <c r="M15">
        <v>5</v>
      </c>
      <c r="N15">
        <v>8</v>
      </c>
      <c r="O15">
        <v>8</v>
      </c>
      <c r="P15">
        <v>8</v>
      </c>
      <c r="Q15">
        <v>6</v>
      </c>
      <c r="R15">
        <v>8</v>
      </c>
      <c r="S15" t="s">
        <v>2027</v>
      </c>
      <c r="T15">
        <v>10</v>
      </c>
      <c r="U15">
        <v>8</v>
      </c>
      <c r="V15">
        <v>6</v>
      </c>
      <c r="W15">
        <v>4</v>
      </c>
      <c r="X15" t="s">
        <v>2027</v>
      </c>
      <c r="Y15" t="s">
        <v>2027</v>
      </c>
      <c r="Z15" t="s">
        <v>2027</v>
      </c>
      <c r="AA15">
        <v>4</v>
      </c>
      <c r="AB15">
        <v>5</v>
      </c>
      <c r="AC15">
        <v>2</v>
      </c>
    </row>
    <row r="16" spans="1:29">
      <c r="A16" t="str">
        <f t="shared" si="0"/>
        <v>CFCarlos Ryan21</v>
      </c>
      <c r="B16">
        <v>5888</v>
      </c>
      <c r="C16">
        <v>2</v>
      </c>
      <c r="D16" t="s">
        <v>1974</v>
      </c>
      <c r="E16" t="s">
        <v>1912</v>
      </c>
      <c r="F16">
        <v>0</v>
      </c>
      <c r="G16" s="10">
        <v>35511</v>
      </c>
      <c r="H16">
        <v>21</v>
      </c>
      <c r="I16" t="s">
        <v>2079</v>
      </c>
      <c r="J16" t="s">
        <v>1824</v>
      </c>
      <c r="K16">
        <v>8</v>
      </c>
      <c r="L16">
        <v>8</v>
      </c>
      <c r="M16">
        <v>10</v>
      </c>
      <c r="N16">
        <v>10</v>
      </c>
      <c r="O16">
        <v>8</v>
      </c>
      <c r="P16">
        <v>6</v>
      </c>
      <c r="Q16">
        <v>7</v>
      </c>
      <c r="R16">
        <v>5</v>
      </c>
      <c r="S16" t="s">
        <v>2027</v>
      </c>
      <c r="T16" t="s">
        <v>2027</v>
      </c>
      <c r="U16" t="s">
        <v>2027</v>
      </c>
      <c r="V16" t="s">
        <v>2027</v>
      </c>
      <c r="W16" t="s">
        <v>2027</v>
      </c>
      <c r="X16">
        <v>4</v>
      </c>
      <c r="Y16">
        <v>10</v>
      </c>
      <c r="Z16">
        <v>6</v>
      </c>
      <c r="AA16">
        <v>1</v>
      </c>
      <c r="AB16">
        <v>4</v>
      </c>
      <c r="AC16">
        <v>10</v>
      </c>
    </row>
    <row r="17" spans="1:29">
      <c r="A17" t="str">
        <f t="shared" si="0"/>
        <v>RFJosÈ Garza18</v>
      </c>
      <c r="B17">
        <v>13737</v>
      </c>
      <c r="C17">
        <v>13</v>
      </c>
      <c r="D17" t="s">
        <v>116</v>
      </c>
      <c r="E17" t="s">
        <v>1928</v>
      </c>
      <c r="F17">
        <v>0</v>
      </c>
      <c r="G17" s="10">
        <v>36674</v>
      </c>
      <c r="H17">
        <v>18</v>
      </c>
      <c r="I17" t="s">
        <v>2057</v>
      </c>
      <c r="J17" t="s">
        <v>1824</v>
      </c>
      <c r="K17">
        <v>8</v>
      </c>
      <c r="L17">
        <v>10</v>
      </c>
      <c r="M17">
        <v>9</v>
      </c>
      <c r="N17">
        <v>7</v>
      </c>
      <c r="O17">
        <v>6</v>
      </c>
      <c r="P17">
        <v>7</v>
      </c>
      <c r="Q17">
        <v>9</v>
      </c>
      <c r="R17">
        <v>9</v>
      </c>
      <c r="S17" t="s">
        <v>2027</v>
      </c>
      <c r="T17">
        <v>5</v>
      </c>
      <c r="U17" t="s">
        <v>2027</v>
      </c>
      <c r="V17" t="s">
        <v>2027</v>
      </c>
      <c r="W17" t="s">
        <v>2027</v>
      </c>
      <c r="X17">
        <v>2</v>
      </c>
      <c r="Y17" t="s">
        <v>2027</v>
      </c>
      <c r="Z17">
        <v>8</v>
      </c>
      <c r="AA17">
        <v>1</v>
      </c>
      <c r="AB17">
        <v>6</v>
      </c>
      <c r="AC17">
        <v>7</v>
      </c>
    </row>
    <row r="18" spans="1:29">
      <c r="A18" t="str">
        <f t="shared" si="0"/>
        <v>RFDonald Mitchell21</v>
      </c>
      <c r="B18">
        <v>2074</v>
      </c>
      <c r="C18">
        <v>20</v>
      </c>
      <c r="D18" t="s">
        <v>1834</v>
      </c>
      <c r="E18" t="s">
        <v>1734</v>
      </c>
      <c r="F18">
        <v>0</v>
      </c>
      <c r="G18" s="10">
        <v>35478</v>
      </c>
      <c r="H18">
        <v>21</v>
      </c>
      <c r="I18" t="s">
        <v>2057</v>
      </c>
      <c r="J18" t="s">
        <v>1824</v>
      </c>
      <c r="K18">
        <v>8</v>
      </c>
      <c r="L18">
        <v>5</v>
      </c>
      <c r="M18">
        <v>8</v>
      </c>
      <c r="N18">
        <v>9</v>
      </c>
      <c r="O18">
        <v>6</v>
      </c>
      <c r="P18">
        <v>7</v>
      </c>
      <c r="Q18">
        <v>10</v>
      </c>
      <c r="R18">
        <v>5</v>
      </c>
      <c r="S18" t="s">
        <v>2027</v>
      </c>
      <c r="T18" t="s">
        <v>2027</v>
      </c>
      <c r="U18" t="s">
        <v>2027</v>
      </c>
      <c r="V18" t="s">
        <v>2027</v>
      </c>
      <c r="W18" t="s">
        <v>2027</v>
      </c>
      <c r="X18">
        <v>2</v>
      </c>
      <c r="Y18">
        <v>5</v>
      </c>
      <c r="Z18">
        <v>3</v>
      </c>
      <c r="AA18">
        <v>1</v>
      </c>
      <c r="AB18">
        <v>4</v>
      </c>
      <c r="AC18">
        <v>6</v>
      </c>
    </row>
    <row r="19" spans="1:29">
      <c r="A19" t="str">
        <f t="shared" si="0"/>
        <v>1BJuan RodrÌguez21</v>
      </c>
      <c r="B19">
        <v>6257</v>
      </c>
      <c r="C19">
        <v>42</v>
      </c>
      <c r="D19" t="s">
        <v>1835</v>
      </c>
      <c r="E19" t="s">
        <v>117</v>
      </c>
      <c r="F19">
        <v>0</v>
      </c>
      <c r="G19" s="10">
        <v>35403</v>
      </c>
      <c r="H19">
        <v>21</v>
      </c>
      <c r="I19" t="s">
        <v>2092</v>
      </c>
      <c r="J19" t="s">
        <v>1824</v>
      </c>
      <c r="K19">
        <v>8</v>
      </c>
      <c r="L19">
        <v>6</v>
      </c>
      <c r="M19">
        <v>8</v>
      </c>
      <c r="N19">
        <v>7</v>
      </c>
      <c r="O19">
        <v>6</v>
      </c>
      <c r="P19">
        <v>3</v>
      </c>
      <c r="Q19">
        <v>5</v>
      </c>
      <c r="R19">
        <v>3</v>
      </c>
      <c r="S19" t="s">
        <v>2027</v>
      </c>
      <c r="T19">
        <v>6</v>
      </c>
      <c r="U19" t="s">
        <v>2027</v>
      </c>
      <c r="V19" t="s">
        <v>2027</v>
      </c>
      <c r="W19" t="s">
        <v>2027</v>
      </c>
      <c r="X19" t="s">
        <v>2027</v>
      </c>
      <c r="Y19" t="s">
        <v>2027</v>
      </c>
      <c r="Z19" t="s">
        <v>2027</v>
      </c>
      <c r="AA19">
        <v>1</v>
      </c>
      <c r="AB19">
        <v>6</v>
      </c>
      <c r="AC19">
        <v>3</v>
      </c>
    </row>
    <row r="20" spans="1:29">
      <c r="A20" t="str">
        <f t="shared" si="0"/>
        <v>C-Michael Tucker21</v>
      </c>
      <c r="B20">
        <v>7622</v>
      </c>
      <c r="C20">
        <v>36</v>
      </c>
      <c r="D20" t="s">
        <v>1841</v>
      </c>
      <c r="E20" t="s">
        <v>512</v>
      </c>
      <c r="F20">
        <v>0</v>
      </c>
      <c r="G20" s="10">
        <v>35422</v>
      </c>
      <c r="H20">
        <v>21</v>
      </c>
      <c r="I20" t="s">
        <v>2091</v>
      </c>
      <c r="J20" t="s">
        <v>1824</v>
      </c>
      <c r="K20">
        <v>8</v>
      </c>
      <c r="L20">
        <v>7</v>
      </c>
      <c r="M20">
        <v>8</v>
      </c>
      <c r="N20">
        <v>7</v>
      </c>
      <c r="O20">
        <v>6</v>
      </c>
      <c r="P20">
        <v>4</v>
      </c>
      <c r="Q20">
        <v>5</v>
      </c>
      <c r="R20">
        <v>1</v>
      </c>
      <c r="S20">
        <v>5</v>
      </c>
      <c r="T20" t="s">
        <v>2027</v>
      </c>
      <c r="U20" t="s">
        <v>2027</v>
      </c>
      <c r="V20" t="s">
        <v>2027</v>
      </c>
      <c r="W20" t="s">
        <v>2027</v>
      </c>
      <c r="X20" t="s">
        <v>2027</v>
      </c>
      <c r="Y20" t="s">
        <v>2027</v>
      </c>
      <c r="Z20" t="s">
        <v>2027</v>
      </c>
      <c r="AA20">
        <v>6</v>
      </c>
      <c r="AB20">
        <v>7</v>
      </c>
      <c r="AC20">
        <v>4</v>
      </c>
    </row>
    <row r="21" spans="1:29">
      <c r="A21" t="str">
        <f t="shared" si="0"/>
        <v>SSGreg Dundee21</v>
      </c>
      <c r="B21">
        <v>2844</v>
      </c>
      <c r="C21">
        <v>24</v>
      </c>
      <c r="D21" t="s">
        <v>1890</v>
      </c>
      <c r="E21" t="s">
        <v>494</v>
      </c>
      <c r="F21">
        <v>0</v>
      </c>
      <c r="G21" s="10">
        <v>35529</v>
      </c>
      <c r="H21">
        <v>21</v>
      </c>
      <c r="I21" t="s">
        <v>2074</v>
      </c>
      <c r="J21" t="s">
        <v>1824</v>
      </c>
      <c r="K21">
        <v>8</v>
      </c>
      <c r="L21">
        <v>7</v>
      </c>
      <c r="M21">
        <v>8</v>
      </c>
      <c r="N21">
        <v>5</v>
      </c>
      <c r="O21">
        <v>3</v>
      </c>
      <c r="P21">
        <v>3</v>
      </c>
      <c r="Q21">
        <v>7</v>
      </c>
      <c r="R21">
        <v>4</v>
      </c>
      <c r="S21" t="s">
        <v>2027</v>
      </c>
      <c r="T21">
        <v>10</v>
      </c>
      <c r="U21">
        <v>6</v>
      </c>
      <c r="V21">
        <v>4</v>
      </c>
      <c r="W21">
        <v>7</v>
      </c>
      <c r="X21" t="s">
        <v>2027</v>
      </c>
      <c r="Y21" t="s">
        <v>2027</v>
      </c>
      <c r="Z21" t="s">
        <v>2027</v>
      </c>
      <c r="AA21">
        <v>1</v>
      </c>
      <c r="AB21">
        <v>9</v>
      </c>
      <c r="AC21">
        <v>1</v>
      </c>
    </row>
    <row r="22" spans="1:29">
      <c r="A22" t="str">
        <f t="shared" si="0"/>
        <v>1BBilly Mills21</v>
      </c>
      <c r="B22">
        <v>6094</v>
      </c>
      <c r="C22">
        <v>49</v>
      </c>
      <c r="D22" t="s">
        <v>1914</v>
      </c>
      <c r="E22" t="s">
        <v>331</v>
      </c>
      <c r="F22">
        <v>0</v>
      </c>
      <c r="G22" s="10">
        <v>35362</v>
      </c>
      <c r="H22">
        <v>21</v>
      </c>
      <c r="I22" t="s">
        <v>2092</v>
      </c>
      <c r="J22" t="s">
        <v>1824</v>
      </c>
      <c r="K22">
        <v>8</v>
      </c>
      <c r="L22">
        <v>6</v>
      </c>
      <c r="M22">
        <v>8</v>
      </c>
      <c r="N22">
        <v>5</v>
      </c>
      <c r="O22">
        <v>3</v>
      </c>
      <c r="P22">
        <v>6</v>
      </c>
      <c r="Q22">
        <v>6</v>
      </c>
      <c r="R22">
        <v>3</v>
      </c>
      <c r="S22" t="s">
        <v>2027</v>
      </c>
      <c r="T22">
        <v>7</v>
      </c>
      <c r="U22" t="s">
        <v>2027</v>
      </c>
      <c r="V22" t="s">
        <v>2027</v>
      </c>
      <c r="W22" t="s">
        <v>2027</v>
      </c>
      <c r="X22" t="s">
        <v>2027</v>
      </c>
      <c r="Y22" t="s">
        <v>2027</v>
      </c>
      <c r="Z22" t="s">
        <v>2027</v>
      </c>
      <c r="AA22">
        <v>5</v>
      </c>
      <c r="AB22">
        <v>6</v>
      </c>
      <c r="AC22">
        <v>1</v>
      </c>
    </row>
    <row r="23" spans="1:29">
      <c r="A23" t="str">
        <f t="shared" si="0"/>
        <v>RFChris Strong18</v>
      </c>
      <c r="B23">
        <v>13740</v>
      </c>
      <c r="C23">
        <v>99</v>
      </c>
      <c r="D23" t="s">
        <v>1942</v>
      </c>
      <c r="E23" t="s">
        <v>312</v>
      </c>
      <c r="F23">
        <v>0</v>
      </c>
      <c r="G23" s="10">
        <v>36521</v>
      </c>
      <c r="H23">
        <v>18</v>
      </c>
      <c r="I23" t="s">
        <v>2057</v>
      </c>
      <c r="J23" t="s">
        <v>1824</v>
      </c>
      <c r="K23">
        <v>8</v>
      </c>
      <c r="L23">
        <v>6</v>
      </c>
      <c r="M23">
        <v>8</v>
      </c>
      <c r="N23">
        <v>3</v>
      </c>
      <c r="O23">
        <v>7</v>
      </c>
      <c r="P23">
        <v>6</v>
      </c>
      <c r="Q23">
        <v>9</v>
      </c>
      <c r="R23">
        <v>5</v>
      </c>
      <c r="S23" t="s">
        <v>2027</v>
      </c>
      <c r="T23" t="s">
        <v>2027</v>
      </c>
      <c r="U23" t="s">
        <v>2027</v>
      </c>
      <c r="V23" t="s">
        <v>2027</v>
      </c>
      <c r="W23" t="s">
        <v>2027</v>
      </c>
      <c r="X23">
        <v>2</v>
      </c>
      <c r="Y23" t="s">
        <v>2027</v>
      </c>
      <c r="Z23">
        <v>1</v>
      </c>
      <c r="AA23">
        <v>2</v>
      </c>
      <c r="AB23">
        <v>6</v>
      </c>
      <c r="AC23">
        <v>7</v>
      </c>
    </row>
    <row r="24" spans="1:29">
      <c r="A24" t="str">
        <f t="shared" si="0"/>
        <v>2BAaron Harris21</v>
      </c>
      <c r="B24">
        <v>8579</v>
      </c>
      <c r="C24">
        <v>32</v>
      </c>
      <c r="D24" t="s">
        <v>1886</v>
      </c>
      <c r="E24" t="s">
        <v>1725</v>
      </c>
      <c r="F24">
        <v>0</v>
      </c>
      <c r="G24" s="10">
        <v>35482</v>
      </c>
      <c r="H24">
        <v>21</v>
      </c>
      <c r="I24" t="s">
        <v>2069</v>
      </c>
      <c r="J24" t="s">
        <v>1824</v>
      </c>
      <c r="K24">
        <v>8</v>
      </c>
      <c r="L24">
        <v>7</v>
      </c>
      <c r="M24">
        <v>7</v>
      </c>
      <c r="N24">
        <v>5</v>
      </c>
      <c r="O24">
        <v>5</v>
      </c>
      <c r="P24">
        <v>8</v>
      </c>
      <c r="Q24">
        <v>9</v>
      </c>
      <c r="R24">
        <v>5</v>
      </c>
      <c r="S24" t="s">
        <v>2027</v>
      </c>
      <c r="T24">
        <v>10</v>
      </c>
      <c r="U24">
        <v>5</v>
      </c>
      <c r="V24">
        <v>4</v>
      </c>
      <c r="W24">
        <v>3</v>
      </c>
      <c r="X24" t="s">
        <v>2027</v>
      </c>
      <c r="Y24">
        <v>6</v>
      </c>
      <c r="Z24" t="s">
        <v>2027</v>
      </c>
      <c r="AA24">
        <v>5</v>
      </c>
      <c r="AB24">
        <v>7</v>
      </c>
      <c r="AC24">
        <v>4</v>
      </c>
    </row>
    <row r="25" spans="1:29">
      <c r="A25" t="str">
        <f t="shared" si="0"/>
        <v>CFBill McIntyre21</v>
      </c>
      <c r="B25">
        <v>3048</v>
      </c>
      <c r="C25">
        <v>54</v>
      </c>
      <c r="D25" t="s">
        <v>1869</v>
      </c>
      <c r="E25" t="s">
        <v>466</v>
      </c>
      <c r="F25">
        <v>0</v>
      </c>
      <c r="G25" s="10">
        <v>35358</v>
      </c>
      <c r="H25">
        <v>21</v>
      </c>
      <c r="I25" t="s">
        <v>2079</v>
      </c>
      <c r="J25" t="s">
        <v>1824</v>
      </c>
      <c r="K25">
        <v>8</v>
      </c>
      <c r="L25">
        <v>3</v>
      </c>
      <c r="M25">
        <v>7</v>
      </c>
      <c r="N25">
        <v>5</v>
      </c>
      <c r="O25">
        <v>6</v>
      </c>
      <c r="P25">
        <v>10</v>
      </c>
      <c r="Q25">
        <v>10</v>
      </c>
      <c r="R25">
        <v>9</v>
      </c>
      <c r="S25" t="s">
        <v>2027</v>
      </c>
      <c r="T25" t="s">
        <v>2027</v>
      </c>
      <c r="U25" t="s">
        <v>2027</v>
      </c>
      <c r="V25" t="s">
        <v>2027</v>
      </c>
      <c r="W25" t="s">
        <v>2027</v>
      </c>
      <c r="X25">
        <v>8</v>
      </c>
      <c r="Y25">
        <v>7</v>
      </c>
      <c r="Z25">
        <v>6</v>
      </c>
      <c r="AA25">
        <v>5</v>
      </c>
      <c r="AB25">
        <v>5</v>
      </c>
      <c r="AC25">
        <v>6</v>
      </c>
    </row>
    <row r="26" spans="1:29">
      <c r="A26" t="str">
        <f t="shared" si="0"/>
        <v>2BBob Cowan21</v>
      </c>
      <c r="B26">
        <v>6103</v>
      </c>
      <c r="C26">
        <v>114</v>
      </c>
      <c r="D26" t="s">
        <v>1913</v>
      </c>
      <c r="E26" t="s">
        <v>502</v>
      </c>
      <c r="F26">
        <v>0</v>
      </c>
      <c r="G26" s="10">
        <v>35245</v>
      </c>
      <c r="H26">
        <v>21</v>
      </c>
      <c r="I26" t="s">
        <v>2069</v>
      </c>
      <c r="J26" t="s">
        <v>1824</v>
      </c>
      <c r="K26">
        <v>8</v>
      </c>
      <c r="L26">
        <v>6</v>
      </c>
      <c r="M26">
        <v>7</v>
      </c>
      <c r="N26">
        <v>4</v>
      </c>
      <c r="O26">
        <v>4</v>
      </c>
      <c r="P26">
        <v>4</v>
      </c>
      <c r="Q26">
        <v>9</v>
      </c>
      <c r="R26">
        <v>7</v>
      </c>
      <c r="S26" t="s">
        <v>2027</v>
      </c>
      <c r="T26">
        <v>9</v>
      </c>
      <c r="U26">
        <v>9</v>
      </c>
      <c r="V26">
        <v>4</v>
      </c>
      <c r="W26">
        <v>3</v>
      </c>
      <c r="X26" t="s">
        <v>2027</v>
      </c>
      <c r="Y26" t="s">
        <v>2027</v>
      </c>
      <c r="Z26" t="s">
        <v>2027</v>
      </c>
      <c r="AA26">
        <v>1</v>
      </c>
      <c r="AB26">
        <v>8</v>
      </c>
      <c r="AC26">
        <v>2</v>
      </c>
    </row>
    <row r="27" spans="1:29">
      <c r="A27" t="str">
        <f t="shared" si="0"/>
        <v>1BTony GarcÌa21</v>
      </c>
      <c r="B27">
        <v>4002</v>
      </c>
      <c r="C27">
        <v>130</v>
      </c>
      <c r="D27" t="s">
        <v>1860</v>
      </c>
      <c r="E27" t="s">
        <v>118</v>
      </c>
      <c r="F27">
        <v>0</v>
      </c>
      <c r="G27" s="10">
        <v>35330</v>
      </c>
      <c r="H27">
        <v>21</v>
      </c>
      <c r="I27" t="s">
        <v>2092</v>
      </c>
      <c r="J27" t="s">
        <v>1824</v>
      </c>
      <c r="K27">
        <v>8</v>
      </c>
      <c r="L27">
        <v>5</v>
      </c>
      <c r="M27">
        <v>7</v>
      </c>
      <c r="N27">
        <v>4</v>
      </c>
      <c r="O27">
        <v>5</v>
      </c>
      <c r="P27">
        <v>2</v>
      </c>
      <c r="Q27">
        <v>8</v>
      </c>
      <c r="R27">
        <v>3</v>
      </c>
      <c r="S27" t="s">
        <v>2027</v>
      </c>
      <c r="T27">
        <v>8</v>
      </c>
      <c r="U27" t="s">
        <v>2027</v>
      </c>
      <c r="V27" t="s">
        <v>2027</v>
      </c>
      <c r="W27" t="s">
        <v>2027</v>
      </c>
      <c r="X27" t="s">
        <v>2027</v>
      </c>
      <c r="Y27" t="s">
        <v>2027</v>
      </c>
      <c r="Z27" t="s">
        <v>2027</v>
      </c>
      <c r="AA27">
        <v>1</v>
      </c>
      <c r="AB27">
        <v>8</v>
      </c>
      <c r="AC27">
        <v>5</v>
      </c>
    </row>
    <row r="28" spans="1:29">
      <c r="A28" t="str">
        <f t="shared" si="0"/>
        <v>LFTom Gilmore21</v>
      </c>
      <c r="B28">
        <v>3993</v>
      </c>
      <c r="C28">
        <v>43</v>
      </c>
      <c r="D28" t="s">
        <v>1875</v>
      </c>
      <c r="E28" t="s">
        <v>490</v>
      </c>
      <c r="F28">
        <v>0</v>
      </c>
      <c r="G28" s="10">
        <v>35323</v>
      </c>
      <c r="H28">
        <v>21</v>
      </c>
      <c r="I28" t="s">
        <v>2035</v>
      </c>
      <c r="J28" t="s">
        <v>1824</v>
      </c>
      <c r="K28">
        <v>8</v>
      </c>
      <c r="L28">
        <v>6</v>
      </c>
      <c r="M28">
        <v>7</v>
      </c>
      <c r="N28">
        <v>4</v>
      </c>
      <c r="O28">
        <v>5</v>
      </c>
      <c r="P28">
        <v>7</v>
      </c>
      <c r="Q28">
        <v>10</v>
      </c>
      <c r="R28">
        <v>10</v>
      </c>
      <c r="S28" t="s">
        <v>2027</v>
      </c>
      <c r="T28">
        <v>6</v>
      </c>
      <c r="U28" t="s">
        <v>2027</v>
      </c>
      <c r="V28" t="s">
        <v>2027</v>
      </c>
      <c r="W28" t="s">
        <v>2027</v>
      </c>
      <c r="X28">
        <v>8</v>
      </c>
      <c r="Y28">
        <v>6</v>
      </c>
      <c r="Z28">
        <v>4</v>
      </c>
      <c r="AA28">
        <v>1</v>
      </c>
      <c r="AB28">
        <v>8</v>
      </c>
      <c r="AC28">
        <v>6</v>
      </c>
    </row>
    <row r="29" spans="1:29">
      <c r="A29" t="str">
        <f t="shared" si="0"/>
        <v>2BChad Murray18</v>
      </c>
      <c r="B29">
        <v>13745</v>
      </c>
      <c r="C29">
        <v>80</v>
      </c>
      <c r="D29" t="s">
        <v>1796</v>
      </c>
      <c r="E29" t="s">
        <v>318</v>
      </c>
      <c r="F29">
        <v>0</v>
      </c>
      <c r="G29" s="10">
        <v>36626</v>
      </c>
      <c r="H29">
        <v>18</v>
      </c>
      <c r="I29" t="s">
        <v>2069</v>
      </c>
      <c r="J29" t="s">
        <v>1824</v>
      </c>
      <c r="K29">
        <v>8</v>
      </c>
      <c r="L29">
        <v>7</v>
      </c>
      <c r="M29">
        <v>7</v>
      </c>
      <c r="N29">
        <v>3</v>
      </c>
      <c r="O29">
        <v>7</v>
      </c>
      <c r="P29">
        <v>9</v>
      </c>
      <c r="Q29">
        <v>10</v>
      </c>
      <c r="R29">
        <v>6</v>
      </c>
      <c r="S29" t="s">
        <v>2027</v>
      </c>
      <c r="T29" t="s">
        <v>2027</v>
      </c>
      <c r="U29">
        <v>1</v>
      </c>
      <c r="V29" t="s">
        <v>2027</v>
      </c>
      <c r="W29">
        <v>3</v>
      </c>
      <c r="X29" t="s">
        <v>2027</v>
      </c>
      <c r="Y29" t="s">
        <v>2027</v>
      </c>
      <c r="Z29" t="s">
        <v>2027</v>
      </c>
      <c r="AA29">
        <v>2</v>
      </c>
      <c r="AB29">
        <v>10</v>
      </c>
      <c r="AC29">
        <v>3</v>
      </c>
    </row>
    <row r="30" spans="1:29">
      <c r="A30" t="str">
        <f t="shared" si="0"/>
        <v>RFPaul Jackson18</v>
      </c>
      <c r="B30">
        <v>13751</v>
      </c>
      <c r="C30">
        <v>200</v>
      </c>
      <c r="D30" t="s">
        <v>1922</v>
      </c>
      <c r="E30" t="s">
        <v>1864</v>
      </c>
      <c r="F30">
        <v>0</v>
      </c>
      <c r="G30" s="10">
        <v>36512</v>
      </c>
      <c r="H30">
        <v>18</v>
      </c>
      <c r="I30" t="s">
        <v>2057</v>
      </c>
      <c r="J30" t="s">
        <v>1824</v>
      </c>
      <c r="K30">
        <v>8</v>
      </c>
      <c r="L30">
        <v>3</v>
      </c>
      <c r="M30">
        <v>7</v>
      </c>
      <c r="N30">
        <v>2</v>
      </c>
      <c r="O30">
        <v>6</v>
      </c>
      <c r="P30">
        <v>8</v>
      </c>
      <c r="Q30">
        <v>10</v>
      </c>
      <c r="R30">
        <v>5</v>
      </c>
      <c r="S30" t="s">
        <v>2027</v>
      </c>
      <c r="T30" t="s">
        <v>2027</v>
      </c>
      <c r="U30" t="s">
        <v>2027</v>
      </c>
      <c r="V30" t="s">
        <v>2027</v>
      </c>
      <c r="W30" t="s">
        <v>2027</v>
      </c>
      <c r="X30">
        <v>3</v>
      </c>
      <c r="Y30">
        <v>7</v>
      </c>
      <c r="Z30">
        <v>2</v>
      </c>
      <c r="AA30">
        <v>3</v>
      </c>
      <c r="AB30">
        <v>6</v>
      </c>
      <c r="AC30">
        <v>9</v>
      </c>
    </row>
    <row r="31" spans="1:29">
      <c r="A31" t="str">
        <f t="shared" si="0"/>
        <v>C-FÈlix Serrano18</v>
      </c>
      <c r="B31">
        <v>13749</v>
      </c>
      <c r="C31">
        <v>147</v>
      </c>
      <c r="D31" t="s">
        <v>119</v>
      </c>
      <c r="E31" t="s">
        <v>1881</v>
      </c>
      <c r="F31">
        <v>0</v>
      </c>
      <c r="G31" s="10">
        <v>36471</v>
      </c>
      <c r="H31">
        <v>18</v>
      </c>
      <c r="I31" t="s">
        <v>2091</v>
      </c>
      <c r="J31" t="s">
        <v>1824</v>
      </c>
      <c r="K31">
        <v>8</v>
      </c>
      <c r="L31">
        <v>7</v>
      </c>
      <c r="M31">
        <v>7</v>
      </c>
      <c r="N31">
        <v>2</v>
      </c>
      <c r="O31">
        <v>6</v>
      </c>
      <c r="P31">
        <v>4</v>
      </c>
      <c r="Q31">
        <v>8</v>
      </c>
      <c r="R31">
        <v>2</v>
      </c>
      <c r="S31" t="s">
        <v>2027</v>
      </c>
      <c r="T31" t="s">
        <v>2027</v>
      </c>
      <c r="U31" t="s">
        <v>2027</v>
      </c>
      <c r="V31" t="s">
        <v>2027</v>
      </c>
      <c r="W31" t="s">
        <v>2027</v>
      </c>
      <c r="X31" t="s">
        <v>2027</v>
      </c>
      <c r="Y31" t="s">
        <v>2027</v>
      </c>
      <c r="Z31" t="s">
        <v>2027</v>
      </c>
      <c r="AA31">
        <v>8</v>
      </c>
      <c r="AB31">
        <v>9</v>
      </c>
      <c r="AC31">
        <v>7</v>
      </c>
    </row>
    <row r="32" spans="1:29">
      <c r="A32" t="str">
        <f t="shared" si="0"/>
        <v>2BRob Steele18</v>
      </c>
      <c r="B32">
        <v>1137</v>
      </c>
      <c r="C32">
        <v>56</v>
      </c>
      <c r="D32" t="s">
        <v>1883</v>
      </c>
      <c r="E32" t="s">
        <v>491</v>
      </c>
      <c r="F32">
        <v>0</v>
      </c>
      <c r="G32" s="10">
        <v>36491</v>
      </c>
      <c r="H32">
        <v>18</v>
      </c>
      <c r="I32" t="s">
        <v>2069</v>
      </c>
      <c r="J32" t="s">
        <v>1824</v>
      </c>
      <c r="K32">
        <v>8</v>
      </c>
      <c r="L32">
        <v>8</v>
      </c>
      <c r="M32">
        <v>6</v>
      </c>
      <c r="N32">
        <v>7</v>
      </c>
      <c r="O32">
        <v>4</v>
      </c>
      <c r="P32">
        <v>4</v>
      </c>
      <c r="Q32">
        <v>10</v>
      </c>
      <c r="R32">
        <v>10</v>
      </c>
      <c r="S32" t="s">
        <v>2027</v>
      </c>
      <c r="T32">
        <v>8</v>
      </c>
      <c r="U32">
        <v>7</v>
      </c>
      <c r="V32">
        <v>1</v>
      </c>
      <c r="W32">
        <v>1</v>
      </c>
      <c r="X32" t="s">
        <v>2027</v>
      </c>
      <c r="Y32" t="s">
        <v>2027</v>
      </c>
      <c r="Z32" t="s">
        <v>2027</v>
      </c>
      <c r="AA32">
        <v>1</v>
      </c>
      <c r="AB32">
        <v>9</v>
      </c>
      <c r="AC32">
        <v>2</v>
      </c>
    </row>
    <row r="33" spans="1:29">
      <c r="A33" t="str">
        <f t="shared" si="0"/>
        <v>C-Rob Murphy21</v>
      </c>
      <c r="B33">
        <v>3050</v>
      </c>
      <c r="C33">
        <v>41</v>
      </c>
      <c r="D33" t="s">
        <v>1883</v>
      </c>
      <c r="E33" t="s">
        <v>1787</v>
      </c>
      <c r="F33">
        <v>0</v>
      </c>
      <c r="G33" s="10">
        <v>35469</v>
      </c>
      <c r="H33">
        <v>21</v>
      </c>
      <c r="I33" t="s">
        <v>2091</v>
      </c>
      <c r="J33" t="s">
        <v>1824</v>
      </c>
      <c r="K33">
        <v>8</v>
      </c>
      <c r="L33">
        <v>5</v>
      </c>
      <c r="M33">
        <v>6</v>
      </c>
      <c r="N33">
        <v>6</v>
      </c>
      <c r="O33">
        <v>6</v>
      </c>
      <c r="P33">
        <v>7</v>
      </c>
      <c r="Q33">
        <v>7</v>
      </c>
      <c r="R33">
        <v>2</v>
      </c>
      <c r="S33">
        <v>7</v>
      </c>
      <c r="T33">
        <v>7</v>
      </c>
      <c r="U33" t="s">
        <v>2027</v>
      </c>
      <c r="V33" t="s">
        <v>2027</v>
      </c>
      <c r="W33" t="s">
        <v>2027</v>
      </c>
      <c r="X33" t="s">
        <v>2027</v>
      </c>
      <c r="Y33" t="s">
        <v>2027</v>
      </c>
      <c r="Z33" t="s">
        <v>2027</v>
      </c>
      <c r="AA33">
        <v>8</v>
      </c>
      <c r="AB33">
        <v>7</v>
      </c>
      <c r="AC33">
        <v>3</v>
      </c>
    </row>
    <row r="34" spans="1:29">
      <c r="A34" t="str">
        <f t="shared" si="0"/>
        <v>2BNelson Baker21</v>
      </c>
      <c r="B34">
        <v>6870</v>
      </c>
      <c r="C34">
        <v>19</v>
      </c>
      <c r="D34" t="s">
        <v>1838</v>
      </c>
      <c r="E34" t="s">
        <v>1926</v>
      </c>
      <c r="F34">
        <v>0</v>
      </c>
      <c r="G34" s="10">
        <v>35478</v>
      </c>
      <c r="H34">
        <v>21</v>
      </c>
      <c r="I34" t="s">
        <v>2069</v>
      </c>
      <c r="J34" t="s">
        <v>2003</v>
      </c>
      <c r="K34">
        <v>8</v>
      </c>
      <c r="L34">
        <v>4</v>
      </c>
      <c r="M34">
        <v>6</v>
      </c>
      <c r="N34">
        <v>5</v>
      </c>
      <c r="O34">
        <v>7</v>
      </c>
      <c r="P34">
        <v>8</v>
      </c>
      <c r="Q34">
        <v>10</v>
      </c>
      <c r="R34">
        <v>5</v>
      </c>
      <c r="S34" t="s">
        <v>2027</v>
      </c>
      <c r="T34">
        <v>8</v>
      </c>
      <c r="U34">
        <v>2</v>
      </c>
      <c r="V34">
        <v>5</v>
      </c>
      <c r="W34">
        <v>5</v>
      </c>
      <c r="X34" t="s">
        <v>2027</v>
      </c>
      <c r="Y34" t="s">
        <v>2027</v>
      </c>
      <c r="Z34">
        <v>2</v>
      </c>
      <c r="AA34">
        <v>4</v>
      </c>
      <c r="AB34">
        <v>10</v>
      </c>
      <c r="AC34">
        <v>6</v>
      </c>
    </row>
    <row r="35" spans="1:29">
      <c r="A35" t="str">
        <f t="shared" si="0"/>
        <v>RFJoe Schulz21</v>
      </c>
      <c r="B35">
        <v>4000</v>
      </c>
      <c r="C35">
        <v>95</v>
      </c>
      <c r="D35" t="s">
        <v>1937</v>
      </c>
      <c r="E35" t="s">
        <v>542</v>
      </c>
      <c r="F35">
        <v>0</v>
      </c>
      <c r="G35" s="10">
        <v>35528</v>
      </c>
      <c r="H35">
        <v>21</v>
      </c>
      <c r="I35" t="s">
        <v>2057</v>
      </c>
      <c r="J35" t="s">
        <v>1824</v>
      </c>
      <c r="K35">
        <v>8</v>
      </c>
      <c r="L35">
        <v>6</v>
      </c>
      <c r="M35">
        <v>6</v>
      </c>
      <c r="N35">
        <v>5</v>
      </c>
      <c r="O35">
        <v>7</v>
      </c>
      <c r="P35">
        <v>3</v>
      </c>
      <c r="Q35">
        <v>6</v>
      </c>
      <c r="R35">
        <v>1</v>
      </c>
      <c r="S35" t="s">
        <v>2027</v>
      </c>
      <c r="T35">
        <v>5</v>
      </c>
      <c r="U35" t="s">
        <v>2027</v>
      </c>
      <c r="V35" t="s">
        <v>2027</v>
      </c>
      <c r="W35" t="s">
        <v>2027</v>
      </c>
      <c r="X35">
        <v>4</v>
      </c>
      <c r="Y35">
        <v>6</v>
      </c>
      <c r="Z35">
        <v>5</v>
      </c>
      <c r="AA35">
        <v>1</v>
      </c>
      <c r="AB35">
        <v>5</v>
      </c>
      <c r="AC35">
        <v>5</v>
      </c>
    </row>
    <row r="36" spans="1:29">
      <c r="A36" t="str">
        <f t="shared" si="0"/>
        <v>2BLou Bell22</v>
      </c>
      <c r="B36">
        <v>2812</v>
      </c>
      <c r="C36">
        <v>26</v>
      </c>
      <c r="D36" t="s">
        <v>1962</v>
      </c>
      <c r="E36" t="s">
        <v>1963</v>
      </c>
      <c r="F36">
        <v>0</v>
      </c>
      <c r="G36" s="10">
        <v>35205</v>
      </c>
      <c r="H36">
        <v>22</v>
      </c>
      <c r="I36" t="s">
        <v>2069</v>
      </c>
      <c r="J36" t="s">
        <v>1824</v>
      </c>
      <c r="K36">
        <v>8</v>
      </c>
      <c r="L36">
        <v>8</v>
      </c>
      <c r="M36">
        <v>6</v>
      </c>
      <c r="N36">
        <v>4</v>
      </c>
      <c r="O36">
        <v>5</v>
      </c>
      <c r="P36">
        <v>8</v>
      </c>
      <c r="Q36">
        <v>10</v>
      </c>
      <c r="R36">
        <v>7</v>
      </c>
      <c r="S36" t="s">
        <v>2027</v>
      </c>
      <c r="T36">
        <v>7</v>
      </c>
      <c r="U36">
        <v>4</v>
      </c>
      <c r="V36">
        <v>2</v>
      </c>
      <c r="W36">
        <v>2</v>
      </c>
      <c r="X36" t="s">
        <v>2027</v>
      </c>
      <c r="Y36" t="s">
        <v>2027</v>
      </c>
      <c r="Z36" t="s">
        <v>2027</v>
      </c>
      <c r="AA36">
        <v>4</v>
      </c>
      <c r="AB36">
        <v>6</v>
      </c>
      <c r="AC36">
        <v>1</v>
      </c>
    </row>
    <row r="37" spans="1:29">
      <c r="A37" t="str">
        <f t="shared" si="0"/>
        <v>RFVÌctor Maldonado23</v>
      </c>
      <c r="B37">
        <v>1509</v>
      </c>
      <c r="C37">
        <v>123</v>
      </c>
      <c r="D37" t="s">
        <v>120</v>
      </c>
      <c r="E37" t="s">
        <v>1683</v>
      </c>
      <c r="F37">
        <v>0</v>
      </c>
      <c r="G37" s="10">
        <v>34597</v>
      </c>
      <c r="H37">
        <v>23</v>
      </c>
      <c r="I37" t="s">
        <v>2057</v>
      </c>
      <c r="J37" t="s">
        <v>1824</v>
      </c>
      <c r="K37">
        <v>8</v>
      </c>
      <c r="L37">
        <v>5</v>
      </c>
      <c r="M37">
        <v>6</v>
      </c>
      <c r="N37">
        <v>4</v>
      </c>
      <c r="O37">
        <v>5</v>
      </c>
      <c r="P37">
        <v>6</v>
      </c>
      <c r="Q37">
        <v>9</v>
      </c>
      <c r="R37">
        <v>8</v>
      </c>
      <c r="S37" t="s">
        <v>2027</v>
      </c>
      <c r="T37" t="s">
        <v>2027</v>
      </c>
      <c r="U37" t="s">
        <v>2027</v>
      </c>
      <c r="V37" t="s">
        <v>2027</v>
      </c>
      <c r="W37" t="s">
        <v>2027</v>
      </c>
      <c r="X37">
        <v>2</v>
      </c>
      <c r="Y37" t="s">
        <v>2027</v>
      </c>
      <c r="Z37">
        <v>5</v>
      </c>
      <c r="AA37">
        <v>1</v>
      </c>
      <c r="AB37">
        <v>4</v>
      </c>
      <c r="AC37">
        <v>6</v>
      </c>
    </row>
    <row r="38" spans="1:29">
      <c r="A38" t="str">
        <f t="shared" si="0"/>
        <v>CFRyan Thomas21</v>
      </c>
      <c r="B38">
        <v>6111</v>
      </c>
      <c r="C38">
        <v>126</v>
      </c>
      <c r="D38" t="s">
        <v>1912</v>
      </c>
      <c r="E38" t="s">
        <v>1879</v>
      </c>
      <c r="F38">
        <v>0</v>
      </c>
      <c r="G38" s="10">
        <v>35488</v>
      </c>
      <c r="H38">
        <v>21</v>
      </c>
      <c r="I38" t="s">
        <v>2079</v>
      </c>
      <c r="J38" t="s">
        <v>1824</v>
      </c>
      <c r="K38">
        <v>8</v>
      </c>
      <c r="L38">
        <v>6</v>
      </c>
      <c r="M38">
        <v>6</v>
      </c>
      <c r="N38">
        <v>4</v>
      </c>
      <c r="O38">
        <v>5</v>
      </c>
      <c r="P38">
        <v>6</v>
      </c>
      <c r="Q38">
        <v>10</v>
      </c>
      <c r="R38">
        <v>10</v>
      </c>
      <c r="S38" t="s">
        <v>2027</v>
      </c>
      <c r="T38" t="s">
        <v>2027</v>
      </c>
      <c r="U38" t="s">
        <v>2027</v>
      </c>
      <c r="V38" t="s">
        <v>2027</v>
      </c>
      <c r="W38" t="s">
        <v>2027</v>
      </c>
      <c r="X38">
        <v>3</v>
      </c>
      <c r="Y38">
        <v>10</v>
      </c>
      <c r="Z38">
        <v>4</v>
      </c>
      <c r="AA38">
        <v>1</v>
      </c>
      <c r="AB38">
        <v>6</v>
      </c>
      <c r="AC38">
        <v>3</v>
      </c>
    </row>
    <row r="39" spans="1:29">
      <c r="A39" t="str">
        <f t="shared" si="0"/>
        <v>1BJim Justice21</v>
      </c>
      <c r="B39">
        <v>6283</v>
      </c>
      <c r="C39">
        <v>192</v>
      </c>
      <c r="D39" t="s">
        <v>1777</v>
      </c>
      <c r="E39" t="s">
        <v>348</v>
      </c>
      <c r="F39">
        <v>0</v>
      </c>
      <c r="G39" s="10">
        <v>35224</v>
      </c>
      <c r="H39">
        <v>21</v>
      </c>
      <c r="I39" t="s">
        <v>2092</v>
      </c>
      <c r="J39" t="s">
        <v>1824</v>
      </c>
      <c r="K39">
        <v>8</v>
      </c>
      <c r="L39">
        <v>6</v>
      </c>
      <c r="M39">
        <v>6</v>
      </c>
      <c r="N39">
        <v>3</v>
      </c>
      <c r="O39">
        <v>5</v>
      </c>
      <c r="P39">
        <v>2</v>
      </c>
      <c r="Q39">
        <v>5</v>
      </c>
      <c r="R39">
        <v>1</v>
      </c>
      <c r="S39" t="s">
        <v>2027</v>
      </c>
      <c r="T39">
        <v>6</v>
      </c>
      <c r="U39" t="s">
        <v>2027</v>
      </c>
      <c r="V39" t="s">
        <v>2027</v>
      </c>
      <c r="W39" t="s">
        <v>2027</v>
      </c>
      <c r="X39" t="s">
        <v>2027</v>
      </c>
      <c r="Y39" t="s">
        <v>2027</v>
      </c>
      <c r="Z39" t="s">
        <v>2027</v>
      </c>
      <c r="AA39">
        <v>2</v>
      </c>
      <c r="AB39">
        <v>6</v>
      </c>
      <c r="AC39">
        <v>2</v>
      </c>
    </row>
    <row r="40" spans="1:29">
      <c r="A40" t="str">
        <f t="shared" si="0"/>
        <v>CFJody Hull18</v>
      </c>
      <c r="B40">
        <v>13741</v>
      </c>
      <c r="C40">
        <v>284</v>
      </c>
      <c r="D40" t="s">
        <v>476</v>
      </c>
      <c r="E40" t="s">
        <v>477</v>
      </c>
      <c r="F40">
        <v>0</v>
      </c>
      <c r="G40" s="10">
        <v>36327</v>
      </c>
      <c r="H40">
        <v>18</v>
      </c>
      <c r="I40" t="s">
        <v>2079</v>
      </c>
      <c r="J40" t="s">
        <v>1824</v>
      </c>
      <c r="K40">
        <v>8</v>
      </c>
      <c r="L40">
        <v>3</v>
      </c>
      <c r="M40">
        <v>6</v>
      </c>
      <c r="N40">
        <v>2</v>
      </c>
      <c r="O40">
        <v>6</v>
      </c>
      <c r="P40">
        <v>7</v>
      </c>
      <c r="Q40">
        <v>8</v>
      </c>
      <c r="R40">
        <v>1</v>
      </c>
      <c r="S40" t="s">
        <v>2027</v>
      </c>
      <c r="T40">
        <v>6</v>
      </c>
      <c r="U40" t="s">
        <v>2027</v>
      </c>
      <c r="V40" t="s">
        <v>2027</v>
      </c>
      <c r="W40" t="s">
        <v>2027</v>
      </c>
      <c r="X40">
        <v>5</v>
      </c>
      <c r="Y40">
        <v>7</v>
      </c>
      <c r="Z40">
        <v>1</v>
      </c>
      <c r="AA40">
        <v>2</v>
      </c>
      <c r="AB40">
        <v>6</v>
      </c>
      <c r="AC40">
        <v>8</v>
      </c>
    </row>
    <row r="41" spans="1:29">
      <c r="A41" t="str">
        <f t="shared" si="0"/>
        <v>2BCaden Carlisle18</v>
      </c>
      <c r="B41">
        <v>13744</v>
      </c>
      <c r="C41">
        <v>196</v>
      </c>
      <c r="D41" t="s">
        <v>1747</v>
      </c>
      <c r="E41" t="s">
        <v>1668</v>
      </c>
      <c r="F41">
        <v>0</v>
      </c>
      <c r="G41" s="10">
        <v>36545</v>
      </c>
      <c r="H41">
        <v>18</v>
      </c>
      <c r="I41" t="s">
        <v>2069</v>
      </c>
      <c r="J41" t="s">
        <v>1824</v>
      </c>
      <c r="K41">
        <v>8</v>
      </c>
      <c r="L41">
        <v>7</v>
      </c>
      <c r="M41">
        <v>6</v>
      </c>
      <c r="N41">
        <v>1</v>
      </c>
      <c r="O41">
        <v>6</v>
      </c>
      <c r="P41">
        <v>9</v>
      </c>
      <c r="Q41">
        <v>10</v>
      </c>
      <c r="R41">
        <v>6</v>
      </c>
      <c r="S41" t="s">
        <v>2027</v>
      </c>
      <c r="T41">
        <v>7</v>
      </c>
      <c r="U41">
        <v>2</v>
      </c>
      <c r="V41">
        <v>1</v>
      </c>
      <c r="W41">
        <v>3</v>
      </c>
      <c r="X41" t="s">
        <v>2027</v>
      </c>
      <c r="Y41" t="s">
        <v>2027</v>
      </c>
      <c r="Z41" t="s">
        <v>2027</v>
      </c>
      <c r="AA41">
        <v>3</v>
      </c>
      <c r="AB41">
        <v>10</v>
      </c>
      <c r="AC41">
        <v>10</v>
      </c>
    </row>
    <row r="42" spans="1:29">
      <c r="A42" t="str">
        <f t="shared" si="0"/>
        <v>SSTed Webster21</v>
      </c>
      <c r="B42">
        <v>8186</v>
      </c>
      <c r="C42">
        <v>57</v>
      </c>
      <c r="D42" t="s">
        <v>495</v>
      </c>
      <c r="E42" t="s">
        <v>1722</v>
      </c>
      <c r="F42">
        <v>0</v>
      </c>
      <c r="G42" s="10">
        <v>35302</v>
      </c>
      <c r="H42">
        <v>21</v>
      </c>
      <c r="I42" t="s">
        <v>2074</v>
      </c>
      <c r="J42" t="s">
        <v>1824</v>
      </c>
      <c r="K42">
        <v>8</v>
      </c>
      <c r="L42">
        <v>8</v>
      </c>
      <c r="M42">
        <v>5</v>
      </c>
      <c r="N42">
        <v>6</v>
      </c>
      <c r="O42">
        <v>6</v>
      </c>
      <c r="P42">
        <v>8</v>
      </c>
      <c r="Q42">
        <v>9</v>
      </c>
      <c r="R42">
        <v>7</v>
      </c>
      <c r="S42" t="s">
        <v>2027</v>
      </c>
      <c r="T42" t="s">
        <v>2027</v>
      </c>
      <c r="U42">
        <v>8</v>
      </c>
      <c r="V42" t="s">
        <v>2027</v>
      </c>
      <c r="W42">
        <v>5</v>
      </c>
      <c r="X42" t="s">
        <v>2027</v>
      </c>
      <c r="Y42" t="s">
        <v>2027</v>
      </c>
      <c r="Z42" t="s">
        <v>2027</v>
      </c>
      <c r="AA42">
        <v>1</v>
      </c>
      <c r="AB42">
        <v>8</v>
      </c>
      <c r="AC42">
        <v>3</v>
      </c>
    </row>
    <row r="43" spans="1:29">
      <c r="A43" t="str">
        <f t="shared" si="0"/>
        <v>C-Ted Maxwell21</v>
      </c>
      <c r="B43">
        <v>9278</v>
      </c>
      <c r="C43">
        <v>31</v>
      </c>
      <c r="D43" t="s">
        <v>495</v>
      </c>
      <c r="E43" t="s">
        <v>1751</v>
      </c>
      <c r="F43">
        <v>0</v>
      </c>
      <c r="G43" s="10">
        <v>35258</v>
      </c>
      <c r="H43">
        <v>21</v>
      </c>
      <c r="I43" t="s">
        <v>2091</v>
      </c>
      <c r="J43" t="s">
        <v>1824</v>
      </c>
      <c r="K43">
        <v>8</v>
      </c>
      <c r="L43">
        <v>5</v>
      </c>
      <c r="M43">
        <v>2</v>
      </c>
      <c r="N43">
        <v>5</v>
      </c>
      <c r="O43">
        <v>5</v>
      </c>
      <c r="P43">
        <v>1</v>
      </c>
      <c r="Q43">
        <v>3</v>
      </c>
      <c r="R43">
        <v>1</v>
      </c>
      <c r="S43">
        <v>3</v>
      </c>
      <c r="T43">
        <v>3</v>
      </c>
      <c r="U43" t="s">
        <v>2027</v>
      </c>
      <c r="V43" t="s">
        <v>2027</v>
      </c>
      <c r="W43" t="s">
        <v>2027</v>
      </c>
      <c r="X43" t="s">
        <v>2027</v>
      </c>
      <c r="Y43" t="s">
        <v>2027</v>
      </c>
      <c r="Z43" t="s">
        <v>2027</v>
      </c>
      <c r="AA43">
        <v>4</v>
      </c>
      <c r="AB43">
        <v>6</v>
      </c>
      <c r="AC43">
        <v>3</v>
      </c>
    </row>
    <row r="44" spans="1:29">
      <c r="A44" t="str">
        <f t="shared" si="0"/>
        <v>RFReggie Myers21</v>
      </c>
      <c r="B44">
        <v>7364</v>
      </c>
      <c r="C44">
        <v>4</v>
      </c>
      <c r="D44" t="s">
        <v>498</v>
      </c>
      <c r="E44" t="s">
        <v>499</v>
      </c>
      <c r="F44">
        <v>0</v>
      </c>
      <c r="G44" s="10">
        <v>35507</v>
      </c>
      <c r="H44">
        <v>21</v>
      </c>
      <c r="I44" t="s">
        <v>2057</v>
      </c>
      <c r="J44" t="s">
        <v>1824</v>
      </c>
      <c r="K44">
        <v>8</v>
      </c>
      <c r="L44">
        <v>6</v>
      </c>
      <c r="M44">
        <v>1</v>
      </c>
      <c r="N44">
        <v>8</v>
      </c>
      <c r="O44">
        <v>9</v>
      </c>
      <c r="P44">
        <v>5</v>
      </c>
      <c r="Q44">
        <v>10</v>
      </c>
      <c r="R44">
        <v>7</v>
      </c>
      <c r="S44" t="s">
        <v>2027</v>
      </c>
      <c r="T44" t="s">
        <v>2027</v>
      </c>
      <c r="U44" t="s">
        <v>2027</v>
      </c>
      <c r="V44" t="s">
        <v>2027</v>
      </c>
      <c r="W44" t="s">
        <v>2027</v>
      </c>
      <c r="X44">
        <v>2</v>
      </c>
      <c r="Y44">
        <v>4</v>
      </c>
      <c r="Z44">
        <v>5</v>
      </c>
      <c r="AA44">
        <v>1</v>
      </c>
      <c r="AB44">
        <v>1</v>
      </c>
      <c r="AC44">
        <v>7</v>
      </c>
    </row>
    <row r="45" spans="1:29">
      <c r="A45" t="str">
        <f t="shared" si="0"/>
        <v>C-Germ·n Hern·ndez21</v>
      </c>
      <c r="B45">
        <v>8942</v>
      </c>
      <c r="C45">
        <v>7</v>
      </c>
      <c r="D45" t="s">
        <v>121</v>
      </c>
      <c r="E45" t="s">
        <v>122</v>
      </c>
      <c r="F45">
        <v>0</v>
      </c>
      <c r="G45" s="10">
        <v>35376</v>
      </c>
      <c r="H45">
        <v>21</v>
      </c>
      <c r="I45" t="s">
        <v>2091</v>
      </c>
      <c r="J45" t="s">
        <v>1824</v>
      </c>
      <c r="K45">
        <v>7</v>
      </c>
      <c r="L45">
        <v>6</v>
      </c>
      <c r="M45">
        <v>10</v>
      </c>
      <c r="N45">
        <v>7</v>
      </c>
      <c r="O45">
        <v>5</v>
      </c>
      <c r="P45">
        <v>3</v>
      </c>
      <c r="Q45">
        <v>7</v>
      </c>
      <c r="R45">
        <v>4</v>
      </c>
      <c r="S45">
        <v>6</v>
      </c>
      <c r="T45" t="s">
        <v>2027</v>
      </c>
      <c r="U45" t="s">
        <v>2027</v>
      </c>
      <c r="V45" t="s">
        <v>2027</v>
      </c>
      <c r="W45" t="s">
        <v>2027</v>
      </c>
      <c r="X45" t="s">
        <v>2027</v>
      </c>
      <c r="Y45" t="s">
        <v>2027</v>
      </c>
      <c r="Z45" t="s">
        <v>2027</v>
      </c>
      <c r="AA45">
        <v>6</v>
      </c>
      <c r="AB45">
        <v>7</v>
      </c>
      <c r="AC45">
        <v>4</v>
      </c>
    </row>
    <row r="46" spans="1:29">
      <c r="A46" t="str">
        <f t="shared" si="0"/>
        <v>C-John Klinger21</v>
      </c>
      <c r="B46">
        <v>8370</v>
      </c>
      <c r="C46">
        <v>13</v>
      </c>
      <c r="D46" t="s">
        <v>1947</v>
      </c>
      <c r="E46" t="s">
        <v>500</v>
      </c>
      <c r="F46">
        <v>0</v>
      </c>
      <c r="G46" s="10">
        <v>35275</v>
      </c>
      <c r="H46">
        <v>21</v>
      </c>
      <c r="I46" t="s">
        <v>2091</v>
      </c>
      <c r="J46" t="s">
        <v>1824</v>
      </c>
      <c r="K46">
        <v>7</v>
      </c>
      <c r="L46">
        <v>9</v>
      </c>
      <c r="M46">
        <v>9</v>
      </c>
      <c r="N46">
        <v>8</v>
      </c>
      <c r="O46">
        <v>7</v>
      </c>
      <c r="P46">
        <v>3</v>
      </c>
      <c r="Q46">
        <v>6</v>
      </c>
      <c r="R46">
        <v>4</v>
      </c>
      <c r="S46">
        <v>4</v>
      </c>
      <c r="T46" t="s">
        <v>2027</v>
      </c>
      <c r="U46" t="s">
        <v>2027</v>
      </c>
      <c r="V46" t="s">
        <v>2027</v>
      </c>
      <c r="W46" t="s">
        <v>2027</v>
      </c>
      <c r="X46" t="s">
        <v>2027</v>
      </c>
      <c r="Y46" t="s">
        <v>2027</v>
      </c>
      <c r="Z46" t="s">
        <v>2027</v>
      </c>
      <c r="AA46">
        <v>5</v>
      </c>
      <c r="AB46">
        <v>8</v>
      </c>
      <c r="AC46">
        <v>4</v>
      </c>
    </row>
    <row r="47" spans="1:29">
      <c r="A47" t="str">
        <f t="shared" si="0"/>
        <v>2BJohn Moss21</v>
      </c>
      <c r="B47">
        <v>2824</v>
      </c>
      <c r="C47">
        <v>220</v>
      </c>
      <c r="D47" t="s">
        <v>1947</v>
      </c>
      <c r="E47" t="s">
        <v>511</v>
      </c>
      <c r="F47">
        <v>0</v>
      </c>
      <c r="G47" s="10">
        <v>35449</v>
      </c>
      <c r="H47">
        <v>21</v>
      </c>
      <c r="I47" t="s">
        <v>2069</v>
      </c>
      <c r="J47" t="s">
        <v>2021</v>
      </c>
      <c r="K47">
        <v>7</v>
      </c>
      <c r="L47">
        <v>7</v>
      </c>
      <c r="M47">
        <v>8</v>
      </c>
      <c r="N47">
        <v>3</v>
      </c>
      <c r="O47">
        <v>3</v>
      </c>
      <c r="P47">
        <v>10</v>
      </c>
      <c r="Q47">
        <v>10</v>
      </c>
      <c r="R47">
        <v>7</v>
      </c>
      <c r="S47" t="s">
        <v>2027</v>
      </c>
      <c r="T47" t="s">
        <v>2027</v>
      </c>
      <c r="U47">
        <v>3</v>
      </c>
      <c r="V47" t="s">
        <v>2027</v>
      </c>
      <c r="W47" t="s">
        <v>2027</v>
      </c>
      <c r="X47">
        <v>8</v>
      </c>
      <c r="Y47">
        <v>6</v>
      </c>
      <c r="Z47">
        <v>6</v>
      </c>
      <c r="AA47">
        <v>6</v>
      </c>
      <c r="AB47">
        <v>7</v>
      </c>
      <c r="AC47">
        <v>4</v>
      </c>
    </row>
    <row r="48" spans="1:29">
      <c r="A48" t="str">
        <f t="shared" si="0"/>
        <v>SSRoyce Raines21</v>
      </c>
      <c r="B48">
        <v>3888</v>
      </c>
      <c r="C48">
        <v>1</v>
      </c>
      <c r="D48" t="s">
        <v>468</v>
      </c>
      <c r="E48" t="s">
        <v>469</v>
      </c>
      <c r="F48">
        <v>0</v>
      </c>
      <c r="G48" s="10">
        <v>35228</v>
      </c>
      <c r="H48">
        <v>21</v>
      </c>
      <c r="I48" t="s">
        <v>2074</v>
      </c>
      <c r="J48" t="s">
        <v>1824</v>
      </c>
      <c r="K48">
        <v>7</v>
      </c>
      <c r="L48">
        <v>10</v>
      </c>
      <c r="M48">
        <v>7</v>
      </c>
      <c r="N48">
        <v>9</v>
      </c>
      <c r="O48">
        <v>10</v>
      </c>
      <c r="P48">
        <v>8</v>
      </c>
      <c r="Q48">
        <v>9</v>
      </c>
      <c r="R48">
        <v>10</v>
      </c>
      <c r="S48" t="s">
        <v>2027</v>
      </c>
      <c r="T48" t="s">
        <v>2027</v>
      </c>
      <c r="U48">
        <v>7</v>
      </c>
      <c r="V48" t="s">
        <v>2027</v>
      </c>
      <c r="W48">
        <v>10</v>
      </c>
      <c r="X48" t="s">
        <v>2027</v>
      </c>
      <c r="Y48" t="s">
        <v>2027</v>
      </c>
      <c r="Z48" t="s">
        <v>2027</v>
      </c>
      <c r="AA48">
        <v>1</v>
      </c>
      <c r="AB48">
        <v>7</v>
      </c>
      <c r="AC48">
        <v>1</v>
      </c>
    </row>
    <row r="49" spans="1:29">
      <c r="A49" t="str">
        <f t="shared" si="0"/>
        <v>CFFranÁois LÈveillÈe21</v>
      </c>
      <c r="B49">
        <v>4056</v>
      </c>
      <c r="C49">
        <v>9</v>
      </c>
      <c r="D49" t="s">
        <v>123</v>
      </c>
      <c r="E49" t="s">
        <v>124</v>
      </c>
      <c r="F49">
        <v>0</v>
      </c>
      <c r="G49" s="10">
        <v>35579</v>
      </c>
      <c r="H49">
        <v>21</v>
      </c>
      <c r="I49" t="s">
        <v>2079</v>
      </c>
      <c r="J49" t="s">
        <v>1824</v>
      </c>
      <c r="K49">
        <v>7</v>
      </c>
      <c r="L49">
        <v>8</v>
      </c>
      <c r="M49">
        <v>7</v>
      </c>
      <c r="N49">
        <v>8</v>
      </c>
      <c r="O49">
        <v>10</v>
      </c>
      <c r="P49">
        <v>9</v>
      </c>
      <c r="Q49">
        <v>8</v>
      </c>
      <c r="R49">
        <v>8</v>
      </c>
      <c r="S49" t="s">
        <v>2027</v>
      </c>
      <c r="T49" t="s">
        <v>2027</v>
      </c>
      <c r="U49" t="s">
        <v>2027</v>
      </c>
      <c r="V49" t="s">
        <v>2027</v>
      </c>
      <c r="W49" t="s">
        <v>2027</v>
      </c>
      <c r="X49">
        <v>8</v>
      </c>
      <c r="Y49">
        <v>3</v>
      </c>
      <c r="Z49">
        <v>5</v>
      </c>
      <c r="AA49">
        <v>5</v>
      </c>
      <c r="AB49">
        <v>1</v>
      </c>
      <c r="AC49">
        <v>10</v>
      </c>
    </row>
    <row r="50" spans="1:29">
      <c r="A50" t="str">
        <f t="shared" si="0"/>
        <v>2BLorenzo Peret21</v>
      </c>
      <c r="B50">
        <v>3389</v>
      </c>
      <c r="C50">
        <v>26</v>
      </c>
      <c r="D50" t="s">
        <v>1950</v>
      </c>
      <c r="E50" t="s">
        <v>547</v>
      </c>
      <c r="F50">
        <v>0</v>
      </c>
      <c r="G50" s="10">
        <v>35396</v>
      </c>
      <c r="H50">
        <v>21</v>
      </c>
      <c r="I50" t="s">
        <v>2069</v>
      </c>
      <c r="J50" t="s">
        <v>1824</v>
      </c>
      <c r="K50">
        <v>7</v>
      </c>
      <c r="L50">
        <v>7</v>
      </c>
      <c r="M50">
        <v>7</v>
      </c>
      <c r="N50">
        <v>7</v>
      </c>
      <c r="O50">
        <v>4</v>
      </c>
      <c r="P50">
        <v>9</v>
      </c>
      <c r="Q50">
        <v>7</v>
      </c>
      <c r="R50">
        <v>8</v>
      </c>
      <c r="S50" t="s">
        <v>2027</v>
      </c>
      <c r="T50" t="s">
        <v>2027</v>
      </c>
      <c r="U50">
        <v>7</v>
      </c>
      <c r="V50" t="s">
        <v>2027</v>
      </c>
      <c r="W50" t="s">
        <v>2027</v>
      </c>
      <c r="X50" t="s">
        <v>2027</v>
      </c>
      <c r="Y50" t="s">
        <v>2027</v>
      </c>
      <c r="Z50" t="s">
        <v>2027</v>
      </c>
      <c r="AA50">
        <v>6</v>
      </c>
      <c r="AB50">
        <v>5</v>
      </c>
      <c r="AC50">
        <v>2</v>
      </c>
    </row>
    <row r="51" spans="1:29">
      <c r="A51" t="str">
        <f t="shared" si="0"/>
        <v>1BMike Kennedy20</v>
      </c>
      <c r="B51">
        <v>6843</v>
      </c>
      <c r="C51">
        <v>98</v>
      </c>
      <c r="D51" t="s">
        <v>1863</v>
      </c>
      <c r="E51" t="s">
        <v>1868</v>
      </c>
      <c r="F51">
        <v>0</v>
      </c>
      <c r="G51" s="10">
        <v>35585</v>
      </c>
      <c r="H51">
        <v>20</v>
      </c>
      <c r="I51" t="s">
        <v>2092</v>
      </c>
      <c r="J51" t="s">
        <v>1824</v>
      </c>
      <c r="K51">
        <v>7</v>
      </c>
      <c r="L51">
        <v>8</v>
      </c>
      <c r="M51">
        <v>7</v>
      </c>
      <c r="N51">
        <v>5</v>
      </c>
      <c r="O51">
        <v>6</v>
      </c>
      <c r="P51">
        <v>3</v>
      </c>
      <c r="Q51">
        <v>6</v>
      </c>
      <c r="R51">
        <v>6</v>
      </c>
      <c r="S51" t="s">
        <v>2027</v>
      </c>
      <c r="T51">
        <v>6</v>
      </c>
      <c r="U51" t="s">
        <v>2027</v>
      </c>
      <c r="V51" t="s">
        <v>2027</v>
      </c>
      <c r="W51" t="s">
        <v>2027</v>
      </c>
      <c r="X51" t="s">
        <v>2027</v>
      </c>
      <c r="Y51" t="s">
        <v>2027</v>
      </c>
      <c r="Z51" t="s">
        <v>2027</v>
      </c>
      <c r="AA51">
        <v>2</v>
      </c>
      <c r="AB51">
        <v>6</v>
      </c>
      <c r="AC51">
        <v>4</v>
      </c>
    </row>
    <row r="52" spans="1:29">
      <c r="A52" t="str">
        <f t="shared" si="0"/>
        <v>3BPyeong-chu Kim21</v>
      </c>
      <c r="B52">
        <v>4397</v>
      </c>
      <c r="C52">
        <v>86</v>
      </c>
      <c r="D52" t="s">
        <v>546</v>
      </c>
      <c r="E52" t="s">
        <v>1726</v>
      </c>
      <c r="F52">
        <v>0</v>
      </c>
      <c r="G52" s="10">
        <v>35483</v>
      </c>
      <c r="H52">
        <v>21</v>
      </c>
      <c r="I52" t="s">
        <v>2061</v>
      </c>
      <c r="J52" t="s">
        <v>1824</v>
      </c>
      <c r="K52">
        <v>7</v>
      </c>
      <c r="L52">
        <v>4</v>
      </c>
      <c r="M52">
        <v>7</v>
      </c>
      <c r="N52">
        <v>5</v>
      </c>
      <c r="O52">
        <v>4</v>
      </c>
      <c r="P52">
        <v>10</v>
      </c>
      <c r="Q52">
        <v>6</v>
      </c>
      <c r="R52">
        <v>7</v>
      </c>
      <c r="S52" t="s">
        <v>2027</v>
      </c>
      <c r="T52">
        <v>3</v>
      </c>
      <c r="U52" t="s">
        <v>2027</v>
      </c>
      <c r="V52">
        <v>7</v>
      </c>
      <c r="W52" t="s">
        <v>2027</v>
      </c>
      <c r="X52" t="s">
        <v>2027</v>
      </c>
      <c r="Y52" t="s">
        <v>2027</v>
      </c>
      <c r="Z52" t="s">
        <v>2027</v>
      </c>
      <c r="AA52">
        <v>5</v>
      </c>
      <c r="AB52">
        <v>5</v>
      </c>
      <c r="AC52">
        <v>2</v>
      </c>
    </row>
    <row r="53" spans="1:29">
      <c r="A53" t="str">
        <f t="shared" si="0"/>
        <v>RFCarlos Robinson21</v>
      </c>
      <c r="B53">
        <v>2639</v>
      </c>
      <c r="C53">
        <v>97</v>
      </c>
      <c r="D53" t="s">
        <v>1974</v>
      </c>
      <c r="E53" t="s">
        <v>1718</v>
      </c>
      <c r="F53">
        <v>0</v>
      </c>
      <c r="G53" s="10">
        <v>35311</v>
      </c>
      <c r="H53">
        <v>21</v>
      </c>
      <c r="I53" t="s">
        <v>2057</v>
      </c>
      <c r="J53" t="s">
        <v>1824</v>
      </c>
      <c r="K53">
        <v>7</v>
      </c>
      <c r="L53">
        <v>7</v>
      </c>
      <c r="M53">
        <v>7</v>
      </c>
      <c r="N53">
        <v>5</v>
      </c>
      <c r="O53">
        <v>6</v>
      </c>
      <c r="P53">
        <v>4</v>
      </c>
      <c r="Q53">
        <v>8</v>
      </c>
      <c r="R53">
        <v>5</v>
      </c>
      <c r="S53" t="s">
        <v>2027</v>
      </c>
      <c r="T53">
        <v>4</v>
      </c>
      <c r="U53" t="s">
        <v>2027</v>
      </c>
      <c r="V53" t="s">
        <v>2027</v>
      </c>
      <c r="W53" t="s">
        <v>2027</v>
      </c>
      <c r="X53">
        <v>4</v>
      </c>
      <c r="Y53">
        <v>4</v>
      </c>
      <c r="Z53">
        <v>5</v>
      </c>
      <c r="AA53">
        <v>1</v>
      </c>
      <c r="AB53">
        <v>4</v>
      </c>
      <c r="AC53">
        <v>8</v>
      </c>
    </row>
    <row r="54" spans="1:29">
      <c r="A54" t="str">
        <f t="shared" si="0"/>
        <v>RFJuan PÈrez21</v>
      </c>
      <c r="B54">
        <v>2811</v>
      </c>
      <c r="C54">
        <v>53</v>
      </c>
      <c r="D54" t="s">
        <v>1835</v>
      </c>
      <c r="E54" t="s">
        <v>125</v>
      </c>
      <c r="F54">
        <v>0</v>
      </c>
      <c r="G54" s="10">
        <v>35487</v>
      </c>
      <c r="H54">
        <v>21</v>
      </c>
      <c r="I54" t="s">
        <v>2057</v>
      </c>
      <c r="J54" t="s">
        <v>1824</v>
      </c>
      <c r="K54">
        <v>7</v>
      </c>
      <c r="L54">
        <v>5</v>
      </c>
      <c r="M54">
        <v>7</v>
      </c>
      <c r="N54">
        <v>3</v>
      </c>
      <c r="O54">
        <v>3</v>
      </c>
      <c r="P54">
        <v>8</v>
      </c>
      <c r="Q54">
        <v>9</v>
      </c>
      <c r="R54">
        <v>6</v>
      </c>
      <c r="S54" t="s">
        <v>2027</v>
      </c>
      <c r="T54">
        <v>4</v>
      </c>
      <c r="U54" t="s">
        <v>2027</v>
      </c>
      <c r="V54" t="s">
        <v>2027</v>
      </c>
      <c r="W54" t="s">
        <v>2027</v>
      </c>
      <c r="X54">
        <v>6</v>
      </c>
      <c r="Y54">
        <v>4</v>
      </c>
      <c r="Z54">
        <v>5</v>
      </c>
      <c r="AA54">
        <v>5</v>
      </c>
      <c r="AB54">
        <v>6</v>
      </c>
      <c r="AC54">
        <v>3</v>
      </c>
    </row>
    <row r="55" spans="1:29">
      <c r="A55" t="str">
        <f t="shared" si="0"/>
        <v>3BArthur Miller18</v>
      </c>
      <c r="B55">
        <v>738</v>
      </c>
      <c r="C55">
        <v>292</v>
      </c>
      <c r="D55" t="s">
        <v>1749</v>
      </c>
      <c r="E55" t="s">
        <v>1892</v>
      </c>
      <c r="F55">
        <v>0</v>
      </c>
      <c r="G55" s="10">
        <v>36656</v>
      </c>
      <c r="H55">
        <v>18</v>
      </c>
      <c r="I55" t="s">
        <v>2061</v>
      </c>
      <c r="J55" t="s">
        <v>1824</v>
      </c>
      <c r="K55">
        <v>7</v>
      </c>
      <c r="L55">
        <v>6</v>
      </c>
      <c r="M55">
        <v>7</v>
      </c>
      <c r="N55">
        <v>2</v>
      </c>
      <c r="O55">
        <v>5</v>
      </c>
      <c r="P55">
        <v>4</v>
      </c>
      <c r="Q55">
        <v>8</v>
      </c>
      <c r="R55">
        <v>3</v>
      </c>
      <c r="S55" t="s">
        <v>2027</v>
      </c>
      <c r="T55">
        <v>7</v>
      </c>
      <c r="U55">
        <v>1</v>
      </c>
      <c r="V55">
        <v>3</v>
      </c>
      <c r="W55">
        <v>2</v>
      </c>
      <c r="X55">
        <v>2</v>
      </c>
      <c r="Y55">
        <v>5</v>
      </c>
      <c r="Z55">
        <v>1</v>
      </c>
      <c r="AA55">
        <v>1</v>
      </c>
      <c r="AB55">
        <v>10</v>
      </c>
      <c r="AC55">
        <v>8</v>
      </c>
    </row>
    <row r="56" spans="1:29">
      <c r="A56" t="str">
        <f t="shared" si="0"/>
        <v>2BBill Gibbs21</v>
      </c>
      <c r="B56">
        <v>9049</v>
      </c>
      <c r="C56">
        <v>3</v>
      </c>
      <c r="D56" t="s">
        <v>1869</v>
      </c>
      <c r="E56" t="s">
        <v>1769</v>
      </c>
      <c r="F56">
        <v>0</v>
      </c>
      <c r="G56" s="10">
        <v>35534</v>
      </c>
      <c r="H56">
        <v>21</v>
      </c>
      <c r="I56" t="s">
        <v>2069</v>
      </c>
      <c r="J56" t="s">
        <v>1824</v>
      </c>
      <c r="K56">
        <v>7</v>
      </c>
      <c r="L56">
        <v>7</v>
      </c>
      <c r="M56">
        <v>6</v>
      </c>
      <c r="N56">
        <v>10</v>
      </c>
      <c r="O56">
        <v>10</v>
      </c>
      <c r="P56">
        <v>4</v>
      </c>
      <c r="Q56">
        <v>7</v>
      </c>
      <c r="R56">
        <v>8</v>
      </c>
      <c r="S56" t="s">
        <v>2027</v>
      </c>
      <c r="T56">
        <v>5</v>
      </c>
      <c r="U56">
        <v>6</v>
      </c>
      <c r="V56" t="s">
        <v>2027</v>
      </c>
      <c r="W56" t="s">
        <v>2027</v>
      </c>
      <c r="X56">
        <v>1</v>
      </c>
      <c r="Y56" t="s">
        <v>2027</v>
      </c>
      <c r="Z56" t="s">
        <v>2027</v>
      </c>
      <c r="AA56">
        <v>1</v>
      </c>
      <c r="AB56">
        <v>3</v>
      </c>
      <c r="AC56">
        <v>2</v>
      </c>
    </row>
    <row r="57" spans="1:29">
      <c r="A57" t="str">
        <f t="shared" si="0"/>
        <v>LFGabriel MartÌnez21</v>
      </c>
      <c r="B57">
        <v>6910</v>
      </c>
      <c r="C57">
        <v>12</v>
      </c>
      <c r="D57" t="s">
        <v>1727</v>
      </c>
      <c r="E57" t="s">
        <v>115</v>
      </c>
      <c r="F57">
        <v>0</v>
      </c>
      <c r="G57" s="10">
        <v>35481</v>
      </c>
      <c r="H57">
        <v>21</v>
      </c>
      <c r="I57" t="s">
        <v>2035</v>
      </c>
      <c r="J57" t="s">
        <v>1824</v>
      </c>
      <c r="K57">
        <v>7</v>
      </c>
      <c r="L57">
        <v>6</v>
      </c>
      <c r="M57">
        <v>6</v>
      </c>
      <c r="N57">
        <v>8</v>
      </c>
      <c r="O57">
        <v>9</v>
      </c>
      <c r="P57">
        <v>4</v>
      </c>
      <c r="Q57">
        <v>5</v>
      </c>
      <c r="R57">
        <v>6</v>
      </c>
      <c r="S57" t="s">
        <v>2027</v>
      </c>
      <c r="T57" t="s">
        <v>2027</v>
      </c>
      <c r="U57" t="s">
        <v>2027</v>
      </c>
      <c r="V57" t="s">
        <v>2027</v>
      </c>
      <c r="W57" t="s">
        <v>2027</v>
      </c>
      <c r="X57">
        <v>6</v>
      </c>
      <c r="Y57" t="s">
        <v>2027</v>
      </c>
      <c r="Z57">
        <v>3</v>
      </c>
      <c r="AA57">
        <v>1</v>
      </c>
      <c r="AB57">
        <v>1</v>
      </c>
      <c r="AC57">
        <v>8</v>
      </c>
    </row>
    <row r="58" spans="1:29">
      <c r="A58" t="str">
        <f t="shared" si="0"/>
        <v>C-Adam Hutchinson21</v>
      </c>
      <c r="B58">
        <v>5871</v>
      </c>
      <c r="C58">
        <v>93</v>
      </c>
      <c r="D58" t="s">
        <v>332</v>
      </c>
      <c r="E58" t="s">
        <v>333</v>
      </c>
      <c r="F58">
        <v>0</v>
      </c>
      <c r="G58" s="10">
        <v>35376</v>
      </c>
      <c r="H58">
        <v>21</v>
      </c>
      <c r="I58" t="s">
        <v>2091</v>
      </c>
      <c r="J58" t="s">
        <v>1824</v>
      </c>
      <c r="K58">
        <v>7</v>
      </c>
      <c r="L58">
        <v>4</v>
      </c>
      <c r="M58">
        <v>6</v>
      </c>
      <c r="N58">
        <v>6</v>
      </c>
      <c r="O58">
        <v>6</v>
      </c>
      <c r="P58">
        <v>6</v>
      </c>
      <c r="Q58">
        <v>3</v>
      </c>
      <c r="R58">
        <v>2</v>
      </c>
      <c r="S58">
        <v>8</v>
      </c>
      <c r="T58" t="s">
        <v>2027</v>
      </c>
      <c r="U58" t="s">
        <v>2027</v>
      </c>
      <c r="V58" t="s">
        <v>2027</v>
      </c>
      <c r="W58" t="s">
        <v>2027</v>
      </c>
      <c r="X58" t="s">
        <v>2027</v>
      </c>
      <c r="Y58" t="s">
        <v>2027</v>
      </c>
      <c r="Z58" t="s">
        <v>2027</v>
      </c>
      <c r="AA58">
        <v>9</v>
      </c>
      <c r="AB58">
        <v>7</v>
      </c>
      <c r="AC58">
        <v>6</v>
      </c>
    </row>
    <row r="59" spans="1:29">
      <c r="A59" t="str">
        <f t="shared" si="0"/>
        <v>C-Lewis Jones21</v>
      </c>
      <c r="B59">
        <v>3789</v>
      </c>
      <c r="C59">
        <v>153</v>
      </c>
      <c r="D59" t="s">
        <v>1677</v>
      </c>
      <c r="E59" t="s">
        <v>1680</v>
      </c>
      <c r="F59">
        <v>0</v>
      </c>
      <c r="G59" s="10">
        <v>35534</v>
      </c>
      <c r="H59">
        <v>21</v>
      </c>
      <c r="I59" t="s">
        <v>2091</v>
      </c>
      <c r="J59" t="s">
        <v>1824</v>
      </c>
      <c r="K59">
        <v>7</v>
      </c>
      <c r="L59">
        <v>5</v>
      </c>
      <c r="M59">
        <v>6</v>
      </c>
      <c r="N59">
        <v>6</v>
      </c>
      <c r="O59">
        <v>6</v>
      </c>
      <c r="P59">
        <v>2</v>
      </c>
      <c r="Q59">
        <v>4</v>
      </c>
      <c r="R59">
        <v>1</v>
      </c>
      <c r="S59">
        <v>5</v>
      </c>
      <c r="T59">
        <v>4</v>
      </c>
      <c r="U59" t="s">
        <v>2027</v>
      </c>
      <c r="V59" t="s">
        <v>2027</v>
      </c>
      <c r="W59" t="s">
        <v>2027</v>
      </c>
      <c r="X59" t="s">
        <v>2027</v>
      </c>
      <c r="Y59" t="s">
        <v>2027</v>
      </c>
      <c r="Z59" t="s">
        <v>2027</v>
      </c>
      <c r="AA59">
        <v>6</v>
      </c>
      <c r="AB59">
        <v>7</v>
      </c>
      <c r="AC59">
        <v>3</v>
      </c>
    </row>
    <row r="60" spans="1:29">
      <c r="A60" t="str">
        <f t="shared" si="0"/>
        <v>CFJorge RodrÌguez21</v>
      </c>
      <c r="B60">
        <v>12594</v>
      </c>
      <c r="C60">
        <v>100</v>
      </c>
      <c r="D60" t="s">
        <v>1832</v>
      </c>
      <c r="E60" t="s">
        <v>117</v>
      </c>
      <c r="F60">
        <v>0</v>
      </c>
      <c r="G60" s="10">
        <v>35378</v>
      </c>
      <c r="H60">
        <v>21</v>
      </c>
      <c r="I60" t="s">
        <v>2079</v>
      </c>
      <c r="J60" t="s">
        <v>1824</v>
      </c>
      <c r="K60">
        <v>7</v>
      </c>
      <c r="L60">
        <v>9</v>
      </c>
      <c r="M60">
        <v>6</v>
      </c>
      <c r="N60">
        <v>6</v>
      </c>
      <c r="O60">
        <v>3</v>
      </c>
      <c r="P60">
        <v>5</v>
      </c>
      <c r="Q60">
        <v>6</v>
      </c>
      <c r="R60">
        <v>6</v>
      </c>
      <c r="S60" t="s">
        <v>2027</v>
      </c>
      <c r="T60" t="s">
        <v>2027</v>
      </c>
      <c r="U60" t="s">
        <v>2027</v>
      </c>
      <c r="V60" t="s">
        <v>2027</v>
      </c>
      <c r="W60" t="s">
        <v>2027</v>
      </c>
      <c r="X60">
        <v>1</v>
      </c>
      <c r="Y60">
        <v>6</v>
      </c>
      <c r="Z60">
        <v>6</v>
      </c>
      <c r="AA60">
        <v>1</v>
      </c>
      <c r="AB60">
        <v>5</v>
      </c>
      <c r="AC60">
        <v>4</v>
      </c>
    </row>
    <row r="61" spans="1:29">
      <c r="A61" t="str">
        <f t="shared" si="0"/>
        <v>3BRon Tucker21</v>
      </c>
      <c r="B61">
        <v>2370</v>
      </c>
      <c r="C61">
        <v>132</v>
      </c>
      <c r="D61" t="s">
        <v>1857</v>
      </c>
      <c r="E61" t="s">
        <v>512</v>
      </c>
      <c r="F61">
        <v>0</v>
      </c>
      <c r="G61" s="10">
        <v>35284</v>
      </c>
      <c r="H61">
        <v>21</v>
      </c>
      <c r="I61" t="s">
        <v>2061</v>
      </c>
      <c r="J61" t="s">
        <v>1824</v>
      </c>
      <c r="K61">
        <v>7</v>
      </c>
      <c r="L61">
        <v>3</v>
      </c>
      <c r="M61">
        <v>6</v>
      </c>
      <c r="N61">
        <v>5</v>
      </c>
      <c r="O61">
        <v>5</v>
      </c>
      <c r="P61">
        <v>8</v>
      </c>
      <c r="Q61">
        <v>7</v>
      </c>
      <c r="R61">
        <v>7</v>
      </c>
      <c r="S61" t="s">
        <v>2027</v>
      </c>
      <c r="T61">
        <v>7</v>
      </c>
      <c r="U61">
        <v>5</v>
      </c>
      <c r="V61">
        <v>8</v>
      </c>
      <c r="W61">
        <v>2</v>
      </c>
      <c r="X61" t="s">
        <v>2027</v>
      </c>
      <c r="Y61" t="s">
        <v>2027</v>
      </c>
      <c r="Z61" t="s">
        <v>2027</v>
      </c>
      <c r="AA61">
        <v>5</v>
      </c>
      <c r="AB61">
        <v>4</v>
      </c>
      <c r="AC61">
        <v>2</v>
      </c>
    </row>
    <row r="62" spans="1:29">
      <c r="A62" t="str">
        <f t="shared" si="0"/>
        <v>C-Martin Spencer21</v>
      </c>
      <c r="B62">
        <v>4365</v>
      </c>
      <c r="C62">
        <v>182</v>
      </c>
      <c r="D62" t="s">
        <v>1976</v>
      </c>
      <c r="E62" t="s">
        <v>1678</v>
      </c>
      <c r="F62">
        <v>0</v>
      </c>
      <c r="G62" s="10">
        <v>35269</v>
      </c>
      <c r="H62">
        <v>21</v>
      </c>
      <c r="I62" t="s">
        <v>2091</v>
      </c>
      <c r="J62" t="s">
        <v>1824</v>
      </c>
      <c r="K62">
        <v>7</v>
      </c>
      <c r="L62">
        <v>5</v>
      </c>
      <c r="M62">
        <v>6</v>
      </c>
      <c r="N62">
        <v>4</v>
      </c>
      <c r="O62">
        <v>4</v>
      </c>
      <c r="P62">
        <v>5</v>
      </c>
      <c r="Q62">
        <v>8</v>
      </c>
      <c r="R62">
        <v>3</v>
      </c>
      <c r="S62">
        <v>9</v>
      </c>
      <c r="T62" t="s">
        <v>2027</v>
      </c>
      <c r="U62" t="s">
        <v>2027</v>
      </c>
      <c r="V62" t="s">
        <v>2027</v>
      </c>
      <c r="W62" t="s">
        <v>2027</v>
      </c>
      <c r="X62" t="s">
        <v>2027</v>
      </c>
      <c r="Y62" t="s">
        <v>2027</v>
      </c>
      <c r="Z62" t="s">
        <v>2027</v>
      </c>
      <c r="AA62">
        <v>10</v>
      </c>
      <c r="AB62">
        <v>7</v>
      </c>
      <c r="AC62">
        <v>4</v>
      </c>
    </row>
    <row r="63" spans="1:29">
      <c r="A63" t="str">
        <f t="shared" si="0"/>
        <v>C-Miguel Garza21</v>
      </c>
      <c r="B63">
        <v>7418</v>
      </c>
      <c r="C63">
        <v>213</v>
      </c>
      <c r="D63" t="s">
        <v>1977</v>
      </c>
      <c r="E63" t="s">
        <v>1928</v>
      </c>
      <c r="F63">
        <v>0</v>
      </c>
      <c r="G63" s="10">
        <v>35242</v>
      </c>
      <c r="H63">
        <v>21</v>
      </c>
      <c r="I63" t="s">
        <v>2091</v>
      </c>
      <c r="J63" t="s">
        <v>1824</v>
      </c>
      <c r="K63">
        <v>7</v>
      </c>
      <c r="L63">
        <v>6</v>
      </c>
      <c r="M63">
        <v>6</v>
      </c>
      <c r="N63">
        <v>3</v>
      </c>
      <c r="O63">
        <v>4</v>
      </c>
      <c r="P63">
        <v>5</v>
      </c>
      <c r="Q63">
        <v>8</v>
      </c>
      <c r="R63">
        <v>6</v>
      </c>
      <c r="S63">
        <v>5</v>
      </c>
      <c r="T63" t="s">
        <v>2027</v>
      </c>
      <c r="U63" t="s">
        <v>2027</v>
      </c>
      <c r="V63" t="s">
        <v>2027</v>
      </c>
      <c r="W63" t="s">
        <v>2027</v>
      </c>
      <c r="X63" t="s">
        <v>2027</v>
      </c>
      <c r="Y63" t="s">
        <v>2027</v>
      </c>
      <c r="Z63" t="s">
        <v>2027</v>
      </c>
      <c r="AA63">
        <v>7</v>
      </c>
      <c r="AB63">
        <v>7</v>
      </c>
      <c r="AC63">
        <v>3</v>
      </c>
    </row>
    <row r="64" spans="1:29">
      <c r="A64" t="str">
        <f t="shared" si="0"/>
        <v>C-Steve Wallace18</v>
      </c>
      <c r="B64">
        <v>13783</v>
      </c>
      <c r="C64">
        <v>349</v>
      </c>
      <c r="D64" t="s">
        <v>1850</v>
      </c>
      <c r="E64" t="s">
        <v>307</v>
      </c>
      <c r="F64">
        <v>0</v>
      </c>
      <c r="G64" s="10">
        <v>36625</v>
      </c>
      <c r="H64">
        <v>18</v>
      </c>
      <c r="I64" t="s">
        <v>2091</v>
      </c>
      <c r="J64" t="s">
        <v>1824</v>
      </c>
      <c r="K64">
        <v>7</v>
      </c>
      <c r="L64">
        <v>5</v>
      </c>
      <c r="M64">
        <v>6</v>
      </c>
      <c r="N64">
        <v>3</v>
      </c>
      <c r="O64">
        <v>7</v>
      </c>
      <c r="P64">
        <v>7</v>
      </c>
      <c r="Q64">
        <v>2</v>
      </c>
      <c r="R64">
        <v>2</v>
      </c>
      <c r="S64" t="s">
        <v>2027</v>
      </c>
      <c r="T64" t="s">
        <v>2027</v>
      </c>
      <c r="U64" t="s">
        <v>2027</v>
      </c>
      <c r="V64" t="s">
        <v>2027</v>
      </c>
      <c r="W64" t="s">
        <v>2027</v>
      </c>
      <c r="X64" t="s">
        <v>2027</v>
      </c>
      <c r="Y64" t="s">
        <v>2027</v>
      </c>
      <c r="Z64" t="s">
        <v>2027</v>
      </c>
      <c r="AA64">
        <v>9</v>
      </c>
      <c r="AB64">
        <v>2</v>
      </c>
      <c r="AC64">
        <v>6</v>
      </c>
    </row>
    <row r="65" spans="1:29">
      <c r="A65" t="str">
        <f t="shared" si="0"/>
        <v>LFPaul Hughes18</v>
      </c>
      <c r="B65">
        <v>1879</v>
      </c>
      <c r="C65">
        <v>61</v>
      </c>
      <c r="D65" t="s">
        <v>1922</v>
      </c>
      <c r="E65" t="s">
        <v>1760</v>
      </c>
      <c r="F65">
        <v>0</v>
      </c>
      <c r="G65" s="10">
        <v>36577</v>
      </c>
      <c r="H65">
        <v>18</v>
      </c>
      <c r="I65" t="s">
        <v>2035</v>
      </c>
      <c r="J65" t="s">
        <v>1824</v>
      </c>
      <c r="K65">
        <v>7</v>
      </c>
      <c r="L65">
        <v>7</v>
      </c>
      <c r="M65">
        <v>6</v>
      </c>
      <c r="N65">
        <v>2</v>
      </c>
      <c r="O65">
        <v>3</v>
      </c>
      <c r="P65">
        <v>7</v>
      </c>
      <c r="Q65">
        <v>10</v>
      </c>
      <c r="R65">
        <v>4</v>
      </c>
      <c r="S65" t="s">
        <v>2027</v>
      </c>
      <c r="T65">
        <v>5</v>
      </c>
      <c r="U65" t="s">
        <v>2027</v>
      </c>
      <c r="V65" t="s">
        <v>2027</v>
      </c>
      <c r="W65" t="s">
        <v>2027</v>
      </c>
      <c r="X65">
        <v>5</v>
      </c>
      <c r="Y65">
        <v>5</v>
      </c>
      <c r="Z65">
        <v>1</v>
      </c>
      <c r="AA65">
        <v>3</v>
      </c>
      <c r="AB65">
        <v>5</v>
      </c>
      <c r="AC65">
        <v>5</v>
      </c>
    </row>
    <row r="66" spans="1:29">
      <c r="A66" t="str">
        <f t="shared" si="0"/>
        <v>SSJason McDonald21</v>
      </c>
      <c r="B66">
        <v>8387</v>
      </c>
      <c r="C66">
        <v>268</v>
      </c>
      <c r="D66" t="s">
        <v>1918</v>
      </c>
      <c r="E66" t="s">
        <v>303</v>
      </c>
      <c r="F66">
        <v>0</v>
      </c>
      <c r="G66" s="10">
        <v>35290</v>
      </c>
      <c r="H66">
        <v>21</v>
      </c>
      <c r="I66" t="s">
        <v>2074</v>
      </c>
      <c r="J66" t="s">
        <v>1824</v>
      </c>
      <c r="K66">
        <v>7</v>
      </c>
      <c r="L66">
        <v>6</v>
      </c>
      <c r="M66">
        <v>6</v>
      </c>
      <c r="N66">
        <v>2</v>
      </c>
      <c r="O66">
        <v>4</v>
      </c>
      <c r="P66">
        <v>6</v>
      </c>
      <c r="Q66">
        <v>10</v>
      </c>
      <c r="R66">
        <v>8</v>
      </c>
      <c r="S66" t="s">
        <v>2027</v>
      </c>
      <c r="T66" t="s">
        <v>2027</v>
      </c>
      <c r="U66">
        <v>7</v>
      </c>
      <c r="V66">
        <v>1</v>
      </c>
      <c r="W66">
        <v>3</v>
      </c>
      <c r="X66" t="s">
        <v>2027</v>
      </c>
      <c r="Y66" t="s">
        <v>2027</v>
      </c>
      <c r="Z66" t="s">
        <v>2027</v>
      </c>
      <c r="AA66">
        <v>1</v>
      </c>
      <c r="AB66">
        <v>8</v>
      </c>
      <c r="AC66">
        <v>1</v>
      </c>
    </row>
    <row r="67" spans="1:29">
      <c r="A67" t="str">
        <f t="shared" ref="A67:A130" si="1">IF(I67="C","C-",I67)&amp;D67&amp;" "&amp;E67&amp;H67</f>
        <v>C-Ed Jensen21</v>
      </c>
      <c r="B67">
        <v>3766</v>
      </c>
      <c r="C67">
        <v>150</v>
      </c>
      <c r="D67" t="s">
        <v>1873</v>
      </c>
      <c r="E67" t="s">
        <v>1716</v>
      </c>
      <c r="F67">
        <v>0</v>
      </c>
      <c r="G67" s="10">
        <v>35460</v>
      </c>
      <c r="H67">
        <v>21</v>
      </c>
      <c r="I67" t="s">
        <v>2091</v>
      </c>
      <c r="J67" t="s">
        <v>1824</v>
      </c>
      <c r="K67">
        <v>7</v>
      </c>
      <c r="L67">
        <v>6</v>
      </c>
      <c r="M67">
        <v>5</v>
      </c>
      <c r="N67">
        <v>7</v>
      </c>
      <c r="O67">
        <v>5</v>
      </c>
      <c r="P67">
        <v>3</v>
      </c>
      <c r="Q67">
        <v>3</v>
      </c>
      <c r="R67">
        <v>1</v>
      </c>
      <c r="S67">
        <v>3</v>
      </c>
      <c r="T67" t="s">
        <v>2027</v>
      </c>
      <c r="U67" t="s">
        <v>2027</v>
      </c>
      <c r="V67" t="s">
        <v>2027</v>
      </c>
      <c r="W67" t="s">
        <v>2027</v>
      </c>
      <c r="X67" t="s">
        <v>2027</v>
      </c>
      <c r="Y67" t="s">
        <v>2027</v>
      </c>
      <c r="Z67" t="s">
        <v>2027</v>
      </c>
      <c r="AA67">
        <v>4</v>
      </c>
      <c r="AB67">
        <v>6</v>
      </c>
      <c r="AC67">
        <v>3</v>
      </c>
    </row>
    <row r="68" spans="1:29">
      <c r="A68" t="str">
        <f t="shared" si="1"/>
        <v>CFAndrÈs Molina21</v>
      </c>
      <c r="B68">
        <v>4184</v>
      </c>
      <c r="C68">
        <v>125</v>
      </c>
      <c r="D68" t="s">
        <v>126</v>
      </c>
      <c r="E68" t="s">
        <v>541</v>
      </c>
      <c r="F68">
        <v>0</v>
      </c>
      <c r="G68" s="10">
        <v>35413</v>
      </c>
      <c r="H68">
        <v>21</v>
      </c>
      <c r="I68" t="s">
        <v>2079</v>
      </c>
      <c r="J68" t="s">
        <v>1824</v>
      </c>
      <c r="K68">
        <v>7</v>
      </c>
      <c r="L68">
        <v>6</v>
      </c>
      <c r="M68">
        <v>5</v>
      </c>
      <c r="N68">
        <v>7</v>
      </c>
      <c r="O68">
        <v>6</v>
      </c>
      <c r="P68">
        <v>7</v>
      </c>
      <c r="Q68">
        <v>10</v>
      </c>
      <c r="R68">
        <v>7</v>
      </c>
      <c r="S68" t="s">
        <v>2027</v>
      </c>
      <c r="T68" t="s">
        <v>2027</v>
      </c>
      <c r="U68" t="s">
        <v>2027</v>
      </c>
      <c r="V68" t="s">
        <v>2027</v>
      </c>
      <c r="W68" t="s">
        <v>2027</v>
      </c>
      <c r="X68">
        <v>2</v>
      </c>
      <c r="Y68">
        <v>9</v>
      </c>
      <c r="Z68">
        <v>4</v>
      </c>
      <c r="AA68">
        <v>1</v>
      </c>
      <c r="AB68">
        <v>5</v>
      </c>
      <c r="AC68">
        <v>4</v>
      </c>
    </row>
    <row r="69" spans="1:29">
      <c r="A69" t="str">
        <f t="shared" si="1"/>
        <v>CFOliver McBride21</v>
      </c>
      <c r="B69">
        <v>8929</v>
      </c>
      <c r="C69">
        <v>58</v>
      </c>
      <c r="D69" t="s">
        <v>525</v>
      </c>
      <c r="E69" t="s">
        <v>526</v>
      </c>
      <c r="F69">
        <v>0</v>
      </c>
      <c r="G69" s="10">
        <v>35476</v>
      </c>
      <c r="H69">
        <v>21</v>
      </c>
      <c r="I69" t="s">
        <v>2079</v>
      </c>
      <c r="J69" t="s">
        <v>1824</v>
      </c>
      <c r="K69">
        <v>7</v>
      </c>
      <c r="L69">
        <v>8</v>
      </c>
      <c r="M69">
        <v>5</v>
      </c>
      <c r="N69">
        <v>6</v>
      </c>
      <c r="O69">
        <v>4</v>
      </c>
      <c r="P69">
        <v>7</v>
      </c>
      <c r="Q69">
        <v>10</v>
      </c>
      <c r="R69">
        <v>10</v>
      </c>
      <c r="S69" t="s">
        <v>2027</v>
      </c>
      <c r="T69" t="s">
        <v>2027</v>
      </c>
      <c r="U69" t="s">
        <v>2027</v>
      </c>
      <c r="V69" t="s">
        <v>2027</v>
      </c>
      <c r="W69" t="s">
        <v>2027</v>
      </c>
      <c r="X69">
        <v>3</v>
      </c>
      <c r="Y69">
        <v>10</v>
      </c>
      <c r="Z69">
        <v>10</v>
      </c>
      <c r="AA69">
        <v>1</v>
      </c>
      <c r="AB69">
        <v>4</v>
      </c>
      <c r="AC69">
        <v>6</v>
      </c>
    </row>
    <row r="70" spans="1:29">
      <c r="A70" t="str">
        <f t="shared" si="1"/>
        <v>3BWesley Jordan18</v>
      </c>
      <c r="B70">
        <v>1291</v>
      </c>
      <c r="C70">
        <v>236</v>
      </c>
      <c r="D70" t="s">
        <v>1895</v>
      </c>
      <c r="E70" t="s">
        <v>1785</v>
      </c>
      <c r="F70">
        <v>0</v>
      </c>
      <c r="G70" s="10">
        <v>36639</v>
      </c>
      <c r="H70">
        <v>18</v>
      </c>
      <c r="I70" t="s">
        <v>2061</v>
      </c>
      <c r="J70" t="s">
        <v>1824</v>
      </c>
      <c r="K70">
        <v>7</v>
      </c>
      <c r="L70">
        <v>6</v>
      </c>
      <c r="M70">
        <v>5</v>
      </c>
      <c r="N70">
        <v>5</v>
      </c>
      <c r="O70">
        <v>6</v>
      </c>
      <c r="P70">
        <v>6</v>
      </c>
      <c r="Q70">
        <v>6</v>
      </c>
      <c r="R70">
        <v>4</v>
      </c>
      <c r="S70" t="s">
        <v>2027</v>
      </c>
      <c r="T70" t="s">
        <v>2027</v>
      </c>
      <c r="U70">
        <v>3</v>
      </c>
      <c r="V70">
        <v>6</v>
      </c>
      <c r="W70" t="s">
        <v>2027</v>
      </c>
      <c r="X70" t="s">
        <v>2027</v>
      </c>
      <c r="Y70" t="s">
        <v>2027</v>
      </c>
      <c r="Z70" t="s">
        <v>2027</v>
      </c>
      <c r="AA70">
        <v>2</v>
      </c>
      <c r="AB70">
        <v>10</v>
      </c>
      <c r="AC70">
        <v>4</v>
      </c>
    </row>
    <row r="71" spans="1:29">
      <c r="A71" t="str">
        <f t="shared" si="1"/>
        <v>CFEd Lee18</v>
      </c>
      <c r="B71">
        <v>1282</v>
      </c>
      <c r="C71">
        <v>178</v>
      </c>
      <c r="D71" t="s">
        <v>1873</v>
      </c>
      <c r="E71" t="s">
        <v>1967</v>
      </c>
      <c r="F71">
        <v>0</v>
      </c>
      <c r="G71" s="10">
        <v>36606</v>
      </c>
      <c r="H71">
        <v>18</v>
      </c>
      <c r="I71" t="s">
        <v>2079</v>
      </c>
      <c r="J71" t="s">
        <v>1824</v>
      </c>
      <c r="K71">
        <v>7</v>
      </c>
      <c r="L71">
        <v>6</v>
      </c>
      <c r="M71">
        <v>5</v>
      </c>
      <c r="N71">
        <v>5</v>
      </c>
      <c r="O71">
        <v>7</v>
      </c>
      <c r="P71">
        <v>10</v>
      </c>
      <c r="Q71">
        <v>10</v>
      </c>
      <c r="R71">
        <v>10</v>
      </c>
      <c r="S71" t="s">
        <v>2027</v>
      </c>
      <c r="T71" t="s">
        <v>2027</v>
      </c>
      <c r="U71" t="s">
        <v>2027</v>
      </c>
      <c r="V71" t="s">
        <v>2027</v>
      </c>
      <c r="W71" t="s">
        <v>2027</v>
      </c>
      <c r="X71">
        <v>1</v>
      </c>
      <c r="Y71">
        <v>3</v>
      </c>
      <c r="Z71">
        <v>2</v>
      </c>
      <c r="AA71">
        <v>1</v>
      </c>
      <c r="AB71">
        <v>3</v>
      </c>
      <c r="AC71">
        <v>8</v>
      </c>
    </row>
    <row r="72" spans="1:29">
      <c r="A72" t="str">
        <f t="shared" si="1"/>
        <v>2BRafael Vialla21</v>
      </c>
      <c r="B72">
        <v>5674</v>
      </c>
      <c r="C72">
        <v>148</v>
      </c>
      <c r="D72" t="s">
        <v>1882</v>
      </c>
      <c r="E72" t="s">
        <v>501</v>
      </c>
      <c r="F72">
        <v>0</v>
      </c>
      <c r="G72" s="10">
        <v>35310</v>
      </c>
      <c r="H72">
        <v>21</v>
      </c>
      <c r="I72" t="s">
        <v>2069</v>
      </c>
      <c r="J72" t="s">
        <v>1824</v>
      </c>
      <c r="K72">
        <v>7</v>
      </c>
      <c r="L72">
        <v>7</v>
      </c>
      <c r="M72">
        <v>5</v>
      </c>
      <c r="N72">
        <v>5</v>
      </c>
      <c r="O72">
        <v>4</v>
      </c>
      <c r="P72">
        <v>5</v>
      </c>
      <c r="Q72">
        <v>9</v>
      </c>
      <c r="R72">
        <v>8</v>
      </c>
      <c r="S72" t="s">
        <v>2027</v>
      </c>
      <c r="T72">
        <v>8</v>
      </c>
      <c r="U72">
        <v>10</v>
      </c>
      <c r="V72">
        <v>5</v>
      </c>
      <c r="W72">
        <v>4</v>
      </c>
      <c r="X72">
        <v>4</v>
      </c>
      <c r="Y72" t="s">
        <v>2027</v>
      </c>
      <c r="Z72">
        <v>6</v>
      </c>
      <c r="AA72">
        <v>1</v>
      </c>
      <c r="AB72">
        <v>7</v>
      </c>
      <c r="AC72">
        <v>4</v>
      </c>
    </row>
    <row r="73" spans="1:29">
      <c r="A73" t="str">
        <f t="shared" si="1"/>
        <v>SSJeremy Collins21</v>
      </c>
      <c r="B73">
        <v>7223</v>
      </c>
      <c r="C73">
        <v>112</v>
      </c>
      <c r="D73" t="s">
        <v>1735</v>
      </c>
      <c r="E73" t="s">
        <v>1773</v>
      </c>
      <c r="F73">
        <v>0</v>
      </c>
      <c r="G73" s="10">
        <v>35453</v>
      </c>
      <c r="H73">
        <v>21</v>
      </c>
      <c r="I73" t="s">
        <v>2074</v>
      </c>
      <c r="J73" t="s">
        <v>1824</v>
      </c>
      <c r="K73">
        <v>7</v>
      </c>
      <c r="L73">
        <v>5</v>
      </c>
      <c r="M73">
        <v>5</v>
      </c>
      <c r="N73">
        <v>4</v>
      </c>
      <c r="O73">
        <v>6</v>
      </c>
      <c r="P73">
        <v>10</v>
      </c>
      <c r="Q73">
        <v>10</v>
      </c>
      <c r="R73">
        <v>8</v>
      </c>
      <c r="S73" t="s">
        <v>2027</v>
      </c>
      <c r="T73">
        <v>10</v>
      </c>
      <c r="U73">
        <v>7</v>
      </c>
      <c r="V73">
        <v>6</v>
      </c>
      <c r="W73">
        <v>7</v>
      </c>
      <c r="X73">
        <v>9</v>
      </c>
      <c r="Y73">
        <v>7</v>
      </c>
      <c r="Z73" t="s">
        <v>2027</v>
      </c>
      <c r="AA73">
        <v>5</v>
      </c>
      <c r="AB73">
        <v>10</v>
      </c>
      <c r="AC73">
        <v>8</v>
      </c>
    </row>
    <row r="74" spans="1:29">
      <c r="A74" t="str">
        <f t="shared" si="1"/>
        <v>LFHenry Miller21</v>
      </c>
      <c r="B74">
        <v>8805</v>
      </c>
      <c r="C74">
        <v>198</v>
      </c>
      <c r="D74" t="s">
        <v>1847</v>
      </c>
      <c r="E74" t="s">
        <v>1892</v>
      </c>
      <c r="F74">
        <v>0</v>
      </c>
      <c r="G74" s="10">
        <v>35267</v>
      </c>
      <c r="H74">
        <v>21</v>
      </c>
      <c r="I74" t="s">
        <v>2035</v>
      </c>
      <c r="J74" t="s">
        <v>1824</v>
      </c>
      <c r="K74">
        <v>7</v>
      </c>
      <c r="L74">
        <v>5</v>
      </c>
      <c r="M74">
        <v>5</v>
      </c>
      <c r="N74">
        <v>4</v>
      </c>
      <c r="O74">
        <v>4</v>
      </c>
      <c r="P74">
        <v>9</v>
      </c>
      <c r="Q74">
        <v>6</v>
      </c>
      <c r="R74">
        <v>6</v>
      </c>
      <c r="S74" t="s">
        <v>2027</v>
      </c>
      <c r="T74">
        <v>1</v>
      </c>
      <c r="U74" t="s">
        <v>2027</v>
      </c>
      <c r="V74" t="s">
        <v>2027</v>
      </c>
      <c r="W74" t="s">
        <v>2027</v>
      </c>
      <c r="X74">
        <v>8</v>
      </c>
      <c r="Y74">
        <v>2</v>
      </c>
      <c r="Z74">
        <v>3</v>
      </c>
      <c r="AA74">
        <v>5</v>
      </c>
      <c r="AB74">
        <v>1</v>
      </c>
      <c r="AC74">
        <v>5</v>
      </c>
    </row>
    <row r="75" spans="1:29">
      <c r="A75" t="str">
        <f t="shared" si="1"/>
        <v>C-Gavin Schroeder21</v>
      </c>
      <c r="B75">
        <v>7110</v>
      </c>
      <c r="C75">
        <v>263</v>
      </c>
      <c r="D75" t="s">
        <v>287</v>
      </c>
      <c r="E75" t="s">
        <v>554</v>
      </c>
      <c r="F75">
        <v>0</v>
      </c>
      <c r="G75" s="10">
        <v>35325</v>
      </c>
      <c r="H75">
        <v>21</v>
      </c>
      <c r="I75" t="s">
        <v>2091</v>
      </c>
      <c r="J75" t="s">
        <v>1824</v>
      </c>
      <c r="K75">
        <v>7</v>
      </c>
      <c r="L75">
        <v>3</v>
      </c>
      <c r="M75">
        <v>5</v>
      </c>
      <c r="N75">
        <v>4</v>
      </c>
      <c r="O75">
        <v>4</v>
      </c>
      <c r="P75">
        <v>7</v>
      </c>
      <c r="Q75">
        <v>3</v>
      </c>
      <c r="R75">
        <v>1</v>
      </c>
      <c r="S75">
        <v>7</v>
      </c>
      <c r="T75">
        <v>2</v>
      </c>
      <c r="U75" t="s">
        <v>2027</v>
      </c>
      <c r="V75" t="s">
        <v>2027</v>
      </c>
      <c r="W75" t="s">
        <v>2027</v>
      </c>
      <c r="X75" t="s">
        <v>2027</v>
      </c>
      <c r="Y75" t="s">
        <v>2027</v>
      </c>
      <c r="Z75" t="s">
        <v>2027</v>
      </c>
      <c r="AA75">
        <v>8</v>
      </c>
      <c r="AB75">
        <v>6</v>
      </c>
      <c r="AC75">
        <v>7</v>
      </c>
    </row>
    <row r="76" spans="1:29">
      <c r="A76" t="str">
        <f t="shared" si="1"/>
        <v>1BMarvin Williams21</v>
      </c>
      <c r="B76">
        <v>7346</v>
      </c>
      <c r="C76">
        <v>29</v>
      </c>
      <c r="D76" t="s">
        <v>505</v>
      </c>
      <c r="E76" t="s">
        <v>1905</v>
      </c>
      <c r="F76">
        <v>0</v>
      </c>
      <c r="G76" s="10">
        <v>35265</v>
      </c>
      <c r="H76">
        <v>21</v>
      </c>
      <c r="I76" t="s">
        <v>2092</v>
      </c>
      <c r="J76" t="s">
        <v>1824</v>
      </c>
      <c r="K76">
        <v>7</v>
      </c>
      <c r="L76">
        <v>4</v>
      </c>
      <c r="M76">
        <v>5</v>
      </c>
      <c r="N76">
        <v>4</v>
      </c>
      <c r="O76">
        <v>8</v>
      </c>
      <c r="P76">
        <v>2</v>
      </c>
      <c r="Q76">
        <v>2</v>
      </c>
      <c r="R76">
        <v>1</v>
      </c>
      <c r="S76" t="s">
        <v>2027</v>
      </c>
      <c r="T76">
        <v>5</v>
      </c>
      <c r="U76" t="s">
        <v>2027</v>
      </c>
      <c r="V76" t="s">
        <v>2027</v>
      </c>
      <c r="W76" t="s">
        <v>2027</v>
      </c>
      <c r="X76" t="s">
        <v>2027</v>
      </c>
      <c r="Y76" t="s">
        <v>2027</v>
      </c>
      <c r="Z76" t="s">
        <v>2027</v>
      </c>
      <c r="AA76">
        <v>1</v>
      </c>
      <c r="AB76">
        <v>3</v>
      </c>
      <c r="AC76">
        <v>6</v>
      </c>
    </row>
    <row r="77" spans="1:29">
      <c r="A77" t="str">
        <f t="shared" si="1"/>
        <v>LFRicardo Cruz21</v>
      </c>
      <c r="B77">
        <v>5633</v>
      </c>
      <c r="C77">
        <v>205</v>
      </c>
      <c r="D77" t="s">
        <v>1929</v>
      </c>
      <c r="E77" t="s">
        <v>1755</v>
      </c>
      <c r="F77">
        <v>0</v>
      </c>
      <c r="G77" s="10">
        <v>35292</v>
      </c>
      <c r="H77">
        <v>21</v>
      </c>
      <c r="I77" t="s">
        <v>2035</v>
      </c>
      <c r="J77" t="s">
        <v>1824</v>
      </c>
      <c r="K77">
        <v>7</v>
      </c>
      <c r="L77">
        <v>5</v>
      </c>
      <c r="M77">
        <v>5</v>
      </c>
      <c r="N77">
        <v>3</v>
      </c>
      <c r="O77">
        <v>4</v>
      </c>
      <c r="P77">
        <v>8</v>
      </c>
      <c r="Q77">
        <v>10</v>
      </c>
      <c r="R77">
        <v>10</v>
      </c>
      <c r="S77" t="s">
        <v>2027</v>
      </c>
      <c r="T77" t="s">
        <v>2027</v>
      </c>
      <c r="U77" t="s">
        <v>2027</v>
      </c>
      <c r="V77" t="s">
        <v>2027</v>
      </c>
      <c r="W77" t="s">
        <v>2027</v>
      </c>
      <c r="X77">
        <v>6</v>
      </c>
      <c r="Y77" t="s">
        <v>2027</v>
      </c>
      <c r="Z77">
        <v>4</v>
      </c>
      <c r="AA77">
        <v>4</v>
      </c>
      <c r="AB77">
        <v>1</v>
      </c>
      <c r="AC77">
        <v>4</v>
      </c>
    </row>
    <row r="78" spans="1:29">
      <c r="A78" t="str">
        <f t="shared" si="1"/>
        <v>LFLou von Buhl21</v>
      </c>
      <c r="B78">
        <v>3269</v>
      </c>
      <c r="C78">
        <v>261</v>
      </c>
      <c r="D78" t="s">
        <v>1962</v>
      </c>
      <c r="E78" t="s">
        <v>338</v>
      </c>
      <c r="F78">
        <v>0</v>
      </c>
      <c r="G78" s="10">
        <v>35511</v>
      </c>
      <c r="H78">
        <v>21</v>
      </c>
      <c r="I78" t="s">
        <v>2035</v>
      </c>
      <c r="J78" t="s">
        <v>1824</v>
      </c>
      <c r="K78">
        <v>7</v>
      </c>
      <c r="L78">
        <v>4</v>
      </c>
      <c r="M78">
        <v>5</v>
      </c>
      <c r="N78">
        <v>3</v>
      </c>
      <c r="O78">
        <v>3</v>
      </c>
      <c r="P78">
        <v>10</v>
      </c>
      <c r="Q78">
        <v>6</v>
      </c>
      <c r="R78">
        <v>7</v>
      </c>
      <c r="S78" t="s">
        <v>2027</v>
      </c>
      <c r="T78" t="s">
        <v>2027</v>
      </c>
      <c r="U78" t="s">
        <v>2027</v>
      </c>
      <c r="V78" t="s">
        <v>2027</v>
      </c>
      <c r="W78" t="s">
        <v>2027</v>
      </c>
      <c r="X78">
        <v>9</v>
      </c>
      <c r="Y78">
        <v>3</v>
      </c>
      <c r="Z78">
        <v>3</v>
      </c>
      <c r="AA78">
        <v>5</v>
      </c>
      <c r="AB78">
        <v>1</v>
      </c>
      <c r="AC78">
        <v>4</v>
      </c>
    </row>
    <row r="79" spans="1:29">
      <c r="A79" t="str">
        <f t="shared" si="1"/>
        <v>1BClaudio GarcÌa21</v>
      </c>
      <c r="B79">
        <v>3009</v>
      </c>
      <c r="C79">
        <v>240</v>
      </c>
      <c r="D79" t="s">
        <v>1681</v>
      </c>
      <c r="E79" t="s">
        <v>118</v>
      </c>
      <c r="F79">
        <v>0</v>
      </c>
      <c r="G79" s="10">
        <v>35344</v>
      </c>
      <c r="H79">
        <v>21</v>
      </c>
      <c r="I79" t="s">
        <v>2092</v>
      </c>
      <c r="J79" t="s">
        <v>1824</v>
      </c>
      <c r="K79">
        <v>7</v>
      </c>
      <c r="L79">
        <v>6</v>
      </c>
      <c r="M79">
        <v>4</v>
      </c>
      <c r="N79">
        <v>4</v>
      </c>
      <c r="O79">
        <v>5</v>
      </c>
      <c r="P79">
        <v>9</v>
      </c>
      <c r="Q79">
        <v>9</v>
      </c>
      <c r="R79">
        <v>6</v>
      </c>
      <c r="S79" t="s">
        <v>2027</v>
      </c>
      <c r="T79" t="s">
        <v>2027</v>
      </c>
      <c r="U79" t="s">
        <v>2027</v>
      </c>
      <c r="V79" t="s">
        <v>2027</v>
      </c>
      <c r="W79" t="s">
        <v>2027</v>
      </c>
      <c r="X79">
        <v>6</v>
      </c>
      <c r="Y79">
        <v>9</v>
      </c>
      <c r="Z79">
        <v>6</v>
      </c>
      <c r="AA79">
        <v>2</v>
      </c>
      <c r="AB79">
        <v>4</v>
      </c>
      <c r="AC79">
        <v>8</v>
      </c>
    </row>
    <row r="80" spans="1:29">
      <c r="A80" t="str">
        <f t="shared" si="1"/>
        <v>SSVicente Lorenzo21</v>
      </c>
      <c r="B80">
        <v>3939</v>
      </c>
      <c r="C80">
        <v>241</v>
      </c>
      <c r="D80" t="s">
        <v>1851</v>
      </c>
      <c r="E80" t="s">
        <v>1950</v>
      </c>
      <c r="F80">
        <v>0</v>
      </c>
      <c r="G80" s="10">
        <v>35395</v>
      </c>
      <c r="H80">
        <v>21</v>
      </c>
      <c r="I80" t="s">
        <v>2074</v>
      </c>
      <c r="J80" t="s">
        <v>1824</v>
      </c>
      <c r="K80">
        <v>7</v>
      </c>
      <c r="L80">
        <v>5</v>
      </c>
      <c r="M80">
        <v>4</v>
      </c>
      <c r="N80">
        <v>3</v>
      </c>
      <c r="O80">
        <v>4</v>
      </c>
      <c r="P80">
        <v>9</v>
      </c>
      <c r="Q80">
        <v>10</v>
      </c>
      <c r="R80">
        <v>8</v>
      </c>
      <c r="S80" t="s">
        <v>2027</v>
      </c>
      <c r="T80">
        <v>6</v>
      </c>
      <c r="U80">
        <v>5</v>
      </c>
      <c r="V80" t="s">
        <v>2027</v>
      </c>
      <c r="W80">
        <v>4</v>
      </c>
      <c r="X80" t="s">
        <v>2027</v>
      </c>
      <c r="Y80" t="s">
        <v>2027</v>
      </c>
      <c r="Z80" t="s">
        <v>2027</v>
      </c>
      <c r="AA80">
        <v>4</v>
      </c>
      <c r="AB80">
        <v>5</v>
      </c>
      <c r="AC80">
        <v>2</v>
      </c>
    </row>
    <row r="81" spans="1:29">
      <c r="A81" t="str">
        <f t="shared" si="1"/>
        <v>1BAnastagio Baio18</v>
      </c>
      <c r="B81">
        <v>638</v>
      </c>
      <c r="C81">
        <v>35</v>
      </c>
      <c r="D81" t="s">
        <v>452</v>
      </c>
      <c r="E81" t="s">
        <v>453</v>
      </c>
      <c r="F81">
        <v>0</v>
      </c>
      <c r="G81" s="10">
        <v>36388</v>
      </c>
      <c r="H81">
        <v>18</v>
      </c>
      <c r="I81" t="s">
        <v>2092</v>
      </c>
      <c r="J81" t="s">
        <v>2003</v>
      </c>
      <c r="K81">
        <v>7</v>
      </c>
      <c r="L81">
        <v>8</v>
      </c>
      <c r="M81">
        <v>3</v>
      </c>
      <c r="N81">
        <v>7</v>
      </c>
      <c r="O81">
        <v>7</v>
      </c>
      <c r="P81">
        <v>3</v>
      </c>
      <c r="Q81">
        <v>3</v>
      </c>
      <c r="R81">
        <v>6</v>
      </c>
      <c r="S81" t="s">
        <v>2027</v>
      </c>
      <c r="T81">
        <v>3</v>
      </c>
      <c r="U81" t="s">
        <v>2027</v>
      </c>
      <c r="V81" t="s">
        <v>2027</v>
      </c>
      <c r="W81" t="s">
        <v>2027</v>
      </c>
      <c r="X81" t="s">
        <v>2027</v>
      </c>
      <c r="Y81" t="s">
        <v>2027</v>
      </c>
      <c r="Z81" t="s">
        <v>2027</v>
      </c>
      <c r="AA81">
        <v>3</v>
      </c>
      <c r="AB81">
        <v>2</v>
      </c>
      <c r="AC81">
        <v>3</v>
      </c>
    </row>
    <row r="82" spans="1:29">
      <c r="A82" t="str">
        <f t="shared" si="1"/>
        <v>CFKing Bailey21</v>
      </c>
      <c r="B82">
        <v>8302</v>
      </c>
      <c r="C82">
        <v>10</v>
      </c>
      <c r="D82" t="s">
        <v>1829</v>
      </c>
      <c r="E82" t="s">
        <v>1893</v>
      </c>
      <c r="F82">
        <v>0</v>
      </c>
      <c r="G82" s="10">
        <v>35408</v>
      </c>
      <c r="H82">
        <v>21</v>
      </c>
      <c r="I82" t="s">
        <v>2079</v>
      </c>
      <c r="J82" t="s">
        <v>1824</v>
      </c>
      <c r="K82">
        <v>6</v>
      </c>
      <c r="L82">
        <v>6</v>
      </c>
      <c r="M82">
        <v>7</v>
      </c>
      <c r="N82">
        <v>8</v>
      </c>
      <c r="O82">
        <v>8</v>
      </c>
      <c r="P82">
        <v>10</v>
      </c>
      <c r="Q82">
        <v>9</v>
      </c>
      <c r="R82">
        <v>6</v>
      </c>
      <c r="S82" t="s">
        <v>2027</v>
      </c>
      <c r="T82" t="s">
        <v>2027</v>
      </c>
      <c r="U82" t="s">
        <v>2027</v>
      </c>
      <c r="V82" t="s">
        <v>2027</v>
      </c>
      <c r="W82" t="s">
        <v>2027</v>
      </c>
      <c r="X82">
        <v>4</v>
      </c>
      <c r="Y82">
        <v>10</v>
      </c>
      <c r="Z82">
        <v>5</v>
      </c>
      <c r="AA82">
        <v>1</v>
      </c>
      <c r="AB82">
        <v>1</v>
      </c>
      <c r="AC82">
        <v>8</v>
      </c>
    </row>
    <row r="83" spans="1:29">
      <c r="A83" t="str">
        <f t="shared" si="1"/>
        <v>3BNelson Cardenas18</v>
      </c>
      <c r="B83">
        <v>13822</v>
      </c>
      <c r="C83">
        <v>45</v>
      </c>
      <c r="D83" t="s">
        <v>1838</v>
      </c>
      <c r="E83" t="s">
        <v>306</v>
      </c>
      <c r="F83">
        <v>0</v>
      </c>
      <c r="G83" s="10">
        <v>36482</v>
      </c>
      <c r="H83">
        <v>18</v>
      </c>
      <c r="I83" t="s">
        <v>2061</v>
      </c>
      <c r="J83" t="s">
        <v>1824</v>
      </c>
      <c r="K83">
        <v>6</v>
      </c>
      <c r="L83">
        <v>8</v>
      </c>
      <c r="M83">
        <v>7</v>
      </c>
      <c r="N83">
        <v>6</v>
      </c>
      <c r="O83">
        <v>7</v>
      </c>
      <c r="P83">
        <v>2</v>
      </c>
      <c r="Q83">
        <v>4</v>
      </c>
      <c r="R83">
        <v>3</v>
      </c>
      <c r="S83" t="s">
        <v>2027</v>
      </c>
      <c r="T83">
        <v>1</v>
      </c>
      <c r="U83">
        <v>1</v>
      </c>
      <c r="V83">
        <v>3</v>
      </c>
      <c r="W83">
        <v>5</v>
      </c>
      <c r="X83" t="s">
        <v>2027</v>
      </c>
      <c r="Y83" t="s">
        <v>2027</v>
      </c>
      <c r="Z83" t="s">
        <v>2027</v>
      </c>
      <c r="AA83">
        <v>1</v>
      </c>
      <c r="AB83">
        <v>6</v>
      </c>
      <c r="AC83">
        <v>5</v>
      </c>
    </row>
    <row r="84" spans="1:29">
      <c r="A84" t="str">
        <f t="shared" si="1"/>
        <v>CFDave Clay21</v>
      </c>
      <c r="B84">
        <v>2799</v>
      </c>
      <c r="C84">
        <v>267</v>
      </c>
      <c r="D84" t="s">
        <v>1830</v>
      </c>
      <c r="E84" t="s">
        <v>355</v>
      </c>
      <c r="F84">
        <v>0</v>
      </c>
      <c r="G84" s="10">
        <v>35258</v>
      </c>
      <c r="H84">
        <v>21</v>
      </c>
      <c r="I84" t="s">
        <v>2079</v>
      </c>
      <c r="J84" t="s">
        <v>1824</v>
      </c>
      <c r="K84">
        <v>6</v>
      </c>
      <c r="L84">
        <v>4</v>
      </c>
      <c r="M84">
        <v>7</v>
      </c>
      <c r="N84">
        <v>3</v>
      </c>
      <c r="O84">
        <v>3</v>
      </c>
      <c r="P84">
        <v>8</v>
      </c>
      <c r="Q84">
        <v>10</v>
      </c>
      <c r="R84">
        <v>7</v>
      </c>
      <c r="S84" t="s">
        <v>2027</v>
      </c>
      <c r="T84" t="s">
        <v>2027</v>
      </c>
      <c r="U84" t="s">
        <v>2027</v>
      </c>
      <c r="V84" t="s">
        <v>2027</v>
      </c>
      <c r="W84" t="s">
        <v>2027</v>
      </c>
      <c r="X84">
        <v>7</v>
      </c>
      <c r="Y84">
        <v>4</v>
      </c>
      <c r="Z84">
        <v>4</v>
      </c>
      <c r="AA84">
        <v>3</v>
      </c>
      <c r="AB84">
        <v>2</v>
      </c>
      <c r="AC84">
        <v>5</v>
      </c>
    </row>
    <row r="85" spans="1:29">
      <c r="A85" t="str">
        <f t="shared" si="1"/>
        <v>1BAlden Brockington18</v>
      </c>
      <c r="B85">
        <v>221</v>
      </c>
      <c r="C85">
        <v>91</v>
      </c>
      <c r="D85" t="s">
        <v>371</v>
      </c>
      <c r="E85" t="s">
        <v>372</v>
      </c>
      <c r="F85">
        <v>0</v>
      </c>
      <c r="G85" s="10">
        <v>36524</v>
      </c>
      <c r="H85">
        <v>18</v>
      </c>
      <c r="I85" t="s">
        <v>2092</v>
      </c>
      <c r="J85" t="s">
        <v>1824</v>
      </c>
      <c r="K85">
        <v>6</v>
      </c>
      <c r="L85">
        <v>9</v>
      </c>
      <c r="M85">
        <v>6</v>
      </c>
      <c r="N85">
        <v>6</v>
      </c>
      <c r="O85">
        <v>4</v>
      </c>
      <c r="P85">
        <v>7</v>
      </c>
      <c r="Q85">
        <v>3</v>
      </c>
      <c r="R85">
        <v>9</v>
      </c>
      <c r="S85" t="s">
        <v>2027</v>
      </c>
      <c r="T85">
        <v>1</v>
      </c>
      <c r="U85" t="s">
        <v>2027</v>
      </c>
      <c r="V85" t="s">
        <v>2027</v>
      </c>
      <c r="W85" t="s">
        <v>2027</v>
      </c>
      <c r="X85" t="s">
        <v>2027</v>
      </c>
      <c r="Y85" t="s">
        <v>2027</v>
      </c>
      <c r="Z85" t="s">
        <v>2027</v>
      </c>
      <c r="AA85">
        <v>6</v>
      </c>
      <c r="AB85">
        <v>3</v>
      </c>
      <c r="AC85">
        <v>2</v>
      </c>
    </row>
    <row r="86" spans="1:29">
      <c r="A86" t="str">
        <f t="shared" si="1"/>
        <v>LFKenny Hand21</v>
      </c>
      <c r="B86">
        <v>6534</v>
      </c>
      <c r="C86">
        <v>56</v>
      </c>
      <c r="D86" t="s">
        <v>1754</v>
      </c>
      <c r="E86" t="s">
        <v>521</v>
      </c>
      <c r="F86">
        <v>0</v>
      </c>
      <c r="G86" s="10">
        <v>35296</v>
      </c>
      <c r="H86">
        <v>21</v>
      </c>
      <c r="I86" t="s">
        <v>2035</v>
      </c>
      <c r="J86" t="s">
        <v>1824</v>
      </c>
      <c r="K86">
        <v>6</v>
      </c>
      <c r="L86">
        <v>5</v>
      </c>
      <c r="M86">
        <v>6</v>
      </c>
      <c r="N86">
        <v>6</v>
      </c>
      <c r="O86">
        <v>4</v>
      </c>
      <c r="P86">
        <v>8</v>
      </c>
      <c r="Q86">
        <v>7</v>
      </c>
      <c r="R86">
        <v>9</v>
      </c>
      <c r="S86" t="s">
        <v>2027</v>
      </c>
      <c r="T86">
        <v>1</v>
      </c>
      <c r="U86" t="s">
        <v>2027</v>
      </c>
      <c r="V86" t="s">
        <v>2027</v>
      </c>
      <c r="W86" t="s">
        <v>2027</v>
      </c>
      <c r="X86">
        <v>7</v>
      </c>
      <c r="Y86">
        <v>2</v>
      </c>
      <c r="Z86">
        <v>6</v>
      </c>
      <c r="AA86">
        <v>4</v>
      </c>
      <c r="AB86">
        <v>1</v>
      </c>
      <c r="AC86">
        <v>6</v>
      </c>
    </row>
    <row r="87" spans="1:29">
      <c r="A87" t="str">
        <f t="shared" si="1"/>
        <v>CFDave McCall18</v>
      </c>
      <c r="B87">
        <v>1806</v>
      </c>
      <c r="C87">
        <v>278</v>
      </c>
      <c r="D87" t="s">
        <v>1830</v>
      </c>
      <c r="E87" t="s">
        <v>362</v>
      </c>
      <c r="F87">
        <v>0</v>
      </c>
      <c r="G87" s="10">
        <v>36493</v>
      </c>
      <c r="H87">
        <v>18</v>
      </c>
      <c r="I87" t="s">
        <v>2079</v>
      </c>
      <c r="J87" t="s">
        <v>1824</v>
      </c>
      <c r="K87">
        <v>6</v>
      </c>
      <c r="L87">
        <v>8</v>
      </c>
      <c r="M87">
        <v>6</v>
      </c>
      <c r="N87">
        <v>5</v>
      </c>
      <c r="O87">
        <v>8</v>
      </c>
      <c r="P87">
        <v>10</v>
      </c>
      <c r="Q87">
        <v>9</v>
      </c>
      <c r="R87">
        <v>10</v>
      </c>
      <c r="S87" t="s">
        <v>2027</v>
      </c>
      <c r="T87" t="s">
        <v>2027</v>
      </c>
      <c r="U87" t="s">
        <v>2027</v>
      </c>
      <c r="V87" t="s">
        <v>2027</v>
      </c>
      <c r="W87" t="s">
        <v>2027</v>
      </c>
      <c r="X87">
        <v>6</v>
      </c>
      <c r="Y87">
        <v>1</v>
      </c>
      <c r="Z87">
        <v>5</v>
      </c>
      <c r="AA87">
        <v>6</v>
      </c>
      <c r="AB87">
        <v>1</v>
      </c>
      <c r="AC87">
        <v>8</v>
      </c>
    </row>
    <row r="88" spans="1:29">
      <c r="A88" t="str">
        <f t="shared" si="1"/>
        <v>SSBryan Buckley18</v>
      </c>
      <c r="B88">
        <v>13778</v>
      </c>
      <c r="C88">
        <v>381</v>
      </c>
      <c r="D88" t="s">
        <v>474</v>
      </c>
      <c r="E88" t="s">
        <v>475</v>
      </c>
      <c r="F88">
        <v>0</v>
      </c>
      <c r="G88" s="10">
        <v>36463</v>
      </c>
      <c r="H88">
        <v>18</v>
      </c>
      <c r="I88" t="s">
        <v>2074</v>
      </c>
      <c r="J88" t="s">
        <v>1824</v>
      </c>
      <c r="K88">
        <v>6</v>
      </c>
      <c r="L88">
        <v>4</v>
      </c>
      <c r="M88">
        <v>6</v>
      </c>
      <c r="N88">
        <v>3</v>
      </c>
      <c r="O88">
        <v>6</v>
      </c>
      <c r="P88">
        <v>10</v>
      </c>
      <c r="Q88">
        <v>7</v>
      </c>
      <c r="R88">
        <v>7</v>
      </c>
      <c r="S88" t="s">
        <v>2027</v>
      </c>
      <c r="T88">
        <v>2</v>
      </c>
      <c r="U88">
        <v>1</v>
      </c>
      <c r="V88">
        <v>1</v>
      </c>
      <c r="W88">
        <v>6</v>
      </c>
      <c r="X88" t="s">
        <v>2027</v>
      </c>
      <c r="Y88" t="s">
        <v>2027</v>
      </c>
      <c r="Z88" t="s">
        <v>2027</v>
      </c>
      <c r="AA88">
        <v>6</v>
      </c>
      <c r="AB88">
        <v>5</v>
      </c>
      <c r="AC88">
        <v>8</v>
      </c>
    </row>
    <row r="89" spans="1:29">
      <c r="A89" t="str">
        <f t="shared" si="1"/>
        <v>LFSterling Catron21</v>
      </c>
      <c r="B89">
        <v>6054</v>
      </c>
      <c r="C89">
        <v>295</v>
      </c>
      <c r="D89" t="s">
        <v>315</v>
      </c>
      <c r="E89" t="s">
        <v>316</v>
      </c>
      <c r="F89">
        <v>0</v>
      </c>
      <c r="G89" s="10">
        <v>35501</v>
      </c>
      <c r="H89">
        <v>21</v>
      </c>
      <c r="I89" t="s">
        <v>2035</v>
      </c>
      <c r="J89" t="s">
        <v>1824</v>
      </c>
      <c r="K89">
        <v>6</v>
      </c>
      <c r="L89">
        <v>6</v>
      </c>
      <c r="M89">
        <v>6</v>
      </c>
      <c r="N89">
        <v>3</v>
      </c>
      <c r="O89">
        <v>3</v>
      </c>
      <c r="P89">
        <v>6</v>
      </c>
      <c r="Q89">
        <v>8</v>
      </c>
      <c r="R89">
        <v>5</v>
      </c>
      <c r="S89" t="s">
        <v>2027</v>
      </c>
      <c r="T89" t="s">
        <v>2027</v>
      </c>
      <c r="U89" t="s">
        <v>2027</v>
      </c>
      <c r="V89" t="s">
        <v>2027</v>
      </c>
      <c r="W89" t="s">
        <v>2027</v>
      </c>
      <c r="X89">
        <v>6</v>
      </c>
      <c r="Y89">
        <v>4</v>
      </c>
      <c r="Z89">
        <v>5</v>
      </c>
      <c r="AA89">
        <v>2</v>
      </c>
      <c r="AB89">
        <v>3</v>
      </c>
      <c r="AC89">
        <v>5</v>
      </c>
    </row>
    <row r="90" spans="1:29">
      <c r="A90" t="str">
        <f t="shared" si="1"/>
        <v>RFRiver Mitchell18</v>
      </c>
      <c r="B90">
        <v>13784</v>
      </c>
      <c r="C90">
        <v>353</v>
      </c>
      <c r="D90" t="s">
        <v>369</v>
      </c>
      <c r="E90" t="s">
        <v>1734</v>
      </c>
      <c r="F90">
        <v>0</v>
      </c>
      <c r="G90" s="10">
        <v>36663</v>
      </c>
      <c r="H90">
        <v>18</v>
      </c>
      <c r="I90" t="s">
        <v>2057</v>
      </c>
      <c r="J90" t="s">
        <v>1824</v>
      </c>
      <c r="K90">
        <v>6</v>
      </c>
      <c r="L90">
        <v>5</v>
      </c>
      <c r="M90">
        <v>6</v>
      </c>
      <c r="N90">
        <v>3</v>
      </c>
      <c r="O90">
        <v>7</v>
      </c>
      <c r="P90">
        <v>10</v>
      </c>
      <c r="Q90">
        <v>7</v>
      </c>
      <c r="R90">
        <v>8</v>
      </c>
      <c r="S90" t="s">
        <v>2027</v>
      </c>
      <c r="T90">
        <v>1</v>
      </c>
      <c r="U90" t="s">
        <v>2027</v>
      </c>
      <c r="V90" t="s">
        <v>2027</v>
      </c>
      <c r="W90" t="s">
        <v>2027</v>
      </c>
      <c r="X90">
        <v>6</v>
      </c>
      <c r="Y90" t="s">
        <v>2027</v>
      </c>
      <c r="Z90">
        <v>1</v>
      </c>
      <c r="AA90">
        <v>6</v>
      </c>
      <c r="AB90">
        <v>1</v>
      </c>
      <c r="AC90">
        <v>8</v>
      </c>
    </row>
    <row r="91" spans="1:29">
      <c r="A91" t="str">
        <f t="shared" si="1"/>
        <v>RFMichael Smith18</v>
      </c>
      <c r="B91">
        <v>13779</v>
      </c>
      <c r="C91">
        <v>392</v>
      </c>
      <c r="D91" t="s">
        <v>1841</v>
      </c>
      <c r="E91" t="s">
        <v>1891</v>
      </c>
      <c r="F91">
        <v>0</v>
      </c>
      <c r="G91" s="10">
        <v>36393</v>
      </c>
      <c r="H91">
        <v>18</v>
      </c>
      <c r="I91" t="s">
        <v>2057</v>
      </c>
      <c r="J91" t="s">
        <v>1824</v>
      </c>
      <c r="K91">
        <v>6</v>
      </c>
      <c r="L91">
        <v>4</v>
      </c>
      <c r="M91">
        <v>6</v>
      </c>
      <c r="N91">
        <v>3</v>
      </c>
      <c r="O91">
        <v>8</v>
      </c>
      <c r="P91">
        <v>8</v>
      </c>
      <c r="Q91">
        <v>4</v>
      </c>
      <c r="R91">
        <v>5</v>
      </c>
      <c r="S91" t="s">
        <v>2027</v>
      </c>
      <c r="T91" t="s">
        <v>2027</v>
      </c>
      <c r="U91" t="s">
        <v>2027</v>
      </c>
      <c r="V91" t="s">
        <v>2027</v>
      </c>
      <c r="W91" t="s">
        <v>2027</v>
      </c>
      <c r="X91">
        <v>6</v>
      </c>
      <c r="Y91" t="s">
        <v>2027</v>
      </c>
      <c r="Z91">
        <v>1</v>
      </c>
      <c r="AA91">
        <v>6</v>
      </c>
      <c r="AB91">
        <v>1</v>
      </c>
      <c r="AC91">
        <v>10</v>
      </c>
    </row>
    <row r="92" spans="1:29">
      <c r="A92" t="str">
        <f t="shared" si="1"/>
        <v>C-Troy Wilson18</v>
      </c>
      <c r="B92">
        <v>148</v>
      </c>
      <c r="C92">
        <v>401</v>
      </c>
      <c r="D92" t="s">
        <v>340</v>
      </c>
      <c r="E92" t="s">
        <v>1884</v>
      </c>
      <c r="F92">
        <v>0</v>
      </c>
      <c r="G92" s="10">
        <v>36423</v>
      </c>
      <c r="H92">
        <v>18</v>
      </c>
      <c r="I92" t="s">
        <v>2091</v>
      </c>
      <c r="J92" t="s">
        <v>1824</v>
      </c>
      <c r="K92">
        <v>6</v>
      </c>
      <c r="L92">
        <v>4</v>
      </c>
      <c r="M92">
        <v>6</v>
      </c>
      <c r="N92">
        <v>3</v>
      </c>
      <c r="O92">
        <v>4</v>
      </c>
      <c r="P92">
        <v>1</v>
      </c>
      <c r="Q92">
        <v>5</v>
      </c>
      <c r="R92">
        <v>5</v>
      </c>
      <c r="S92" t="s">
        <v>2027</v>
      </c>
      <c r="T92" t="s">
        <v>2027</v>
      </c>
      <c r="U92" t="s">
        <v>2027</v>
      </c>
      <c r="V92" t="s">
        <v>2027</v>
      </c>
      <c r="W92" t="s">
        <v>2027</v>
      </c>
      <c r="X92" t="s">
        <v>2027</v>
      </c>
      <c r="Y92" t="s">
        <v>2027</v>
      </c>
      <c r="Z92" t="s">
        <v>2027</v>
      </c>
      <c r="AA92">
        <v>3</v>
      </c>
      <c r="AB92">
        <v>7</v>
      </c>
      <c r="AC92">
        <v>5</v>
      </c>
    </row>
    <row r="93" spans="1:29">
      <c r="A93" t="str">
        <f t="shared" si="1"/>
        <v>RFGeorge Hicks18</v>
      </c>
      <c r="B93">
        <v>13780</v>
      </c>
      <c r="C93">
        <v>383</v>
      </c>
      <c r="D93" t="s">
        <v>1772</v>
      </c>
      <c r="E93" t="s">
        <v>493</v>
      </c>
      <c r="F93">
        <v>0</v>
      </c>
      <c r="G93" s="10">
        <v>36510</v>
      </c>
      <c r="H93">
        <v>18</v>
      </c>
      <c r="I93" t="s">
        <v>2057</v>
      </c>
      <c r="J93" t="s">
        <v>1824</v>
      </c>
      <c r="K93">
        <v>6</v>
      </c>
      <c r="L93">
        <v>3</v>
      </c>
      <c r="M93">
        <v>6</v>
      </c>
      <c r="N93">
        <v>2</v>
      </c>
      <c r="O93">
        <v>6</v>
      </c>
      <c r="P93">
        <v>9</v>
      </c>
      <c r="Q93">
        <v>6</v>
      </c>
      <c r="R93">
        <v>6</v>
      </c>
      <c r="S93" t="s">
        <v>2027</v>
      </c>
      <c r="T93" t="s">
        <v>2027</v>
      </c>
      <c r="U93" t="s">
        <v>2027</v>
      </c>
      <c r="V93" t="s">
        <v>2027</v>
      </c>
      <c r="W93" t="s">
        <v>2027</v>
      </c>
      <c r="X93">
        <v>6</v>
      </c>
      <c r="Y93">
        <v>1</v>
      </c>
      <c r="Z93">
        <v>3</v>
      </c>
      <c r="AA93">
        <v>6</v>
      </c>
      <c r="AB93">
        <v>1</v>
      </c>
      <c r="AC93">
        <v>7</v>
      </c>
    </row>
    <row r="94" spans="1:29">
      <c r="A94" t="str">
        <f t="shared" si="1"/>
        <v>RFKelvin Lynas18</v>
      </c>
      <c r="B94">
        <v>13785</v>
      </c>
      <c r="C94">
        <v>354</v>
      </c>
      <c r="D94" t="s">
        <v>326</v>
      </c>
      <c r="E94" t="s">
        <v>327</v>
      </c>
      <c r="F94">
        <v>0</v>
      </c>
      <c r="G94" s="10">
        <v>36399</v>
      </c>
      <c r="H94">
        <v>18</v>
      </c>
      <c r="I94" t="s">
        <v>2057</v>
      </c>
      <c r="J94" t="s">
        <v>1824</v>
      </c>
      <c r="K94">
        <v>6</v>
      </c>
      <c r="L94">
        <v>2</v>
      </c>
      <c r="M94">
        <v>6</v>
      </c>
      <c r="N94">
        <v>2</v>
      </c>
      <c r="O94">
        <v>6</v>
      </c>
      <c r="P94">
        <v>10</v>
      </c>
      <c r="Q94">
        <v>7</v>
      </c>
      <c r="R94">
        <v>7</v>
      </c>
      <c r="S94" t="s">
        <v>2027</v>
      </c>
      <c r="T94" t="s">
        <v>2027</v>
      </c>
      <c r="U94" t="s">
        <v>2027</v>
      </c>
      <c r="V94" t="s">
        <v>2027</v>
      </c>
      <c r="W94" t="s">
        <v>2027</v>
      </c>
      <c r="X94">
        <v>7</v>
      </c>
      <c r="Y94">
        <v>1</v>
      </c>
      <c r="Z94">
        <v>2</v>
      </c>
      <c r="AA94">
        <v>6</v>
      </c>
      <c r="AB94">
        <v>1</v>
      </c>
      <c r="AC94">
        <v>8</v>
      </c>
    </row>
    <row r="95" spans="1:29">
      <c r="A95" t="str">
        <f t="shared" si="1"/>
        <v>CFPablo Padilla21</v>
      </c>
      <c r="B95">
        <v>7665</v>
      </c>
      <c r="C95">
        <v>44</v>
      </c>
      <c r="D95" t="s">
        <v>1675</v>
      </c>
      <c r="E95" t="s">
        <v>1671</v>
      </c>
      <c r="F95">
        <v>0</v>
      </c>
      <c r="G95" s="10">
        <v>35435</v>
      </c>
      <c r="H95">
        <v>21</v>
      </c>
      <c r="I95" t="s">
        <v>2079</v>
      </c>
      <c r="J95" t="s">
        <v>1824</v>
      </c>
      <c r="K95">
        <v>6</v>
      </c>
      <c r="L95">
        <v>8</v>
      </c>
      <c r="M95">
        <v>5</v>
      </c>
      <c r="N95">
        <v>8</v>
      </c>
      <c r="O95">
        <v>6</v>
      </c>
      <c r="P95">
        <v>8</v>
      </c>
      <c r="Q95">
        <v>5</v>
      </c>
      <c r="R95">
        <v>5</v>
      </c>
      <c r="S95" t="s">
        <v>2027</v>
      </c>
      <c r="T95">
        <v>1</v>
      </c>
      <c r="U95" t="s">
        <v>2027</v>
      </c>
      <c r="V95" t="s">
        <v>2027</v>
      </c>
      <c r="W95" t="s">
        <v>2027</v>
      </c>
      <c r="X95">
        <v>4</v>
      </c>
      <c r="Y95">
        <v>1</v>
      </c>
      <c r="Z95">
        <v>5</v>
      </c>
      <c r="AA95">
        <v>4</v>
      </c>
      <c r="AB95">
        <v>1</v>
      </c>
      <c r="AC95">
        <v>4</v>
      </c>
    </row>
    <row r="96" spans="1:29">
      <c r="A96" t="str">
        <f t="shared" si="1"/>
        <v>C-Ken Phillips21</v>
      </c>
      <c r="B96">
        <v>6979</v>
      </c>
      <c r="C96">
        <v>232</v>
      </c>
      <c r="D96" t="s">
        <v>1852</v>
      </c>
      <c r="E96" t="s">
        <v>1665</v>
      </c>
      <c r="F96">
        <v>0</v>
      </c>
      <c r="G96" s="10">
        <v>35377</v>
      </c>
      <c r="H96">
        <v>21</v>
      </c>
      <c r="I96" t="s">
        <v>2091</v>
      </c>
      <c r="J96" t="s">
        <v>1824</v>
      </c>
      <c r="K96">
        <v>6</v>
      </c>
      <c r="L96">
        <v>3</v>
      </c>
      <c r="M96">
        <v>5</v>
      </c>
      <c r="N96">
        <v>8</v>
      </c>
      <c r="O96">
        <v>3</v>
      </c>
      <c r="P96">
        <v>4</v>
      </c>
      <c r="Q96">
        <v>2</v>
      </c>
      <c r="R96">
        <v>2</v>
      </c>
      <c r="S96">
        <v>6</v>
      </c>
      <c r="T96" t="s">
        <v>2027</v>
      </c>
      <c r="U96" t="s">
        <v>2027</v>
      </c>
      <c r="V96" t="s">
        <v>2027</v>
      </c>
      <c r="W96" t="s">
        <v>2027</v>
      </c>
      <c r="X96" t="s">
        <v>2027</v>
      </c>
      <c r="Y96" t="s">
        <v>2027</v>
      </c>
      <c r="Z96" t="s">
        <v>2027</v>
      </c>
      <c r="AA96">
        <v>7</v>
      </c>
      <c r="AB96">
        <v>5</v>
      </c>
      <c r="AC96">
        <v>4</v>
      </c>
    </row>
    <row r="97" spans="1:29">
      <c r="A97" t="str">
        <f t="shared" si="1"/>
        <v>SSDan Bailey21</v>
      </c>
      <c r="B97">
        <v>3391</v>
      </c>
      <c r="C97">
        <v>46</v>
      </c>
      <c r="D97" t="s">
        <v>1939</v>
      </c>
      <c r="E97" t="s">
        <v>1893</v>
      </c>
      <c r="F97">
        <v>0</v>
      </c>
      <c r="G97" s="10">
        <v>35495</v>
      </c>
      <c r="H97">
        <v>21</v>
      </c>
      <c r="I97" t="s">
        <v>2074</v>
      </c>
      <c r="J97" t="s">
        <v>1824</v>
      </c>
      <c r="K97">
        <v>6</v>
      </c>
      <c r="L97">
        <v>8</v>
      </c>
      <c r="M97">
        <v>5</v>
      </c>
      <c r="N97">
        <v>7</v>
      </c>
      <c r="O97">
        <v>4</v>
      </c>
      <c r="P97">
        <v>5</v>
      </c>
      <c r="Q97">
        <v>10</v>
      </c>
      <c r="R97">
        <v>10</v>
      </c>
      <c r="S97" t="s">
        <v>2027</v>
      </c>
      <c r="T97">
        <v>8</v>
      </c>
      <c r="U97">
        <v>7</v>
      </c>
      <c r="V97" t="s">
        <v>2027</v>
      </c>
      <c r="W97">
        <v>6</v>
      </c>
      <c r="X97" t="s">
        <v>2027</v>
      </c>
      <c r="Y97" t="s">
        <v>2027</v>
      </c>
      <c r="Z97" t="s">
        <v>2027</v>
      </c>
      <c r="AA97">
        <v>1</v>
      </c>
      <c r="AB97">
        <v>7</v>
      </c>
      <c r="AC97">
        <v>3</v>
      </c>
    </row>
    <row r="98" spans="1:29">
      <c r="A98" t="str">
        <f t="shared" si="1"/>
        <v>1BWillie Clark21</v>
      </c>
      <c r="B98">
        <v>7323</v>
      </c>
      <c r="C98">
        <v>88</v>
      </c>
      <c r="D98" t="s">
        <v>1837</v>
      </c>
      <c r="E98" t="s">
        <v>1867</v>
      </c>
      <c r="F98">
        <v>0</v>
      </c>
      <c r="G98" s="10">
        <v>35339</v>
      </c>
      <c r="H98">
        <v>21</v>
      </c>
      <c r="I98" t="s">
        <v>2092</v>
      </c>
      <c r="J98" t="s">
        <v>1824</v>
      </c>
      <c r="K98">
        <v>6</v>
      </c>
      <c r="L98">
        <v>8</v>
      </c>
      <c r="M98">
        <v>5</v>
      </c>
      <c r="N98">
        <v>7</v>
      </c>
      <c r="O98">
        <v>7</v>
      </c>
      <c r="P98">
        <v>5</v>
      </c>
      <c r="Q98">
        <v>3</v>
      </c>
      <c r="R98">
        <v>7</v>
      </c>
      <c r="S98" t="s">
        <v>2027</v>
      </c>
      <c r="T98">
        <v>4</v>
      </c>
      <c r="U98" t="s">
        <v>2027</v>
      </c>
      <c r="V98" t="s">
        <v>2027</v>
      </c>
      <c r="W98" t="s">
        <v>2027</v>
      </c>
      <c r="X98" t="s">
        <v>2027</v>
      </c>
      <c r="Y98" t="s">
        <v>2027</v>
      </c>
      <c r="Z98" t="s">
        <v>2027</v>
      </c>
      <c r="AA98">
        <v>4</v>
      </c>
      <c r="AB98">
        <v>3</v>
      </c>
      <c r="AC98">
        <v>4</v>
      </c>
    </row>
    <row r="99" spans="1:29">
      <c r="A99" t="str">
        <f t="shared" si="1"/>
        <v>1BLarry McIntosh21</v>
      </c>
      <c r="B99">
        <v>6975</v>
      </c>
      <c r="C99">
        <v>226</v>
      </c>
      <c r="D99" t="s">
        <v>1743</v>
      </c>
      <c r="E99" t="s">
        <v>555</v>
      </c>
      <c r="F99">
        <v>0</v>
      </c>
      <c r="G99" s="10">
        <v>35445</v>
      </c>
      <c r="H99">
        <v>21</v>
      </c>
      <c r="I99" t="s">
        <v>2092</v>
      </c>
      <c r="J99" t="s">
        <v>1824</v>
      </c>
      <c r="K99">
        <v>6</v>
      </c>
      <c r="L99">
        <v>4</v>
      </c>
      <c r="M99">
        <v>5</v>
      </c>
      <c r="N99">
        <v>7</v>
      </c>
      <c r="O99">
        <v>7</v>
      </c>
      <c r="P99">
        <v>4</v>
      </c>
      <c r="Q99">
        <v>1</v>
      </c>
      <c r="R99">
        <v>1</v>
      </c>
      <c r="S99" t="s">
        <v>2027</v>
      </c>
      <c r="T99">
        <v>4</v>
      </c>
      <c r="U99" t="s">
        <v>2027</v>
      </c>
      <c r="V99" t="s">
        <v>2027</v>
      </c>
      <c r="W99" t="s">
        <v>2027</v>
      </c>
      <c r="X99" t="s">
        <v>2027</v>
      </c>
      <c r="Y99" t="s">
        <v>2027</v>
      </c>
      <c r="Z99" t="s">
        <v>2027</v>
      </c>
      <c r="AA99">
        <v>3</v>
      </c>
      <c r="AB99">
        <v>2</v>
      </c>
      <c r="AC99">
        <v>2</v>
      </c>
    </row>
    <row r="100" spans="1:29">
      <c r="A100" t="str">
        <f t="shared" si="1"/>
        <v>2BJoe Walsh21</v>
      </c>
      <c r="B100">
        <v>6580</v>
      </c>
      <c r="C100">
        <v>107</v>
      </c>
      <c r="D100" t="s">
        <v>1937</v>
      </c>
      <c r="E100" t="s">
        <v>1689</v>
      </c>
      <c r="F100">
        <v>0</v>
      </c>
      <c r="G100" s="10">
        <v>35245</v>
      </c>
      <c r="H100">
        <v>21</v>
      </c>
      <c r="I100" t="s">
        <v>2069</v>
      </c>
      <c r="J100" t="s">
        <v>1824</v>
      </c>
      <c r="K100">
        <v>6</v>
      </c>
      <c r="L100">
        <v>7</v>
      </c>
      <c r="M100">
        <v>5</v>
      </c>
      <c r="N100">
        <v>7</v>
      </c>
      <c r="O100">
        <v>5</v>
      </c>
      <c r="P100">
        <v>8</v>
      </c>
      <c r="Q100">
        <v>10</v>
      </c>
      <c r="R100">
        <v>10</v>
      </c>
      <c r="S100" t="s">
        <v>2027</v>
      </c>
      <c r="T100">
        <v>3</v>
      </c>
      <c r="U100">
        <v>5</v>
      </c>
      <c r="V100">
        <v>5</v>
      </c>
      <c r="W100" t="s">
        <v>2027</v>
      </c>
      <c r="X100" t="s">
        <v>2027</v>
      </c>
      <c r="Y100" t="s">
        <v>2027</v>
      </c>
      <c r="Z100" t="s">
        <v>2027</v>
      </c>
      <c r="AA100">
        <v>1</v>
      </c>
      <c r="AB100">
        <v>4</v>
      </c>
      <c r="AC100">
        <v>2</v>
      </c>
    </row>
    <row r="101" spans="1:29">
      <c r="A101" t="str">
        <f t="shared" si="1"/>
        <v>LFMiguel Campoy21</v>
      </c>
      <c r="B101">
        <v>2903</v>
      </c>
      <c r="C101">
        <v>19</v>
      </c>
      <c r="D101" t="s">
        <v>1977</v>
      </c>
      <c r="E101" t="s">
        <v>514</v>
      </c>
      <c r="F101">
        <v>0</v>
      </c>
      <c r="G101" s="10">
        <v>35462</v>
      </c>
      <c r="H101">
        <v>21</v>
      </c>
      <c r="I101" t="s">
        <v>2035</v>
      </c>
      <c r="J101" t="s">
        <v>1824</v>
      </c>
      <c r="K101">
        <v>6</v>
      </c>
      <c r="L101">
        <v>9</v>
      </c>
      <c r="M101">
        <v>5</v>
      </c>
      <c r="N101">
        <v>6</v>
      </c>
      <c r="O101">
        <v>4</v>
      </c>
      <c r="P101">
        <v>8</v>
      </c>
      <c r="Q101">
        <v>7</v>
      </c>
      <c r="R101">
        <v>8</v>
      </c>
      <c r="S101" t="s">
        <v>2027</v>
      </c>
      <c r="T101" t="s">
        <v>2027</v>
      </c>
      <c r="U101" t="s">
        <v>2027</v>
      </c>
      <c r="V101" t="s">
        <v>2027</v>
      </c>
      <c r="W101" t="s">
        <v>2027</v>
      </c>
      <c r="X101">
        <v>7</v>
      </c>
      <c r="Y101" t="s">
        <v>2027</v>
      </c>
      <c r="Z101">
        <v>4</v>
      </c>
      <c r="AA101">
        <v>3</v>
      </c>
      <c r="AB101">
        <v>1</v>
      </c>
      <c r="AC101">
        <v>7</v>
      </c>
    </row>
    <row r="102" spans="1:29">
      <c r="A102" t="str">
        <f t="shared" si="1"/>
        <v>2BTom·s Hern·ndez21</v>
      </c>
      <c r="B102">
        <v>8466</v>
      </c>
      <c r="C102">
        <v>102</v>
      </c>
      <c r="D102" t="s">
        <v>127</v>
      </c>
      <c r="E102" t="s">
        <v>122</v>
      </c>
      <c r="F102">
        <v>0</v>
      </c>
      <c r="G102" s="10">
        <v>35353</v>
      </c>
      <c r="H102">
        <v>21</v>
      </c>
      <c r="I102" t="s">
        <v>2069</v>
      </c>
      <c r="J102" t="s">
        <v>1824</v>
      </c>
      <c r="K102">
        <v>6</v>
      </c>
      <c r="L102">
        <v>8</v>
      </c>
      <c r="M102">
        <v>5</v>
      </c>
      <c r="N102">
        <v>6</v>
      </c>
      <c r="O102">
        <v>7</v>
      </c>
      <c r="P102">
        <v>9</v>
      </c>
      <c r="Q102">
        <v>3</v>
      </c>
      <c r="R102">
        <v>7</v>
      </c>
      <c r="S102" t="s">
        <v>2027</v>
      </c>
      <c r="T102">
        <v>7</v>
      </c>
      <c r="U102">
        <v>9</v>
      </c>
      <c r="V102">
        <v>3</v>
      </c>
      <c r="W102">
        <v>4</v>
      </c>
      <c r="X102" t="s">
        <v>2027</v>
      </c>
      <c r="Y102" t="s">
        <v>2027</v>
      </c>
      <c r="Z102" t="s">
        <v>2027</v>
      </c>
      <c r="AA102">
        <v>5</v>
      </c>
      <c r="AB102">
        <v>6</v>
      </c>
      <c r="AC102">
        <v>1</v>
      </c>
    </row>
    <row r="103" spans="1:29">
      <c r="A103" t="str">
        <f t="shared" si="1"/>
        <v>C-Jes˙s LÛpez22</v>
      </c>
      <c r="B103">
        <v>3380</v>
      </c>
      <c r="C103">
        <v>85</v>
      </c>
      <c r="D103" t="s">
        <v>112</v>
      </c>
      <c r="E103" t="s">
        <v>113</v>
      </c>
      <c r="F103">
        <v>0</v>
      </c>
      <c r="G103" s="10">
        <v>34890</v>
      </c>
      <c r="H103">
        <v>22</v>
      </c>
      <c r="I103" t="s">
        <v>2091</v>
      </c>
      <c r="J103" t="s">
        <v>1824</v>
      </c>
      <c r="K103">
        <v>6</v>
      </c>
      <c r="L103">
        <v>10</v>
      </c>
      <c r="M103">
        <v>5</v>
      </c>
      <c r="N103">
        <v>6</v>
      </c>
      <c r="O103">
        <v>3</v>
      </c>
      <c r="P103">
        <v>5</v>
      </c>
      <c r="Q103">
        <v>5</v>
      </c>
      <c r="R103">
        <v>4</v>
      </c>
      <c r="S103">
        <v>7</v>
      </c>
      <c r="T103" t="s">
        <v>2027</v>
      </c>
      <c r="U103" t="s">
        <v>2027</v>
      </c>
      <c r="V103" t="s">
        <v>2027</v>
      </c>
      <c r="W103" t="s">
        <v>2027</v>
      </c>
      <c r="X103" t="s">
        <v>2027</v>
      </c>
      <c r="Y103" t="s">
        <v>2027</v>
      </c>
      <c r="Z103" t="s">
        <v>2027</v>
      </c>
      <c r="AA103">
        <v>8</v>
      </c>
      <c r="AB103">
        <v>5</v>
      </c>
      <c r="AC103">
        <v>2</v>
      </c>
    </row>
    <row r="104" spans="1:29">
      <c r="A104" t="str">
        <f t="shared" si="1"/>
        <v>C-Dale Schroeder21</v>
      </c>
      <c r="B104">
        <v>6825</v>
      </c>
      <c r="C104">
        <v>217</v>
      </c>
      <c r="D104" t="s">
        <v>548</v>
      </c>
      <c r="E104" t="s">
        <v>554</v>
      </c>
      <c r="F104">
        <v>0</v>
      </c>
      <c r="G104" s="10">
        <v>35558</v>
      </c>
      <c r="H104">
        <v>21</v>
      </c>
      <c r="I104" t="s">
        <v>2091</v>
      </c>
      <c r="J104" t="s">
        <v>1824</v>
      </c>
      <c r="K104">
        <v>6</v>
      </c>
      <c r="L104">
        <v>7</v>
      </c>
      <c r="M104">
        <v>5</v>
      </c>
      <c r="N104">
        <v>6</v>
      </c>
      <c r="O104">
        <v>6</v>
      </c>
      <c r="P104">
        <v>2</v>
      </c>
      <c r="Q104">
        <v>3</v>
      </c>
      <c r="R104">
        <v>4</v>
      </c>
      <c r="S104">
        <v>5</v>
      </c>
      <c r="T104">
        <v>3</v>
      </c>
      <c r="U104" t="s">
        <v>2027</v>
      </c>
      <c r="V104" t="s">
        <v>2027</v>
      </c>
      <c r="W104" t="s">
        <v>2027</v>
      </c>
      <c r="X104" t="s">
        <v>2027</v>
      </c>
      <c r="Y104" t="s">
        <v>2027</v>
      </c>
      <c r="Z104" t="s">
        <v>2027</v>
      </c>
      <c r="AA104">
        <v>6</v>
      </c>
      <c r="AB104">
        <v>6</v>
      </c>
      <c r="AC104">
        <v>7</v>
      </c>
    </row>
    <row r="105" spans="1:29">
      <c r="A105" t="str">
        <f t="shared" si="1"/>
        <v>1BClarence Duncan21</v>
      </c>
      <c r="B105">
        <v>9326</v>
      </c>
      <c r="C105">
        <v>312</v>
      </c>
      <c r="D105" t="s">
        <v>349</v>
      </c>
      <c r="E105" t="s">
        <v>350</v>
      </c>
      <c r="F105">
        <v>0</v>
      </c>
      <c r="G105" s="10">
        <v>35329</v>
      </c>
      <c r="H105">
        <v>21</v>
      </c>
      <c r="I105" t="s">
        <v>2092</v>
      </c>
      <c r="J105" t="s">
        <v>1824</v>
      </c>
      <c r="K105">
        <v>6</v>
      </c>
      <c r="L105">
        <v>6</v>
      </c>
      <c r="M105">
        <v>5</v>
      </c>
      <c r="N105">
        <v>5</v>
      </c>
      <c r="O105">
        <v>3</v>
      </c>
      <c r="P105">
        <v>4</v>
      </c>
      <c r="Q105">
        <v>6</v>
      </c>
      <c r="R105">
        <v>4</v>
      </c>
      <c r="S105" t="s">
        <v>2027</v>
      </c>
      <c r="T105">
        <v>8</v>
      </c>
      <c r="U105" t="s">
        <v>2027</v>
      </c>
      <c r="V105">
        <v>5</v>
      </c>
      <c r="W105" t="s">
        <v>2027</v>
      </c>
      <c r="X105" t="s">
        <v>2027</v>
      </c>
      <c r="Y105" t="s">
        <v>2027</v>
      </c>
      <c r="Z105" t="s">
        <v>2027</v>
      </c>
      <c r="AA105">
        <v>1</v>
      </c>
      <c r="AB105">
        <v>10</v>
      </c>
      <c r="AC105">
        <v>1</v>
      </c>
    </row>
    <row r="106" spans="1:29">
      <c r="A106" t="str">
        <f t="shared" si="1"/>
        <v>C-Juan GÛmez21</v>
      </c>
      <c r="B106">
        <v>2357</v>
      </c>
      <c r="C106">
        <v>141</v>
      </c>
      <c r="D106" t="s">
        <v>1835</v>
      </c>
      <c r="E106" t="s">
        <v>128</v>
      </c>
      <c r="F106">
        <v>0</v>
      </c>
      <c r="G106" s="10">
        <v>35572</v>
      </c>
      <c r="H106">
        <v>21</v>
      </c>
      <c r="I106" t="s">
        <v>2091</v>
      </c>
      <c r="J106" t="s">
        <v>1824</v>
      </c>
      <c r="K106">
        <v>6</v>
      </c>
      <c r="L106">
        <v>5</v>
      </c>
      <c r="M106">
        <v>5</v>
      </c>
      <c r="N106">
        <v>5</v>
      </c>
      <c r="O106">
        <v>4</v>
      </c>
      <c r="P106">
        <v>10</v>
      </c>
      <c r="Q106">
        <v>9</v>
      </c>
      <c r="R106">
        <v>9</v>
      </c>
      <c r="S106">
        <v>6</v>
      </c>
      <c r="T106" t="s">
        <v>2027</v>
      </c>
      <c r="U106" t="s">
        <v>2027</v>
      </c>
      <c r="V106" t="s">
        <v>2027</v>
      </c>
      <c r="W106" t="s">
        <v>2027</v>
      </c>
      <c r="X106" t="s">
        <v>2027</v>
      </c>
      <c r="Y106" t="s">
        <v>2027</v>
      </c>
      <c r="Z106" t="s">
        <v>2027</v>
      </c>
      <c r="AA106">
        <v>7</v>
      </c>
      <c r="AB106">
        <v>3</v>
      </c>
      <c r="AC106">
        <v>2</v>
      </c>
    </row>
    <row r="107" spans="1:29">
      <c r="A107" t="str">
        <f t="shared" si="1"/>
        <v>SSDavid Henderson21</v>
      </c>
      <c r="B107">
        <v>9107</v>
      </c>
      <c r="C107">
        <v>179</v>
      </c>
      <c r="D107" t="s">
        <v>1908</v>
      </c>
      <c r="E107" t="s">
        <v>294</v>
      </c>
      <c r="F107">
        <v>0</v>
      </c>
      <c r="G107" s="10">
        <v>35435</v>
      </c>
      <c r="H107">
        <v>21</v>
      </c>
      <c r="I107" t="s">
        <v>2074</v>
      </c>
      <c r="J107" t="s">
        <v>1824</v>
      </c>
      <c r="K107">
        <v>6</v>
      </c>
      <c r="L107">
        <v>9</v>
      </c>
      <c r="M107">
        <v>5</v>
      </c>
      <c r="N107">
        <v>5</v>
      </c>
      <c r="O107">
        <v>6</v>
      </c>
      <c r="P107">
        <v>6</v>
      </c>
      <c r="Q107">
        <v>6</v>
      </c>
      <c r="R107">
        <v>7</v>
      </c>
      <c r="S107" t="s">
        <v>2027</v>
      </c>
      <c r="T107" t="s">
        <v>2027</v>
      </c>
      <c r="U107">
        <v>4</v>
      </c>
      <c r="V107">
        <v>3</v>
      </c>
      <c r="W107">
        <v>4</v>
      </c>
      <c r="X107" t="s">
        <v>2027</v>
      </c>
      <c r="Y107" t="s">
        <v>2027</v>
      </c>
      <c r="Z107" t="s">
        <v>2027</v>
      </c>
      <c r="AA107">
        <v>2</v>
      </c>
      <c r="AB107">
        <v>9</v>
      </c>
      <c r="AC107">
        <v>5</v>
      </c>
    </row>
    <row r="108" spans="1:29">
      <c r="A108" t="str">
        <f t="shared" si="1"/>
        <v>2BManolito Padilla21</v>
      </c>
      <c r="B108">
        <v>3014</v>
      </c>
      <c r="C108">
        <v>214</v>
      </c>
      <c r="D108" t="s">
        <v>288</v>
      </c>
      <c r="E108" t="s">
        <v>1671</v>
      </c>
      <c r="F108">
        <v>0</v>
      </c>
      <c r="G108" s="10">
        <v>35399</v>
      </c>
      <c r="H108">
        <v>21</v>
      </c>
      <c r="I108" t="s">
        <v>2069</v>
      </c>
      <c r="J108" t="s">
        <v>1824</v>
      </c>
      <c r="K108">
        <v>6</v>
      </c>
      <c r="L108">
        <v>6</v>
      </c>
      <c r="M108">
        <v>5</v>
      </c>
      <c r="N108">
        <v>5</v>
      </c>
      <c r="O108">
        <v>4</v>
      </c>
      <c r="P108">
        <v>9</v>
      </c>
      <c r="Q108">
        <v>10</v>
      </c>
      <c r="R108">
        <v>7</v>
      </c>
      <c r="S108" t="s">
        <v>2027</v>
      </c>
      <c r="T108" t="s">
        <v>2027</v>
      </c>
      <c r="U108">
        <v>5</v>
      </c>
      <c r="V108">
        <v>4</v>
      </c>
      <c r="W108" t="s">
        <v>2027</v>
      </c>
      <c r="X108" t="s">
        <v>2027</v>
      </c>
      <c r="Y108" t="s">
        <v>2027</v>
      </c>
      <c r="Z108" t="s">
        <v>2027</v>
      </c>
      <c r="AA108">
        <v>3</v>
      </c>
      <c r="AB108">
        <v>6</v>
      </c>
      <c r="AC108">
        <v>2</v>
      </c>
    </row>
    <row r="109" spans="1:29">
      <c r="A109" t="str">
        <f t="shared" si="1"/>
        <v>1BHÈctor JimÈnez21</v>
      </c>
      <c r="B109">
        <v>5631</v>
      </c>
      <c r="C109">
        <v>210</v>
      </c>
      <c r="D109" t="s">
        <v>129</v>
      </c>
      <c r="E109" t="s">
        <v>111</v>
      </c>
      <c r="F109">
        <v>0</v>
      </c>
      <c r="G109" s="10">
        <v>35422</v>
      </c>
      <c r="H109">
        <v>21</v>
      </c>
      <c r="I109" t="s">
        <v>2092</v>
      </c>
      <c r="J109" t="s">
        <v>1824</v>
      </c>
      <c r="K109">
        <v>6</v>
      </c>
      <c r="L109">
        <v>7</v>
      </c>
      <c r="M109">
        <v>5</v>
      </c>
      <c r="N109">
        <v>4</v>
      </c>
      <c r="O109">
        <v>4</v>
      </c>
      <c r="P109">
        <v>9</v>
      </c>
      <c r="Q109">
        <v>8</v>
      </c>
      <c r="R109">
        <v>7</v>
      </c>
      <c r="S109" t="s">
        <v>2027</v>
      </c>
      <c r="T109">
        <v>8</v>
      </c>
      <c r="U109" t="s">
        <v>2027</v>
      </c>
      <c r="V109">
        <v>4</v>
      </c>
      <c r="W109" t="s">
        <v>2027</v>
      </c>
      <c r="X109" t="s">
        <v>2027</v>
      </c>
      <c r="Y109" t="s">
        <v>2027</v>
      </c>
      <c r="Z109" t="s">
        <v>2027</v>
      </c>
      <c r="AA109">
        <v>4</v>
      </c>
      <c r="AB109">
        <v>6</v>
      </c>
      <c r="AC109">
        <v>2</v>
      </c>
    </row>
    <row r="110" spans="1:29">
      <c r="A110" t="str">
        <f t="shared" si="1"/>
        <v>C-Raymond Powys21</v>
      </c>
      <c r="B110">
        <v>2988</v>
      </c>
      <c r="C110">
        <v>350</v>
      </c>
      <c r="D110" t="s">
        <v>295</v>
      </c>
      <c r="E110" t="s">
        <v>296</v>
      </c>
      <c r="F110">
        <v>0</v>
      </c>
      <c r="G110" s="10">
        <v>35524</v>
      </c>
      <c r="H110">
        <v>21</v>
      </c>
      <c r="I110" t="s">
        <v>2091</v>
      </c>
      <c r="J110" t="s">
        <v>1824</v>
      </c>
      <c r="K110">
        <v>6</v>
      </c>
      <c r="L110">
        <v>5</v>
      </c>
      <c r="M110">
        <v>5</v>
      </c>
      <c r="N110">
        <v>4</v>
      </c>
      <c r="O110">
        <v>4</v>
      </c>
      <c r="P110">
        <v>2</v>
      </c>
      <c r="Q110">
        <v>5</v>
      </c>
      <c r="R110">
        <v>1</v>
      </c>
      <c r="S110">
        <v>4</v>
      </c>
      <c r="T110" t="s">
        <v>2027</v>
      </c>
      <c r="U110" t="s">
        <v>2027</v>
      </c>
      <c r="V110" t="s">
        <v>2027</v>
      </c>
      <c r="W110" t="s">
        <v>2027</v>
      </c>
      <c r="X110" t="s">
        <v>2027</v>
      </c>
      <c r="Y110" t="s">
        <v>2027</v>
      </c>
      <c r="Z110" t="s">
        <v>2027</v>
      </c>
      <c r="AA110">
        <v>6</v>
      </c>
      <c r="AB110">
        <v>6</v>
      </c>
      <c r="AC110">
        <v>5</v>
      </c>
    </row>
    <row r="111" spans="1:29">
      <c r="A111" t="str">
        <f t="shared" si="1"/>
        <v>RFJuan Carlos Robles21</v>
      </c>
      <c r="B111">
        <v>2689</v>
      </c>
      <c r="C111">
        <v>251</v>
      </c>
      <c r="D111" t="s">
        <v>367</v>
      </c>
      <c r="E111" t="s">
        <v>368</v>
      </c>
      <c r="F111">
        <v>0</v>
      </c>
      <c r="G111" s="10">
        <v>35323</v>
      </c>
      <c r="H111">
        <v>21</v>
      </c>
      <c r="I111" t="s">
        <v>2057</v>
      </c>
      <c r="J111" t="s">
        <v>1824</v>
      </c>
      <c r="K111">
        <v>6</v>
      </c>
      <c r="L111">
        <v>4</v>
      </c>
      <c r="M111">
        <v>5</v>
      </c>
      <c r="N111">
        <v>4</v>
      </c>
      <c r="O111">
        <v>7</v>
      </c>
      <c r="P111">
        <v>9</v>
      </c>
      <c r="Q111">
        <v>6</v>
      </c>
      <c r="R111">
        <v>9</v>
      </c>
      <c r="S111" t="s">
        <v>2027</v>
      </c>
      <c r="T111" t="s">
        <v>2027</v>
      </c>
      <c r="U111" t="s">
        <v>2027</v>
      </c>
      <c r="V111" t="s">
        <v>2027</v>
      </c>
      <c r="W111" t="s">
        <v>2027</v>
      </c>
      <c r="X111">
        <v>4</v>
      </c>
      <c r="Y111" t="s">
        <v>2027</v>
      </c>
      <c r="Z111">
        <v>4</v>
      </c>
      <c r="AA111">
        <v>4</v>
      </c>
      <c r="AB111">
        <v>1</v>
      </c>
      <c r="AC111">
        <v>8</v>
      </c>
    </row>
    <row r="112" spans="1:29">
      <c r="A112" t="str">
        <f t="shared" si="1"/>
        <v>LFRodney Armstrong17</v>
      </c>
      <c r="B112">
        <v>3589</v>
      </c>
      <c r="C112">
        <v>431</v>
      </c>
      <c r="D112" t="s">
        <v>1759</v>
      </c>
      <c r="E112" t="s">
        <v>313</v>
      </c>
      <c r="F112">
        <v>0</v>
      </c>
      <c r="G112" s="10">
        <v>36679</v>
      </c>
      <c r="H112">
        <v>17</v>
      </c>
      <c r="I112" t="s">
        <v>2035</v>
      </c>
      <c r="J112" t="s">
        <v>1824</v>
      </c>
      <c r="K112">
        <v>6</v>
      </c>
      <c r="L112">
        <v>6</v>
      </c>
      <c r="M112">
        <v>5</v>
      </c>
      <c r="N112">
        <v>3</v>
      </c>
      <c r="O112">
        <v>6</v>
      </c>
      <c r="P112">
        <v>9</v>
      </c>
      <c r="Q112">
        <v>8</v>
      </c>
      <c r="R112">
        <v>8</v>
      </c>
      <c r="S112" t="s">
        <v>2027</v>
      </c>
      <c r="T112" t="s">
        <v>2027</v>
      </c>
      <c r="U112" t="s">
        <v>2027</v>
      </c>
      <c r="V112" t="s">
        <v>2027</v>
      </c>
      <c r="W112" t="s">
        <v>2027</v>
      </c>
      <c r="X112">
        <v>6</v>
      </c>
      <c r="Y112" t="s">
        <v>2027</v>
      </c>
      <c r="Z112">
        <v>3</v>
      </c>
      <c r="AA112">
        <v>4</v>
      </c>
      <c r="AB112">
        <v>4</v>
      </c>
      <c r="AC112">
        <v>9</v>
      </c>
    </row>
    <row r="113" spans="1:29">
      <c r="A113" t="str">
        <f t="shared" si="1"/>
        <v>C-JosÈ Gonz·lez21</v>
      </c>
      <c r="B113">
        <v>2589</v>
      </c>
      <c r="C113">
        <v>338</v>
      </c>
      <c r="D113" t="s">
        <v>116</v>
      </c>
      <c r="E113" t="s">
        <v>130</v>
      </c>
      <c r="F113">
        <v>0</v>
      </c>
      <c r="G113" s="10">
        <v>35505</v>
      </c>
      <c r="H113">
        <v>21</v>
      </c>
      <c r="I113" t="s">
        <v>2091</v>
      </c>
      <c r="J113" t="s">
        <v>1824</v>
      </c>
      <c r="K113">
        <v>6</v>
      </c>
      <c r="L113">
        <v>3</v>
      </c>
      <c r="M113">
        <v>5</v>
      </c>
      <c r="N113">
        <v>3</v>
      </c>
      <c r="O113">
        <v>6</v>
      </c>
      <c r="P113">
        <v>7</v>
      </c>
      <c r="Q113">
        <v>2</v>
      </c>
      <c r="R113">
        <v>1</v>
      </c>
      <c r="S113">
        <v>7</v>
      </c>
      <c r="T113" t="s">
        <v>2027</v>
      </c>
      <c r="U113" t="s">
        <v>2027</v>
      </c>
      <c r="V113" t="s">
        <v>2027</v>
      </c>
      <c r="W113" t="s">
        <v>2027</v>
      </c>
      <c r="X113" t="s">
        <v>2027</v>
      </c>
      <c r="Y113" t="s">
        <v>2027</v>
      </c>
      <c r="Z113" t="s">
        <v>2027</v>
      </c>
      <c r="AA113">
        <v>8</v>
      </c>
      <c r="AB113">
        <v>5</v>
      </c>
      <c r="AC113">
        <v>5</v>
      </c>
    </row>
    <row r="114" spans="1:29">
      <c r="A114" t="str">
        <f t="shared" si="1"/>
        <v>LFGlenn Kenney21</v>
      </c>
      <c r="B114">
        <v>7407</v>
      </c>
      <c r="C114">
        <v>452</v>
      </c>
      <c r="D114" t="s">
        <v>1670</v>
      </c>
      <c r="E114" t="s">
        <v>354</v>
      </c>
      <c r="F114">
        <v>0</v>
      </c>
      <c r="G114" s="10">
        <v>35484</v>
      </c>
      <c r="H114">
        <v>21</v>
      </c>
      <c r="I114" t="s">
        <v>2035</v>
      </c>
      <c r="J114" t="s">
        <v>1824</v>
      </c>
      <c r="K114">
        <v>6</v>
      </c>
      <c r="L114">
        <v>5</v>
      </c>
      <c r="M114">
        <v>5</v>
      </c>
      <c r="N114">
        <v>3</v>
      </c>
      <c r="O114">
        <v>8</v>
      </c>
      <c r="P114">
        <v>4</v>
      </c>
      <c r="Q114">
        <v>8</v>
      </c>
      <c r="R114">
        <v>6</v>
      </c>
      <c r="S114" t="s">
        <v>2027</v>
      </c>
      <c r="T114" t="s">
        <v>2027</v>
      </c>
      <c r="U114" t="s">
        <v>2027</v>
      </c>
      <c r="V114" t="s">
        <v>2027</v>
      </c>
      <c r="W114" t="s">
        <v>2027</v>
      </c>
      <c r="X114">
        <v>3</v>
      </c>
      <c r="Y114">
        <v>4</v>
      </c>
      <c r="Z114">
        <v>3</v>
      </c>
      <c r="AA114">
        <v>2</v>
      </c>
      <c r="AB114">
        <v>4</v>
      </c>
      <c r="AC114">
        <v>10</v>
      </c>
    </row>
    <row r="115" spans="1:29">
      <c r="A115" t="str">
        <f t="shared" si="1"/>
        <v>C-Ken Wright21</v>
      </c>
      <c r="B115">
        <v>2447</v>
      </c>
      <c r="C115">
        <v>329</v>
      </c>
      <c r="D115" t="s">
        <v>1852</v>
      </c>
      <c r="E115" t="s">
        <v>1780</v>
      </c>
      <c r="F115">
        <v>0</v>
      </c>
      <c r="G115" s="10">
        <v>35352</v>
      </c>
      <c r="H115">
        <v>21</v>
      </c>
      <c r="I115" t="s">
        <v>2091</v>
      </c>
      <c r="J115" t="s">
        <v>1824</v>
      </c>
      <c r="K115">
        <v>6</v>
      </c>
      <c r="L115">
        <v>5</v>
      </c>
      <c r="M115">
        <v>5</v>
      </c>
      <c r="N115">
        <v>3</v>
      </c>
      <c r="O115">
        <v>3</v>
      </c>
      <c r="P115">
        <v>5</v>
      </c>
      <c r="Q115">
        <v>8</v>
      </c>
      <c r="R115">
        <v>7</v>
      </c>
      <c r="S115">
        <v>5</v>
      </c>
      <c r="T115">
        <v>4</v>
      </c>
      <c r="U115" t="s">
        <v>2027</v>
      </c>
      <c r="V115" t="s">
        <v>2027</v>
      </c>
      <c r="W115" t="s">
        <v>2027</v>
      </c>
      <c r="X115" t="s">
        <v>2027</v>
      </c>
      <c r="Y115" t="s">
        <v>2027</v>
      </c>
      <c r="Z115" t="s">
        <v>2027</v>
      </c>
      <c r="AA115">
        <v>7</v>
      </c>
      <c r="AB115">
        <v>7</v>
      </c>
      <c r="AC115">
        <v>3</v>
      </c>
    </row>
    <row r="116" spans="1:29">
      <c r="A116" t="str">
        <f t="shared" si="1"/>
        <v>LFTyler Wright21</v>
      </c>
      <c r="B116">
        <v>2584</v>
      </c>
      <c r="C116">
        <v>275</v>
      </c>
      <c r="D116" t="s">
        <v>302</v>
      </c>
      <c r="E116" t="s">
        <v>1780</v>
      </c>
      <c r="F116">
        <v>0</v>
      </c>
      <c r="G116" s="10">
        <v>35506</v>
      </c>
      <c r="H116">
        <v>21</v>
      </c>
      <c r="I116" t="s">
        <v>2035</v>
      </c>
      <c r="J116" t="s">
        <v>1824</v>
      </c>
      <c r="K116">
        <v>6</v>
      </c>
      <c r="L116">
        <v>4</v>
      </c>
      <c r="M116">
        <v>5</v>
      </c>
      <c r="N116">
        <v>3</v>
      </c>
      <c r="O116">
        <v>5</v>
      </c>
      <c r="P116">
        <v>10</v>
      </c>
      <c r="Q116">
        <v>10</v>
      </c>
      <c r="R116">
        <v>9</v>
      </c>
      <c r="S116" t="s">
        <v>2027</v>
      </c>
      <c r="T116">
        <v>1</v>
      </c>
      <c r="U116" t="s">
        <v>2027</v>
      </c>
      <c r="V116" t="s">
        <v>2027</v>
      </c>
      <c r="W116" t="s">
        <v>2027</v>
      </c>
      <c r="X116">
        <v>7</v>
      </c>
      <c r="Y116">
        <v>4</v>
      </c>
      <c r="Z116">
        <v>6</v>
      </c>
      <c r="AA116">
        <v>5</v>
      </c>
      <c r="AB116">
        <v>1</v>
      </c>
      <c r="AC116">
        <v>9</v>
      </c>
    </row>
    <row r="117" spans="1:29">
      <c r="A117" t="str">
        <f t="shared" si="1"/>
        <v>2BLonnie Evans18</v>
      </c>
      <c r="B117">
        <v>986</v>
      </c>
      <c r="C117">
        <v>8</v>
      </c>
      <c r="D117" t="s">
        <v>454</v>
      </c>
      <c r="E117" t="s">
        <v>1740</v>
      </c>
      <c r="F117">
        <v>0</v>
      </c>
      <c r="G117" s="10">
        <v>36604</v>
      </c>
      <c r="H117">
        <v>18</v>
      </c>
      <c r="I117" t="s">
        <v>2069</v>
      </c>
      <c r="J117" t="s">
        <v>1824</v>
      </c>
      <c r="K117">
        <v>6</v>
      </c>
      <c r="L117">
        <v>4</v>
      </c>
      <c r="M117">
        <v>4</v>
      </c>
      <c r="N117">
        <v>8</v>
      </c>
      <c r="O117">
        <v>6</v>
      </c>
      <c r="P117">
        <v>9</v>
      </c>
      <c r="Q117">
        <v>5</v>
      </c>
      <c r="R117">
        <v>4</v>
      </c>
      <c r="S117" t="s">
        <v>2027</v>
      </c>
      <c r="T117" t="s">
        <v>2027</v>
      </c>
      <c r="U117">
        <v>3</v>
      </c>
      <c r="V117" t="s">
        <v>2027</v>
      </c>
      <c r="W117">
        <v>1</v>
      </c>
      <c r="X117" t="s">
        <v>2027</v>
      </c>
      <c r="Y117" t="s">
        <v>2027</v>
      </c>
      <c r="Z117" t="s">
        <v>2027</v>
      </c>
      <c r="AA117">
        <v>3</v>
      </c>
      <c r="AB117">
        <v>4</v>
      </c>
      <c r="AC117">
        <v>1</v>
      </c>
    </row>
    <row r="118" spans="1:29">
      <c r="A118" t="str">
        <f t="shared" si="1"/>
        <v>SSBobby Miller21</v>
      </c>
      <c r="B118">
        <v>2017</v>
      </c>
      <c r="C118">
        <v>57</v>
      </c>
      <c r="D118" t="s">
        <v>1779</v>
      </c>
      <c r="E118" t="s">
        <v>1892</v>
      </c>
      <c r="F118">
        <v>0</v>
      </c>
      <c r="G118" s="10">
        <v>35374</v>
      </c>
      <c r="H118">
        <v>21</v>
      </c>
      <c r="I118" t="s">
        <v>2074</v>
      </c>
      <c r="J118" t="s">
        <v>1824</v>
      </c>
      <c r="K118">
        <v>6</v>
      </c>
      <c r="L118">
        <v>7</v>
      </c>
      <c r="M118">
        <v>4</v>
      </c>
      <c r="N118">
        <v>7</v>
      </c>
      <c r="O118">
        <v>4</v>
      </c>
      <c r="P118">
        <v>10</v>
      </c>
      <c r="Q118">
        <v>8</v>
      </c>
      <c r="R118">
        <v>8</v>
      </c>
      <c r="S118" t="s">
        <v>2027</v>
      </c>
      <c r="T118" t="s">
        <v>2027</v>
      </c>
      <c r="U118" t="s">
        <v>2027</v>
      </c>
      <c r="V118">
        <v>6</v>
      </c>
      <c r="W118">
        <v>7</v>
      </c>
      <c r="X118" t="s">
        <v>2027</v>
      </c>
      <c r="Y118" t="s">
        <v>2027</v>
      </c>
      <c r="Z118" t="s">
        <v>2027</v>
      </c>
      <c r="AA118">
        <v>4</v>
      </c>
      <c r="AB118">
        <v>5</v>
      </c>
      <c r="AC118">
        <v>1</v>
      </c>
    </row>
    <row r="119" spans="1:29">
      <c r="A119" t="str">
        <f t="shared" si="1"/>
        <v>LFHiroshige Maruyama21</v>
      </c>
      <c r="B119">
        <v>7773</v>
      </c>
      <c r="C119">
        <v>165</v>
      </c>
      <c r="D119" t="s">
        <v>352</v>
      </c>
      <c r="E119" t="s">
        <v>353</v>
      </c>
      <c r="F119">
        <v>0</v>
      </c>
      <c r="G119" s="10">
        <v>35253</v>
      </c>
      <c r="H119">
        <v>21</v>
      </c>
      <c r="I119" t="s">
        <v>2035</v>
      </c>
      <c r="J119" t="s">
        <v>1824</v>
      </c>
      <c r="K119">
        <v>6</v>
      </c>
      <c r="L119">
        <v>7</v>
      </c>
      <c r="M119">
        <v>4</v>
      </c>
      <c r="N119">
        <v>6</v>
      </c>
      <c r="O119">
        <v>6</v>
      </c>
      <c r="P119">
        <v>9</v>
      </c>
      <c r="Q119">
        <v>7</v>
      </c>
      <c r="R119">
        <v>8</v>
      </c>
      <c r="S119" t="s">
        <v>2027</v>
      </c>
      <c r="T119" t="s">
        <v>2027</v>
      </c>
      <c r="U119" t="s">
        <v>2027</v>
      </c>
      <c r="V119" t="s">
        <v>2027</v>
      </c>
      <c r="W119" t="s">
        <v>2027</v>
      </c>
      <c r="X119">
        <v>6</v>
      </c>
      <c r="Y119">
        <v>6</v>
      </c>
      <c r="Z119">
        <v>7</v>
      </c>
      <c r="AA119">
        <v>4</v>
      </c>
      <c r="AB119">
        <v>3</v>
      </c>
      <c r="AC119">
        <v>8</v>
      </c>
    </row>
    <row r="120" spans="1:29">
      <c r="A120" t="str">
        <f t="shared" si="1"/>
        <v>CFJack Parkinson21</v>
      </c>
      <c r="B120">
        <v>7892</v>
      </c>
      <c r="C120">
        <v>282</v>
      </c>
      <c r="D120" t="s">
        <v>1856</v>
      </c>
      <c r="E120" t="s">
        <v>304</v>
      </c>
      <c r="F120">
        <v>0</v>
      </c>
      <c r="G120" s="10">
        <v>35576</v>
      </c>
      <c r="H120">
        <v>21</v>
      </c>
      <c r="I120" t="s">
        <v>2079</v>
      </c>
      <c r="J120" t="s">
        <v>1824</v>
      </c>
      <c r="K120">
        <v>6</v>
      </c>
      <c r="L120">
        <v>4</v>
      </c>
      <c r="M120">
        <v>4</v>
      </c>
      <c r="N120">
        <v>6</v>
      </c>
      <c r="O120">
        <v>3</v>
      </c>
      <c r="P120">
        <v>9</v>
      </c>
      <c r="Q120">
        <v>7</v>
      </c>
      <c r="R120">
        <v>7</v>
      </c>
      <c r="S120" t="s">
        <v>2027</v>
      </c>
      <c r="T120" t="s">
        <v>2027</v>
      </c>
      <c r="U120" t="s">
        <v>2027</v>
      </c>
      <c r="V120" t="s">
        <v>2027</v>
      </c>
      <c r="W120" t="s">
        <v>2027</v>
      </c>
      <c r="X120">
        <v>7</v>
      </c>
      <c r="Y120">
        <v>3</v>
      </c>
      <c r="Z120">
        <v>4</v>
      </c>
      <c r="AA120">
        <v>4</v>
      </c>
      <c r="AB120">
        <v>1</v>
      </c>
      <c r="AC120">
        <v>5</v>
      </c>
    </row>
    <row r="121" spans="1:29">
      <c r="A121" t="str">
        <f t="shared" si="1"/>
        <v>CFEvan Snyder21</v>
      </c>
      <c r="B121">
        <v>3703</v>
      </c>
      <c r="C121">
        <v>410</v>
      </c>
      <c r="D121" t="s">
        <v>540</v>
      </c>
      <c r="E121" t="s">
        <v>1917</v>
      </c>
      <c r="F121">
        <v>0</v>
      </c>
      <c r="G121" s="10">
        <v>35454</v>
      </c>
      <c r="H121">
        <v>21</v>
      </c>
      <c r="I121" t="s">
        <v>2079</v>
      </c>
      <c r="J121" t="s">
        <v>1824</v>
      </c>
      <c r="K121">
        <v>6</v>
      </c>
      <c r="L121">
        <v>5</v>
      </c>
      <c r="M121">
        <v>4</v>
      </c>
      <c r="N121">
        <v>5</v>
      </c>
      <c r="O121">
        <v>8</v>
      </c>
      <c r="P121">
        <v>9</v>
      </c>
      <c r="Q121">
        <v>9</v>
      </c>
      <c r="R121">
        <v>7</v>
      </c>
      <c r="S121" t="s">
        <v>2027</v>
      </c>
      <c r="T121" t="s">
        <v>2027</v>
      </c>
      <c r="U121" t="s">
        <v>2027</v>
      </c>
      <c r="V121" t="s">
        <v>2027</v>
      </c>
      <c r="W121" t="s">
        <v>2027</v>
      </c>
      <c r="X121">
        <v>7</v>
      </c>
      <c r="Y121">
        <v>4</v>
      </c>
      <c r="Z121">
        <v>3</v>
      </c>
      <c r="AA121">
        <v>4</v>
      </c>
      <c r="AB121">
        <v>3</v>
      </c>
      <c r="AC121">
        <v>8</v>
      </c>
    </row>
    <row r="122" spans="1:29">
      <c r="A122" t="str">
        <f t="shared" si="1"/>
        <v>C-Michael Banks21</v>
      </c>
      <c r="B122">
        <v>4616</v>
      </c>
      <c r="C122">
        <v>387</v>
      </c>
      <c r="D122" t="s">
        <v>1841</v>
      </c>
      <c r="E122" t="s">
        <v>1768</v>
      </c>
      <c r="F122">
        <v>0</v>
      </c>
      <c r="G122" s="10">
        <v>35478</v>
      </c>
      <c r="H122">
        <v>21</v>
      </c>
      <c r="I122" t="s">
        <v>2091</v>
      </c>
      <c r="J122" t="s">
        <v>1824</v>
      </c>
      <c r="K122">
        <v>6</v>
      </c>
      <c r="L122">
        <v>3</v>
      </c>
      <c r="M122">
        <v>4</v>
      </c>
      <c r="N122">
        <v>4</v>
      </c>
      <c r="O122">
        <v>8</v>
      </c>
      <c r="P122">
        <v>7</v>
      </c>
      <c r="Q122">
        <v>7</v>
      </c>
      <c r="R122">
        <v>8</v>
      </c>
      <c r="S122">
        <v>7</v>
      </c>
      <c r="T122" t="s">
        <v>2027</v>
      </c>
      <c r="U122" t="s">
        <v>2027</v>
      </c>
      <c r="V122" t="s">
        <v>2027</v>
      </c>
      <c r="W122" t="s">
        <v>2027</v>
      </c>
      <c r="X122" t="s">
        <v>2027</v>
      </c>
      <c r="Y122" t="s">
        <v>2027</v>
      </c>
      <c r="Z122" t="s">
        <v>2027</v>
      </c>
      <c r="AA122">
        <v>7</v>
      </c>
      <c r="AB122">
        <v>3</v>
      </c>
      <c r="AC122">
        <v>7</v>
      </c>
    </row>
    <row r="123" spans="1:29">
      <c r="A123" t="str">
        <f t="shared" si="1"/>
        <v>1BNate Boyce21</v>
      </c>
      <c r="B123">
        <v>2984</v>
      </c>
      <c r="C123">
        <v>422</v>
      </c>
      <c r="D123" t="s">
        <v>363</v>
      </c>
      <c r="E123" t="s">
        <v>364</v>
      </c>
      <c r="F123">
        <v>0</v>
      </c>
      <c r="G123" s="10">
        <v>35414</v>
      </c>
      <c r="H123">
        <v>21</v>
      </c>
      <c r="I123" t="s">
        <v>2092</v>
      </c>
      <c r="J123" t="s">
        <v>1824</v>
      </c>
      <c r="K123">
        <v>6</v>
      </c>
      <c r="L123">
        <v>4</v>
      </c>
      <c r="M123">
        <v>4</v>
      </c>
      <c r="N123">
        <v>4</v>
      </c>
      <c r="O123">
        <v>4</v>
      </c>
      <c r="P123">
        <v>2</v>
      </c>
      <c r="Q123">
        <v>3</v>
      </c>
      <c r="R123">
        <v>1</v>
      </c>
      <c r="S123" t="s">
        <v>2027</v>
      </c>
      <c r="T123">
        <v>3</v>
      </c>
      <c r="U123" t="s">
        <v>2027</v>
      </c>
      <c r="V123" t="s">
        <v>2027</v>
      </c>
      <c r="W123" t="s">
        <v>2027</v>
      </c>
      <c r="X123" t="s">
        <v>2027</v>
      </c>
      <c r="Y123" t="s">
        <v>2027</v>
      </c>
      <c r="Z123" t="s">
        <v>2027</v>
      </c>
      <c r="AA123">
        <v>1</v>
      </c>
      <c r="AB123">
        <v>3</v>
      </c>
      <c r="AC123">
        <v>2</v>
      </c>
    </row>
    <row r="124" spans="1:29">
      <c r="A124" t="str">
        <f t="shared" si="1"/>
        <v>C-Thomas Howard21</v>
      </c>
      <c r="B124">
        <v>2637</v>
      </c>
      <c r="C124">
        <v>344</v>
      </c>
      <c r="D124" t="s">
        <v>1879</v>
      </c>
      <c r="E124" t="s">
        <v>1951</v>
      </c>
      <c r="F124">
        <v>0</v>
      </c>
      <c r="G124" s="10">
        <v>35329</v>
      </c>
      <c r="H124">
        <v>21</v>
      </c>
      <c r="I124" t="s">
        <v>2091</v>
      </c>
      <c r="J124" t="s">
        <v>1824</v>
      </c>
      <c r="K124">
        <v>6</v>
      </c>
      <c r="L124">
        <v>6</v>
      </c>
      <c r="M124">
        <v>4</v>
      </c>
      <c r="N124">
        <v>4</v>
      </c>
      <c r="O124">
        <v>6</v>
      </c>
      <c r="P124">
        <v>1</v>
      </c>
      <c r="Q124">
        <v>5</v>
      </c>
      <c r="R124">
        <v>4</v>
      </c>
      <c r="S124">
        <v>3</v>
      </c>
      <c r="T124" t="s">
        <v>2027</v>
      </c>
      <c r="U124" t="s">
        <v>2027</v>
      </c>
      <c r="V124" t="s">
        <v>2027</v>
      </c>
      <c r="W124" t="s">
        <v>2027</v>
      </c>
      <c r="X124" t="s">
        <v>2027</v>
      </c>
      <c r="Y124" t="s">
        <v>2027</v>
      </c>
      <c r="Z124" t="s">
        <v>2027</v>
      </c>
      <c r="AA124">
        <v>4</v>
      </c>
      <c r="AB124">
        <v>7</v>
      </c>
      <c r="AC124">
        <v>6</v>
      </c>
    </row>
    <row r="125" spans="1:29">
      <c r="A125" t="str">
        <f t="shared" si="1"/>
        <v>C-Anthony Leonard21</v>
      </c>
      <c r="B125">
        <v>6757</v>
      </c>
      <c r="C125">
        <v>310</v>
      </c>
      <c r="D125" t="s">
        <v>1916</v>
      </c>
      <c r="E125" t="s">
        <v>1728</v>
      </c>
      <c r="F125">
        <v>0</v>
      </c>
      <c r="G125" s="10">
        <v>35424</v>
      </c>
      <c r="H125">
        <v>21</v>
      </c>
      <c r="I125" t="s">
        <v>2091</v>
      </c>
      <c r="J125" t="s">
        <v>1824</v>
      </c>
      <c r="K125">
        <v>6</v>
      </c>
      <c r="L125">
        <v>6</v>
      </c>
      <c r="M125">
        <v>4</v>
      </c>
      <c r="N125">
        <v>4</v>
      </c>
      <c r="O125">
        <v>5</v>
      </c>
      <c r="P125">
        <v>6</v>
      </c>
      <c r="Q125">
        <v>2</v>
      </c>
      <c r="R125">
        <v>1</v>
      </c>
      <c r="S125">
        <v>6</v>
      </c>
      <c r="T125" t="s">
        <v>2027</v>
      </c>
      <c r="U125" t="s">
        <v>2027</v>
      </c>
      <c r="V125" t="s">
        <v>2027</v>
      </c>
      <c r="W125" t="s">
        <v>2027</v>
      </c>
      <c r="X125" t="s">
        <v>2027</v>
      </c>
      <c r="Y125" t="s">
        <v>2027</v>
      </c>
      <c r="Z125" t="s">
        <v>2027</v>
      </c>
      <c r="AA125">
        <v>7</v>
      </c>
      <c r="AB125">
        <v>3</v>
      </c>
      <c r="AC125">
        <v>3</v>
      </c>
    </row>
    <row r="126" spans="1:29">
      <c r="A126" t="str">
        <f t="shared" si="1"/>
        <v>3BBrian Zahn21</v>
      </c>
      <c r="B126">
        <v>2913</v>
      </c>
      <c r="C126">
        <v>280</v>
      </c>
      <c r="D126" t="s">
        <v>1957</v>
      </c>
      <c r="E126" t="s">
        <v>527</v>
      </c>
      <c r="F126">
        <v>0</v>
      </c>
      <c r="G126" s="10">
        <v>35564</v>
      </c>
      <c r="H126">
        <v>21</v>
      </c>
      <c r="I126" t="s">
        <v>2061</v>
      </c>
      <c r="J126" t="s">
        <v>1824</v>
      </c>
      <c r="K126">
        <v>6</v>
      </c>
      <c r="L126">
        <v>7</v>
      </c>
      <c r="M126">
        <v>4</v>
      </c>
      <c r="N126">
        <v>4</v>
      </c>
      <c r="O126">
        <v>4</v>
      </c>
      <c r="P126">
        <v>6</v>
      </c>
      <c r="Q126">
        <v>6</v>
      </c>
      <c r="R126">
        <v>6</v>
      </c>
      <c r="S126" t="s">
        <v>2027</v>
      </c>
      <c r="T126">
        <v>4</v>
      </c>
      <c r="U126">
        <v>3</v>
      </c>
      <c r="V126">
        <v>6</v>
      </c>
      <c r="W126">
        <v>3</v>
      </c>
      <c r="X126" t="s">
        <v>2027</v>
      </c>
      <c r="Y126" t="s">
        <v>2027</v>
      </c>
      <c r="Z126" t="s">
        <v>2027</v>
      </c>
      <c r="AA126">
        <v>4</v>
      </c>
      <c r="AB126">
        <v>6</v>
      </c>
      <c r="AC126">
        <v>5</v>
      </c>
    </row>
    <row r="127" spans="1:29">
      <c r="A127" t="str">
        <f t="shared" si="1"/>
        <v>CFNorberto Peralta18</v>
      </c>
      <c r="B127">
        <v>13795</v>
      </c>
      <c r="C127">
        <v>340</v>
      </c>
      <c r="D127" t="s">
        <v>464</v>
      </c>
      <c r="E127" t="s">
        <v>465</v>
      </c>
      <c r="F127">
        <v>0</v>
      </c>
      <c r="G127" s="10">
        <v>36607</v>
      </c>
      <c r="H127">
        <v>18</v>
      </c>
      <c r="I127" t="s">
        <v>2079</v>
      </c>
      <c r="J127" t="s">
        <v>1824</v>
      </c>
      <c r="K127">
        <v>6</v>
      </c>
      <c r="L127">
        <v>7</v>
      </c>
      <c r="M127">
        <v>3</v>
      </c>
      <c r="N127">
        <v>4</v>
      </c>
      <c r="O127">
        <v>10</v>
      </c>
      <c r="P127">
        <v>5</v>
      </c>
      <c r="Q127">
        <v>8</v>
      </c>
      <c r="R127">
        <v>6</v>
      </c>
      <c r="S127" t="s">
        <v>2027</v>
      </c>
      <c r="T127" t="s">
        <v>2027</v>
      </c>
      <c r="U127" t="s">
        <v>2027</v>
      </c>
      <c r="V127" t="s">
        <v>2027</v>
      </c>
      <c r="W127" t="s">
        <v>2027</v>
      </c>
      <c r="X127">
        <v>1</v>
      </c>
      <c r="Y127">
        <v>2</v>
      </c>
      <c r="Z127">
        <v>1</v>
      </c>
      <c r="AA127">
        <v>1</v>
      </c>
      <c r="AB127">
        <v>1</v>
      </c>
      <c r="AC127">
        <v>9</v>
      </c>
    </row>
    <row r="128" spans="1:29">
      <c r="A128" t="str">
        <f t="shared" si="1"/>
        <v>3BJon Woods21</v>
      </c>
      <c r="B128">
        <v>5650</v>
      </c>
      <c r="C128">
        <v>342</v>
      </c>
      <c r="D128" t="s">
        <v>1833</v>
      </c>
      <c r="E128" t="s">
        <v>289</v>
      </c>
      <c r="F128">
        <v>0</v>
      </c>
      <c r="G128" s="10">
        <v>35242</v>
      </c>
      <c r="H128">
        <v>21</v>
      </c>
      <c r="I128" t="s">
        <v>2061</v>
      </c>
      <c r="J128" t="s">
        <v>1824</v>
      </c>
      <c r="K128">
        <v>6</v>
      </c>
      <c r="L128">
        <v>6</v>
      </c>
      <c r="M128">
        <v>3</v>
      </c>
      <c r="N128">
        <v>4</v>
      </c>
      <c r="O128">
        <v>4</v>
      </c>
      <c r="P128">
        <v>4</v>
      </c>
      <c r="Q128">
        <v>9</v>
      </c>
      <c r="R128">
        <v>9</v>
      </c>
      <c r="S128">
        <v>1</v>
      </c>
      <c r="T128">
        <v>8</v>
      </c>
      <c r="U128" t="s">
        <v>2027</v>
      </c>
      <c r="V128">
        <v>4</v>
      </c>
      <c r="W128" t="s">
        <v>2027</v>
      </c>
      <c r="X128" t="s">
        <v>2027</v>
      </c>
      <c r="Y128" t="s">
        <v>2027</v>
      </c>
      <c r="Z128" t="s">
        <v>2027</v>
      </c>
      <c r="AA128">
        <v>1</v>
      </c>
      <c r="AB128">
        <v>10</v>
      </c>
      <c r="AC128">
        <v>1</v>
      </c>
    </row>
    <row r="129" spans="1:29">
      <c r="A129" t="str">
        <f t="shared" si="1"/>
        <v>3BManny CortÈz21</v>
      </c>
      <c r="B129">
        <v>12630</v>
      </c>
      <c r="C129">
        <v>394</v>
      </c>
      <c r="D129" t="s">
        <v>1898</v>
      </c>
      <c r="E129" t="s">
        <v>131</v>
      </c>
      <c r="F129">
        <v>0</v>
      </c>
      <c r="G129" s="10">
        <v>35350</v>
      </c>
      <c r="H129">
        <v>21</v>
      </c>
      <c r="I129" t="s">
        <v>2061</v>
      </c>
      <c r="J129" t="s">
        <v>1824</v>
      </c>
      <c r="K129">
        <v>6</v>
      </c>
      <c r="L129">
        <v>4</v>
      </c>
      <c r="M129">
        <v>3</v>
      </c>
      <c r="N129">
        <v>3</v>
      </c>
      <c r="O129">
        <v>3</v>
      </c>
      <c r="P129">
        <v>10</v>
      </c>
      <c r="Q129">
        <v>6</v>
      </c>
      <c r="R129">
        <v>7</v>
      </c>
      <c r="S129" t="s">
        <v>2027</v>
      </c>
      <c r="T129" t="s">
        <v>2027</v>
      </c>
      <c r="U129">
        <v>1</v>
      </c>
      <c r="V129">
        <v>3</v>
      </c>
      <c r="W129">
        <v>2</v>
      </c>
      <c r="X129" t="s">
        <v>2027</v>
      </c>
      <c r="Y129" t="s">
        <v>2027</v>
      </c>
      <c r="Z129" t="s">
        <v>2027</v>
      </c>
      <c r="AA129">
        <v>3</v>
      </c>
      <c r="AB129">
        <v>5</v>
      </c>
      <c r="AC129">
        <v>1</v>
      </c>
    </row>
    <row r="130" spans="1:29">
      <c r="A130" t="str">
        <f t="shared" si="1"/>
        <v>2BBob Vance21</v>
      </c>
      <c r="B130">
        <v>8166</v>
      </c>
      <c r="C130">
        <v>406</v>
      </c>
      <c r="D130" t="s">
        <v>1913</v>
      </c>
      <c r="E130" t="s">
        <v>533</v>
      </c>
      <c r="F130">
        <v>0</v>
      </c>
      <c r="G130" s="10">
        <v>35271</v>
      </c>
      <c r="H130">
        <v>21</v>
      </c>
      <c r="I130" t="s">
        <v>2069</v>
      </c>
      <c r="J130" t="s">
        <v>1824</v>
      </c>
      <c r="K130">
        <v>6</v>
      </c>
      <c r="L130">
        <v>4</v>
      </c>
      <c r="M130">
        <v>3</v>
      </c>
      <c r="N130">
        <v>3</v>
      </c>
      <c r="O130">
        <v>5</v>
      </c>
      <c r="P130">
        <v>6</v>
      </c>
      <c r="Q130">
        <v>9</v>
      </c>
      <c r="R130">
        <v>7</v>
      </c>
      <c r="S130" t="s">
        <v>2027</v>
      </c>
      <c r="T130">
        <v>7</v>
      </c>
      <c r="U130">
        <v>4</v>
      </c>
      <c r="V130">
        <v>4</v>
      </c>
      <c r="W130">
        <v>4</v>
      </c>
      <c r="X130">
        <v>3</v>
      </c>
      <c r="Y130">
        <v>4</v>
      </c>
      <c r="Z130">
        <v>4</v>
      </c>
      <c r="AA130">
        <v>1</v>
      </c>
      <c r="AB130">
        <v>10</v>
      </c>
      <c r="AC130">
        <v>9</v>
      </c>
    </row>
    <row r="131" spans="1:29">
      <c r="A131" t="str">
        <f t="shared" ref="A131:A194" si="2">IF(I131="C","C-",I131)&amp;D131&amp;" "&amp;E131&amp;H131</f>
        <v>CFJared Ward21</v>
      </c>
      <c r="B131">
        <v>2987</v>
      </c>
      <c r="C131">
        <v>398</v>
      </c>
      <c r="D131" t="s">
        <v>345</v>
      </c>
      <c r="E131" t="s">
        <v>1911</v>
      </c>
      <c r="F131">
        <v>0</v>
      </c>
      <c r="G131" s="10">
        <v>35407</v>
      </c>
      <c r="H131">
        <v>21</v>
      </c>
      <c r="I131" t="s">
        <v>2079</v>
      </c>
      <c r="J131" t="s">
        <v>1824</v>
      </c>
      <c r="K131">
        <v>6</v>
      </c>
      <c r="L131">
        <v>5</v>
      </c>
      <c r="M131">
        <v>3</v>
      </c>
      <c r="N131">
        <v>3</v>
      </c>
      <c r="O131">
        <v>4</v>
      </c>
      <c r="P131">
        <v>7</v>
      </c>
      <c r="Q131">
        <v>10</v>
      </c>
      <c r="R131">
        <v>7</v>
      </c>
      <c r="S131" t="s">
        <v>2027</v>
      </c>
      <c r="T131" t="s">
        <v>2027</v>
      </c>
      <c r="U131" t="s">
        <v>2027</v>
      </c>
      <c r="V131" t="s">
        <v>2027</v>
      </c>
      <c r="W131" t="s">
        <v>2027</v>
      </c>
      <c r="X131">
        <v>5</v>
      </c>
      <c r="Y131">
        <v>4</v>
      </c>
      <c r="Z131">
        <v>3</v>
      </c>
      <c r="AA131">
        <v>1</v>
      </c>
      <c r="AB131">
        <v>7</v>
      </c>
      <c r="AC131">
        <v>7</v>
      </c>
    </row>
    <row r="132" spans="1:29">
      <c r="A132" t="str">
        <f t="shared" si="2"/>
        <v>2BBob Campbell17</v>
      </c>
      <c r="B132">
        <v>4905</v>
      </c>
      <c r="C132">
        <v>443</v>
      </c>
      <c r="D132" t="s">
        <v>1913</v>
      </c>
      <c r="E132" t="s">
        <v>1730</v>
      </c>
      <c r="F132">
        <v>0</v>
      </c>
      <c r="G132" s="10">
        <v>36683</v>
      </c>
      <c r="H132">
        <v>17</v>
      </c>
      <c r="I132" t="s">
        <v>2069</v>
      </c>
      <c r="J132" t="s">
        <v>1824</v>
      </c>
      <c r="K132">
        <v>6</v>
      </c>
      <c r="L132">
        <v>4</v>
      </c>
      <c r="M132">
        <v>3</v>
      </c>
      <c r="N132">
        <v>2</v>
      </c>
      <c r="O132">
        <v>5</v>
      </c>
      <c r="P132">
        <v>8</v>
      </c>
      <c r="Q132">
        <v>8</v>
      </c>
      <c r="R132">
        <v>8</v>
      </c>
      <c r="S132" t="s">
        <v>2027</v>
      </c>
      <c r="T132" t="s">
        <v>2027</v>
      </c>
      <c r="U132">
        <v>1</v>
      </c>
      <c r="V132" t="s">
        <v>2027</v>
      </c>
      <c r="W132">
        <v>2</v>
      </c>
      <c r="X132" t="s">
        <v>2027</v>
      </c>
      <c r="Y132" t="s">
        <v>2027</v>
      </c>
      <c r="Z132" t="s">
        <v>2027</v>
      </c>
      <c r="AA132">
        <v>1</v>
      </c>
      <c r="AB132">
        <v>6</v>
      </c>
      <c r="AC132">
        <v>2</v>
      </c>
    </row>
    <row r="133" spans="1:29">
      <c r="A133" t="str">
        <f t="shared" si="2"/>
        <v>1BJason Green18</v>
      </c>
      <c r="B133">
        <v>13839</v>
      </c>
      <c r="C133">
        <v>283</v>
      </c>
      <c r="D133" t="s">
        <v>1918</v>
      </c>
      <c r="E133" t="s">
        <v>1920</v>
      </c>
      <c r="F133">
        <v>0</v>
      </c>
      <c r="G133" s="10">
        <v>36473</v>
      </c>
      <c r="H133">
        <v>18</v>
      </c>
      <c r="I133" t="s">
        <v>2092</v>
      </c>
      <c r="J133" t="s">
        <v>1824</v>
      </c>
      <c r="K133">
        <v>6</v>
      </c>
      <c r="L133">
        <v>7</v>
      </c>
      <c r="M133">
        <v>2</v>
      </c>
      <c r="N133">
        <v>8</v>
      </c>
      <c r="O133">
        <v>9</v>
      </c>
      <c r="P133">
        <v>8</v>
      </c>
      <c r="Q133">
        <v>6</v>
      </c>
      <c r="R133">
        <v>3</v>
      </c>
      <c r="S133" t="s">
        <v>2027</v>
      </c>
      <c r="T133">
        <v>3</v>
      </c>
      <c r="U133">
        <v>1</v>
      </c>
      <c r="V133">
        <v>3</v>
      </c>
      <c r="W133">
        <v>5</v>
      </c>
      <c r="X133">
        <v>1</v>
      </c>
      <c r="Y133" t="s">
        <v>2027</v>
      </c>
      <c r="Z133">
        <v>1</v>
      </c>
      <c r="AA133">
        <v>1</v>
      </c>
      <c r="AB133">
        <v>6</v>
      </c>
      <c r="AC133">
        <v>8</v>
      </c>
    </row>
    <row r="134" spans="1:29">
      <c r="A134" t="str">
        <f t="shared" si="2"/>
        <v>1BEvan Burgess21</v>
      </c>
      <c r="B134">
        <v>8657</v>
      </c>
      <c r="C134">
        <v>290</v>
      </c>
      <c r="D134" t="s">
        <v>540</v>
      </c>
      <c r="E134" t="s">
        <v>1955</v>
      </c>
      <c r="F134">
        <v>0</v>
      </c>
      <c r="G134" s="10">
        <v>35421</v>
      </c>
      <c r="H134">
        <v>21</v>
      </c>
      <c r="I134" t="s">
        <v>2092</v>
      </c>
      <c r="J134" t="s">
        <v>1824</v>
      </c>
      <c r="K134">
        <v>6</v>
      </c>
      <c r="L134">
        <v>6</v>
      </c>
      <c r="M134">
        <v>2</v>
      </c>
      <c r="N134">
        <v>7</v>
      </c>
      <c r="O134">
        <v>6</v>
      </c>
      <c r="P134">
        <v>7</v>
      </c>
      <c r="Q134">
        <v>4</v>
      </c>
      <c r="R134">
        <v>5</v>
      </c>
      <c r="S134" t="s">
        <v>2027</v>
      </c>
      <c r="T134">
        <v>8</v>
      </c>
      <c r="U134" t="s">
        <v>2027</v>
      </c>
      <c r="V134">
        <v>6</v>
      </c>
      <c r="W134" t="s">
        <v>2027</v>
      </c>
      <c r="X134" t="s">
        <v>2027</v>
      </c>
      <c r="Y134">
        <v>2</v>
      </c>
      <c r="Z134" t="s">
        <v>2027</v>
      </c>
      <c r="AA134">
        <v>2</v>
      </c>
      <c r="AB134">
        <v>7</v>
      </c>
      <c r="AC134">
        <v>8</v>
      </c>
    </row>
    <row r="135" spans="1:29">
      <c r="A135" t="str">
        <f t="shared" si="2"/>
        <v>CFJacob Gaines18</v>
      </c>
      <c r="B135">
        <v>1070</v>
      </c>
      <c r="C135">
        <v>384</v>
      </c>
      <c r="D135" t="s">
        <v>308</v>
      </c>
      <c r="E135" t="s">
        <v>309</v>
      </c>
      <c r="F135">
        <v>0</v>
      </c>
      <c r="G135" s="10">
        <v>36489</v>
      </c>
      <c r="H135">
        <v>18</v>
      </c>
      <c r="I135" t="s">
        <v>2079</v>
      </c>
      <c r="J135" t="s">
        <v>1824</v>
      </c>
      <c r="K135">
        <v>6</v>
      </c>
      <c r="L135">
        <v>7</v>
      </c>
      <c r="M135">
        <v>2</v>
      </c>
      <c r="N135">
        <v>3</v>
      </c>
      <c r="O135">
        <v>5</v>
      </c>
      <c r="P135">
        <v>10</v>
      </c>
      <c r="Q135">
        <v>10</v>
      </c>
      <c r="R135">
        <v>10</v>
      </c>
      <c r="S135" t="s">
        <v>2027</v>
      </c>
      <c r="T135" t="s">
        <v>2027</v>
      </c>
      <c r="U135" t="s">
        <v>2027</v>
      </c>
      <c r="V135" t="s">
        <v>2027</v>
      </c>
      <c r="W135" t="s">
        <v>2027</v>
      </c>
      <c r="X135">
        <v>2</v>
      </c>
      <c r="Y135">
        <v>4</v>
      </c>
      <c r="Z135">
        <v>4</v>
      </c>
      <c r="AA135">
        <v>1</v>
      </c>
      <c r="AB135">
        <v>2</v>
      </c>
      <c r="AC135">
        <v>6</v>
      </c>
    </row>
    <row r="136" spans="1:29">
      <c r="A136" t="str">
        <f t="shared" si="2"/>
        <v>CFEdgardo Acarcon18</v>
      </c>
      <c r="B136">
        <v>1815</v>
      </c>
      <c r="C136">
        <v>136</v>
      </c>
      <c r="D136" t="s">
        <v>551</v>
      </c>
      <c r="E136" t="s">
        <v>552</v>
      </c>
      <c r="F136">
        <v>0</v>
      </c>
      <c r="G136" s="10">
        <v>36348</v>
      </c>
      <c r="H136">
        <v>18</v>
      </c>
      <c r="I136" t="s">
        <v>2079</v>
      </c>
      <c r="J136" t="s">
        <v>1824</v>
      </c>
      <c r="K136">
        <v>5</v>
      </c>
      <c r="L136">
        <v>8</v>
      </c>
      <c r="M136">
        <v>8</v>
      </c>
      <c r="N136">
        <v>6</v>
      </c>
      <c r="O136">
        <v>8</v>
      </c>
      <c r="P136">
        <v>6</v>
      </c>
      <c r="Q136">
        <v>10</v>
      </c>
      <c r="R136">
        <v>10</v>
      </c>
      <c r="S136" t="s">
        <v>2027</v>
      </c>
      <c r="T136" t="s">
        <v>2027</v>
      </c>
      <c r="U136" t="s">
        <v>2027</v>
      </c>
      <c r="V136" t="s">
        <v>2027</v>
      </c>
      <c r="W136" t="s">
        <v>2027</v>
      </c>
      <c r="X136">
        <v>1</v>
      </c>
      <c r="Y136">
        <v>2</v>
      </c>
      <c r="Z136">
        <v>6</v>
      </c>
      <c r="AA136">
        <v>1</v>
      </c>
      <c r="AB136">
        <v>1</v>
      </c>
      <c r="AC136">
        <v>9</v>
      </c>
    </row>
    <row r="137" spans="1:29">
      <c r="A137" t="str">
        <f t="shared" si="2"/>
        <v>RFPhil Carter21</v>
      </c>
      <c r="B137">
        <v>5243</v>
      </c>
      <c r="C137">
        <v>25</v>
      </c>
      <c r="D137" t="s">
        <v>1729</v>
      </c>
      <c r="E137" t="s">
        <v>1880</v>
      </c>
      <c r="F137">
        <v>0</v>
      </c>
      <c r="G137" s="10">
        <v>35367</v>
      </c>
      <c r="H137">
        <v>21</v>
      </c>
      <c r="I137" t="s">
        <v>2057</v>
      </c>
      <c r="J137" t="s">
        <v>1824</v>
      </c>
      <c r="K137">
        <v>5</v>
      </c>
      <c r="L137">
        <v>9</v>
      </c>
      <c r="M137">
        <v>8</v>
      </c>
      <c r="N137">
        <v>6</v>
      </c>
      <c r="O137">
        <v>3</v>
      </c>
      <c r="P137">
        <v>7</v>
      </c>
      <c r="Q137">
        <v>9</v>
      </c>
      <c r="R137">
        <v>9</v>
      </c>
      <c r="S137" t="s">
        <v>2027</v>
      </c>
      <c r="T137" t="s">
        <v>2027</v>
      </c>
      <c r="U137" t="s">
        <v>2027</v>
      </c>
      <c r="V137" t="s">
        <v>2027</v>
      </c>
      <c r="W137" t="s">
        <v>2027</v>
      </c>
      <c r="X137">
        <v>4</v>
      </c>
      <c r="Y137">
        <v>1</v>
      </c>
      <c r="Z137">
        <v>8</v>
      </c>
      <c r="AA137">
        <v>1</v>
      </c>
      <c r="AB137">
        <v>1</v>
      </c>
      <c r="AC137">
        <v>5</v>
      </c>
    </row>
    <row r="138" spans="1:29">
      <c r="A138" t="str">
        <f t="shared" si="2"/>
        <v>C-Jessie Kimball18</v>
      </c>
      <c r="B138">
        <v>13832</v>
      </c>
      <c r="C138">
        <v>30</v>
      </c>
      <c r="D138" t="s">
        <v>503</v>
      </c>
      <c r="E138" t="s">
        <v>504</v>
      </c>
      <c r="F138">
        <v>0</v>
      </c>
      <c r="G138" s="10">
        <v>36571</v>
      </c>
      <c r="H138">
        <v>18</v>
      </c>
      <c r="I138" t="s">
        <v>2091</v>
      </c>
      <c r="J138" t="s">
        <v>1824</v>
      </c>
      <c r="K138">
        <v>5</v>
      </c>
      <c r="L138">
        <v>7</v>
      </c>
      <c r="M138">
        <v>8</v>
      </c>
      <c r="N138">
        <v>5</v>
      </c>
      <c r="O138">
        <v>7</v>
      </c>
      <c r="P138">
        <v>5</v>
      </c>
      <c r="Q138">
        <v>2</v>
      </c>
      <c r="R138">
        <v>1</v>
      </c>
      <c r="S138">
        <v>3</v>
      </c>
      <c r="T138">
        <v>1</v>
      </c>
      <c r="U138" t="s">
        <v>2027</v>
      </c>
      <c r="V138" t="s">
        <v>2027</v>
      </c>
      <c r="W138" t="s">
        <v>2027</v>
      </c>
      <c r="X138" t="s">
        <v>2027</v>
      </c>
      <c r="Y138" t="s">
        <v>2027</v>
      </c>
      <c r="Z138" t="s">
        <v>2027</v>
      </c>
      <c r="AA138">
        <v>7</v>
      </c>
      <c r="AB138">
        <v>8</v>
      </c>
      <c r="AC138">
        <v>10</v>
      </c>
    </row>
    <row r="139" spans="1:29">
      <c r="A139" t="str">
        <f t="shared" si="2"/>
        <v>RFErnesto LeÛn21</v>
      </c>
      <c r="B139">
        <v>2711</v>
      </c>
      <c r="C139">
        <v>27</v>
      </c>
      <c r="D139" t="s">
        <v>1723</v>
      </c>
      <c r="E139" t="s">
        <v>132</v>
      </c>
      <c r="F139">
        <v>0</v>
      </c>
      <c r="G139" s="10">
        <v>35236</v>
      </c>
      <c r="H139">
        <v>21</v>
      </c>
      <c r="I139" t="s">
        <v>2057</v>
      </c>
      <c r="J139" t="s">
        <v>1824</v>
      </c>
      <c r="K139">
        <v>5</v>
      </c>
      <c r="L139">
        <v>6</v>
      </c>
      <c r="M139">
        <v>7</v>
      </c>
      <c r="N139">
        <v>8</v>
      </c>
      <c r="O139">
        <v>7</v>
      </c>
      <c r="P139">
        <v>10</v>
      </c>
      <c r="Q139">
        <v>7</v>
      </c>
      <c r="R139">
        <v>10</v>
      </c>
      <c r="S139" t="s">
        <v>2027</v>
      </c>
      <c r="T139" t="s">
        <v>2027</v>
      </c>
      <c r="U139" t="s">
        <v>2027</v>
      </c>
      <c r="V139" t="s">
        <v>2027</v>
      </c>
      <c r="W139" t="s">
        <v>2027</v>
      </c>
      <c r="X139">
        <v>9</v>
      </c>
      <c r="Y139">
        <v>3</v>
      </c>
      <c r="Z139">
        <v>10</v>
      </c>
      <c r="AA139">
        <v>6</v>
      </c>
      <c r="AB139">
        <v>1</v>
      </c>
      <c r="AC139">
        <v>9</v>
      </c>
    </row>
    <row r="140" spans="1:29">
      <c r="A140" t="str">
        <f t="shared" si="2"/>
        <v>CFSteve Curtis18</v>
      </c>
      <c r="B140">
        <v>13826</v>
      </c>
      <c r="C140">
        <v>239</v>
      </c>
      <c r="D140" t="s">
        <v>1850</v>
      </c>
      <c r="E140" t="s">
        <v>1960</v>
      </c>
      <c r="F140">
        <v>0</v>
      </c>
      <c r="G140" s="10">
        <v>36332</v>
      </c>
      <c r="H140">
        <v>18</v>
      </c>
      <c r="I140" t="s">
        <v>2079</v>
      </c>
      <c r="J140" t="s">
        <v>1824</v>
      </c>
      <c r="K140">
        <v>5</v>
      </c>
      <c r="L140">
        <v>6</v>
      </c>
      <c r="M140">
        <v>6</v>
      </c>
      <c r="N140">
        <v>8</v>
      </c>
      <c r="O140">
        <v>7</v>
      </c>
      <c r="P140">
        <v>7</v>
      </c>
      <c r="Q140">
        <v>8</v>
      </c>
      <c r="R140">
        <v>8</v>
      </c>
      <c r="S140" t="s">
        <v>2027</v>
      </c>
      <c r="T140" t="s">
        <v>2027</v>
      </c>
      <c r="U140" t="s">
        <v>2027</v>
      </c>
      <c r="V140" t="s">
        <v>2027</v>
      </c>
      <c r="W140" t="s">
        <v>2027</v>
      </c>
      <c r="X140">
        <v>1</v>
      </c>
      <c r="Y140">
        <v>3</v>
      </c>
      <c r="Z140">
        <v>1</v>
      </c>
      <c r="AA140">
        <v>1</v>
      </c>
      <c r="AB140">
        <v>1</v>
      </c>
      <c r="AC140">
        <v>10</v>
      </c>
    </row>
    <row r="141" spans="1:29">
      <c r="A141" t="str">
        <f t="shared" si="2"/>
        <v>1BMarcos Gonz·les21</v>
      </c>
      <c r="B141">
        <v>4449</v>
      </c>
      <c r="C141">
        <v>211</v>
      </c>
      <c r="D141" t="s">
        <v>497</v>
      </c>
      <c r="E141" t="s">
        <v>133</v>
      </c>
      <c r="F141">
        <v>0</v>
      </c>
      <c r="G141" s="10">
        <v>35324</v>
      </c>
      <c r="H141">
        <v>21</v>
      </c>
      <c r="I141" t="s">
        <v>2092</v>
      </c>
      <c r="J141" t="s">
        <v>1824</v>
      </c>
      <c r="K141">
        <v>5</v>
      </c>
      <c r="L141">
        <v>6</v>
      </c>
      <c r="M141">
        <v>6</v>
      </c>
      <c r="N141">
        <v>8</v>
      </c>
      <c r="O141">
        <v>5</v>
      </c>
      <c r="P141">
        <v>4</v>
      </c>
      <c r="Q141">
        <v>5</v>
      </c>
      <c r="R141">
        <v>6</v>
      </c>
      <c r="S141" t="s">
        <v>2027</v>
      </c>
      <c r="T141">
        <v>3</v>
      </c>
      <c r="U141" t="s">
        <v>2027</v>
      </c>
      <c r="V141" t="s">
        <v>2027</v>
      </c>
      <c r="W141" t="s">
        <v>2027</v>
      </c>
      <c r="X141" t="s">
        <v>2027</v>
      </c>
      <c r="Y141" t="s">
        <v>2027</v>
      </c>
      <c r="Z141" t="s">
        <v>2027</v>
      </c>
      <c r="AA141">
        <v>1</v>
      </c>
      <c r="AB141">
        <v>2</v>
      </c>
      <c r="AC141">
        <v>3</v>
      </c>
    </row>
    <row r="142" spans="1:29">
      <c r="A142" t="str">
        <f t="shared" si="2"/>
        <v>1BGeorge Thomas20</v>
      </c>
      <c r="B142">
        <v>10375</v>
      </c>
      <c r="C142">
        <v>59</v>
      </c>
      <c r="D142" t="s">
        <v>1772</v>
      </c>
      <c r="E142" t="s">
        <v>1879</v>
      </c>
      <c r="F142">
        <v>0</v>
      </c>
      <c r="G142" s="10">
        <v>35583</v>
      </c>
      <c r="H142">
        <v>20</v>
      </c>
      <c r="I142" t="s">
        <v>2092</v>
      </c>
      <c r="J142" t="s">
        <v>1824</v>
      </c>
      <c r="K142">
        <v>5</v>
      </c>
      <c r="L142">
        <v>4</v>
      </c>
      <c r="M142">
        <v>6</v>
      </c>
      <c r="N142">
        <v>7</v>
      </c>
      <c r="O142">
        <v>5</v>
      </c>
      <c r="P142">
        <v>8</v>
      </c>
      <c r="Q142">
        <v>7</v>
      </c>
      <c r="R142">
        <v>7</v>
      </c>
      <c r="S142" t="s">
        <v>2027</v>
      </c>
      <c r="T142">
        <v>2</v>
      </c>
      <c r="U142" t="s">
        <v>2027</v>
      </c>
      <c r="V142" t="s">
        <v>2027</v>
      </c>
      <c r="W142" t="s">
        <v>2027</v>
      </c>
      <c r="X142" t="s">
        <v>2027</v>
      </c>
      <c r="Y142" t="s">
        <v>2027</v>
      </c>
      <c r="Z142" t="s">
        <v>2027</v>
      </c>
      <c r="AA142">
        <v>4</v>
      </c>
      <c r="AB142">
        <v>2</v>
      </c>
      <c r="AC142">
        <v>1</v>
      </c>
    </row>
    <row r="143" spans="1:29">
      <c r="A143" t="str">
        <f t="shared" si="2"/>
        <v>RFRick Wilson20</v>
      </c>
      <c r="B143">
        <v>10386</v>
      </c>
      <c r="C143">
        <v>188</v>
      </c>
      <c r="D143" t="s">
        <v>339</v>
      </c>
      <c r="E143" t="s">
        <v>1884</v>
      </c>
      <c r="F143">
        <v>0</v>
      </c>
      <c r="G143" s="10">
        <v>35586</v>
      </c>
      <c r="H143">
        <v>20</v>
      </c>
      <c r="I143" t="s">
        <v>2057</v>
      </c>
      <c r="J143" t="s">
        <v>1824</v>
      </c>
      <c r="K143">
        <v>5</v>
      </c>
      <c r="L143">
        <v>5</v>
      </c>
      <c r="M143">
        <v>6</v>
      </c>
      <c r="N143">
        <v>7</v>
      </c>
      <c r="O143">
        <v>4</v>
      </c>
      <c r="P143">
        <v>10</v>
      </c>
      <c r="Q143">
        <v>8</v>
      </c>
      <c r="R143">
        <v>7</v>
      </c>
      <c r="S143" t="s">
        <v>2027</v>
      </c>
      <c r="T143" t="s">
        <v>2027</v>
      </c>
      <c r="U143" t="s">
        <v>2027</v>
      </c>
      <c r="V143" t="s">
        <v>2027</v>
      </c>
      <c r="W143" t="s">
        <v>2027</v>
      </c>
      <c r="X143">
        <v>5</v>
      </c>
      <c r="Y143">
        <v>2</v>
      </c>
      <c r="Z143">
        <v>7</v>
      </c>
      <c r="AA143">
        <v>5</v>
      </c>
      <c r="AB143">
        <v>1</v>
      </c>
      <c r="AC143">
        <v>7</v>
      </c>
    </row>
    <row r="144" spans="1:29">
      <c r="A144" t="str">
        <f t="shared" si="2"/>
        <v>1BHenry Blencowe21</v>
      </c>
      <c r="B144">
        <v>3855</v>
      </c>
      <c r="C144">
        <v>49</v>
      </c>
      <c r="D144" t="s">
        <v>1847</v>
      </c>
      <c r="E144" t="s">
        <v>528</v>
      </c>
      <c r="F144">
        <v>0</v>
      </c>
      <c r="G144" s="10">
        <v>35295</v>
      </c>
      <c r="H144">
        <v>21</v>
      </c>
      <c r="I144" t="s">
        <v>2092</v>
      </c>
      <c r="J144" t="s">
        <v>1824</v>
      </c>
      <c r="K144">
        <v>5</v>
      </c>
      <c r="L144">
        <v>7</v>
      </c>
      <c r="M144">
        <v>6</v>
      </c>
      <c r="N144">
        <v>6</v>
      </c>
      <c r="O144">
        <v>5</v>
      </c>
      <c r="P144">
        <v>2</v>
      </c>
      <c r="Q144">
        <v>2</v>
      </c>
      <c r="R144">
        <v>5</v>
      </c>
      <c r="S144" t="s">
        <v>2027</v>
      </c>
      <c r="T144">
        <v>6</v>
      </c>
      <c r="U144" t="s">
        <v>2027</v>
      </c>
      <c r="V144" t="s">
        <v>2027</v>
      </c>
      <c r="W144" t="s">
        <v>2027</v>
      </c>
      <c r="X144" t="s">
        <v>2027</v>
      </c>
      <c r="Y144" t="s">
        <v>2027</v>
      </c>
      <c r="Z144" t="s">
        <v>2027</v>
      </c>
      <c r="AA144">
        <v>1</v>
      </c>
      <c r="AB144">
        <v>3</v>
      </c>
      <c r="AC144">
        <v>3</v>
      </c>
    </row>
    <row r="145" spans="1:29">
      <c r="A145" t="str">
        <f t="shared" si="2"/>
        <v>RFDavid McKenzie22</v>
      </c>
      <c r="B145">
        <v>12088</v>
      </c>
      <c r="C145">
        <v>139</v>
      </c>
      <c r="D145" t="s">
        <v>1908</v>
      </c>
      <c r="E145" t="s">
        <v>1907</v>
      </c>
      <c r="F145">
        <v>0</v>
      </c>
      <c r="G145" s="10">
        <v>35048</v>
      </c>
      <c r="H145">
        <v>22</v>
      </c>
      <c r="I145" t="s">
        <v>2057</v>
      </c>
      <c r="J145" t="s">
        <v>1824</v>
      </c>
      <c r="K145">
        <v>5</v>
      </c>
      <c r="L145">
        <v>8</v>
      </c>
      <c r="M145">
        <v>6</v>
      </c>
      <c r="N145">
        <v>6</v>
      </c>
      <c r="O145">
        <v>3</v>
      </c>
      <c r="P145">
        <v>9</v>
      </c>
      <c r="Q145">
        <v>9</v>
      </c>
      <c r="R145">
        <v>9</v>
      </c>
      <c r="S145" t="s">
        <v>2027</v>
      </c>
      <c r="T145" t="s">
        <v>2027</v>
      </c>
      <c r="U145" t="s">
        <v>2027</v>
      </c>
      <c r="V145" t="s">
        <v>2027</v>
      </c>
      <c r="W145" t="s">
        <v>2027</v>
      </c>
      <c r="X145">
        <v>5</v>
      </c>
      <c r="Y145" t="s">
        <v>2027</v>
      </c>
      <c r="Z145">
        <v>4</v>
      </c>
      <c r="AA145">
        <v>5</v>
      </c>
      <c r="AB145">
        <v>1</v>
      </c>
      <c r="AC145">
        <v>7</v>
      </c>
    </row>
    <row r="146" spans="1:29">
      <c r="A146" t="str">
        <f t="shared" si="2"/>
        <v>1BSteve Boes18</v>
      </c>
      <c r="B146">
        <v>13827</v>
      </c>
      <c r="C146">
        <v>376</v>
      </c>
      <c r="D146" t="s">
        <v>1850</v>
      </c>
      <c r="E146" t="s">
        <v>496</v>
      </c>
      <c r="F146">
        <v>0</v>
      </c>
      <c r="G146" s="10">
        <v>36506</v>
      </c>
      <c r="H146">
        <v>18</v>
      </c>
      <c r="I146" t="s">
        <v>2092</v>
      </c>
      <c r="J146" t="s">
        <v>1824</v>
      </c>
      <c r="K146">
        <v>5</v>
      </c>
      <c r="L146">
        <v>6</v>
      </c>
      <c r="M146">
        <v>6</v>
      </c>
      <c r="N146">
        <v>5</v>
      </c>
      <c r="O146">
        <v>7</v>
      </c>
      <c r="P146">
        <v>2</v>
      </c>
      <c r="Q146">
        <v>4</v>
      </c>
      <c r="R146">
        <v>3</v>
      </c>
      <c r="S146" t="s">
        <v>2027</v>
      </c>
      <c r="T146">
        <v>3</v>
      </c>
      <c r="U146" t="s">
        <v>2027</v>
      </c>
      <c r="V146" t="s">
        <v>2027</v>
      </c>
      <c r="W146" t="s">
        <v>2027</v>
      </c>
      <c r="X146" t="s">
        <v>2027</v>
      </c>
      <c r="Y146" t="s">
        <v>2027</v>
      </c>
      <c r="Z146" t="s">
        <v>2027</v>
      </c>
      <c r="AA146">
        <v>1</v>
      </c>
      <c r="AB146">
        <v>3</v>
      </c>
      <c r="AC146">
        <v>8</v>
      </c>
    </row>
    <row r="147" spans="1:29">
      <c r="A147" t="str">
        <f t="shared" si="2"/>
        <v>SSMatt Tyler21</v>
      </c>
      <c r="B147">
        <v>9262</v>
      </c>
      <c r="C147">
        <v>279</v>
      </c>
      <c r="D147" t="s">
        <v>1848</v>
      </c>
      <c r="E147" t="s">
        <v>302</v>
      </c>
      <c r="F147">
        <v>0</v>
      </c>
      <c r="G147" s="10">
        <v>35249</v>
      </c>
      <c r="H147">
        <v>21</v>
      </c>
      <c r="I147" t="s">
        <v>2074</v>
      </c>
      <c r="J147" t="s">
        <v>1824</v>
      </c>
      <c r="K147">
        <v>5</v>
      </c>
      <c r="L147">
        <v>5</v>
      </c>
      <c r="M147">
        <v>6</v>
      </c>
      <c r="N147">
        <v>5</v>
      </c>
      <c r="O147">
        <v>4</v>
      </c>
      <c r="P147">
        <v>9</v>
      </c>
      <c r="Q147">
        <v>6</v>
      </c>
      <c r="R147">
        <v>8</v>
      </c>
      <c r="S147" t="s">
        <v>2027</v>
      </c>
      <c r="T147" t="s">
        <v>2027</v>
      </c>
      <c r="U147" t="s">
        <v>2027</v>
      </c>
      <c r="V147" t="s">
        <v>2027</v>
      </c>
      <c r="W147">
        <v>4</v>
      </c>
      <c r="X147" t="s">
        <v>2027</v>
      </c>
      <c r="Y147" t="s">
        <v>2027</v>
      </c>
      <c r="Z147" t="s">
        <v>2027</v>
      </c>
      <c r="AA147">
        <v>5</v>
      </c>
      <c r="AB147">
        <v>7</v>
      </c>
      <c r="AC147">
        <v>2</v>
      </c>
    </row>
    <row r="148" spans="1:29">
      <c r="A148" t="str">
        <f t="shared" si="2"/>
        <v>1BJorge Villa18</v>
      </c>
      <c r="B148">
        <v>13772</v>
      </c>
      <c r="C148">
        <v>424</v>
      </c>
      <c r="D148" t="s">
        <v>1832</v>
      </c>
      <c r="E148" t="s">
        <v>470</v>
      </c>
      <c r="F148">
        <v>0</v>
      </c>
      <c r="G148" s="10">
        <v>36463</v>
      </c>
      <c r="H148">
        <v>18</v>
      </c>
      <c r="I148" t="s">
        <v>2092</v>
      </c>
      <c r="J148" t="s">
        <v>1824</v>
      </c>
      <c r="K148">
        <v>5</v>
      </c>
      <c r="L148">
        <v>5</v>
      </c>
      <c r="M148">
        <v>6</v>
      </c>
      <c r="N148">
        <v>5</v>
      </c>
      <c r="O148">
        <v>6</v>
      </c>
      <c r="P148">
        <v>6</v>
      </c>
      <c r="Q148">
        <v>1</v>
      </c>
      <c r="R148">
        <v>1</v>
      </c>
      <c r="S148" t="s">
        <v>2027</v>
      </c>
      <c r="T148">
        <v>1</v>
      </c>
      <c r="U148" t="s">
        <v>2027</v>
      </c>
      <c r="V148" t="s">
        <v>2027</v>
      </c>
      <c r="W148" t="s">
        <v>2027</v>
      </c>
      <c r="X148" t="s">
        <v>2027</v>
      </c>
      <c r="Y148" t="s">
        <v>2027</v>
      </c>
      <c r="Z148" t="s">
        <v>2027</v>
      </c>
      <c r="AA148">
        <v>5</v>
      </c>
      <c r="AB148">
        <v>2</v>
      </c>
      <c r="AC148">
        <v>5</v>
      </c>
    </row>
    <row r="149" spans="1:29">
      <c r="A149" t="str">
        <f t="shared" si="2"/>
        <v>CFRafael Aranda21</v>
      </c>
      <c r="B149">
        <v>3510</v>
      </c>
      <c r="C149">
        <v>359</v>
      </c>
      <c r="D149" t="s">
        <v>1882</v>
      </c>
      <c r="E149" t="s">
        <v>532</v>
      </c>
      <c r="F149">
        <v>0</v>
      </c>
      <c r="G149" s="10">
        <v>35488</v>
      </c>
      <c r="H149">
        <v>21</v>
      </c>
      <c r="I149" t="s">
        <v>2079</v>
      </c>
      <c r="J149" t="s">
        <v>1824</v>
      </c>
      <c r="K149">
        <v>5</v>
      </c>
      <c r="L149">
        <v>6</v>
      </c>
      <c r="M149">
        <v>6</v>
      </c>
      <c r="N149">
        <v>4</v>
      </c>
      <c r="O149">
        <v>5</v>
      </c>
      <c r="P149">
        <v>5</v>
      </c>
      <c r="Q149">
        <v>4</v>
      </c>
      <c r="R149">
        <v>3</v>
      </c>
      <c r="S149" t="s">
        <v>2027</v>
      </c>
      <c r="T149" t="s">
        <v>2027</v>
      </c>
      <c r="U149" t="s">
        <v>2027</v>
      </c>
      <c r="V149" t="s">
        <v>2027</v>
      </c>
      <c r="W149" t="s">
        <v>2027</v>
      </c>
      <c r="X149">
        <v>3</v>
      </c>
      <c r="Y149">
        <v>5</v>
      </c>
      <c r="Z149">
        <v>3</v>
      </c>
      <c r="AA149">
        <v>1</v>
      </c>
      <c r="AB149">
        <v>1</v>
      </c>
      <c r="AC149">
        <v>5</v>
      </c>
    </row>
    <row r="150" spans="1:29">
      <c r="A150" t="str">
        <f t="shared" si="2"/>
        <v>RFMario Machado18</v>
      </c>
      <c r="B150">
        <v>13810</v>
      </c>
      <c r="C150">
        <v>60</v>
      </c>
      <c r="D150" t="s">
        <v>1925</v>
      </c>
      <c r="E150" t="s">
        <v>459</v>
      </c>
      <c r="F150">
        <v>0</v>
      </c>
      <c r="G150" s="10">
        <v>36459</v>
      </c>
      <c r="H150">
        <v>18</v>
      </c>
      <c r="I150" t="s">
        <v>2057</v>
      </c>
      <c r="J150" t="s">
        <v>1824</v>
      </c>
      <c r="K150">
        <v>5</v>
      </c>
      <c r="L150">
        <v>6</v>
      </c>
      <c r="M150">
        <v>6</v>
      </c>
      <c r="N150">
        <v>4</v>
      </c>
      <c r="O150">
        <v>7</v>
      </c>
      <c r="P150">
        <v>5</v>
      </c>
      <c r="Q150">
        <v>2</v>
      </c>
      <c r="R150">
        <v>1</v>
      </c>
      <c r="S150" t="s">
        <v>2027</v>
      </c>
      <c r="T150" t="s">
        <v>2027</v>
      </c>
      <c r="U150" t="s">
        <v>2027</v>
      </c>
      <c r="V150" t="s">
        <v>2027</v>
      </c>
      <c r="W150" t="s">
        <v>2027</v>
      </c>
      <c r="X150">
        <v>1</v>
      </c>
      <c r="Y150">
        <v>1</v>
      </c>
      <c r="Z150">
        <v>2</v>
      </c>
      <c r="AA150">
        <v>1</v>
      </c>
      <c r="AB150">
        <v>1</v>
      </c>
      <c r="AC150">
        <v>7</v>
      </c>
    </row>
    <row r="151" spans="1:29">
      <c r="A151" t="str">
        <f t="shared" si="2"/>
        <v>1BRalph Pollock18</v>
      </c>
      <c r="B151">
        <v>1069</v>
      </c>
      <c r="C151">
        <v>414</v>
      </c>
      <c r="D151" t="s">
        <v>1846</v>
      </c>
      <c r="E151" t="s">
        <v>1794</v>
      </c>
      <c r="F151">
        <v>0</v>
      </c>
      <c r="G151" s="10">
        <v>36356</v>
      </c>
      <c r="H151">
        <v>18</v>
      </c>
      <c r="I151" t="s">
        <v>2092</v>
      </c>
      <c r="J151" t="s">
        <v>1824</v>
      </c>
      <c r="K151">
        <v>5</v>
      </c>
      <c r="L151">
        <v>7</v>
      </c>
      <c r="M151">
        <v>6</v>
      </c>
      <c r="N151">
        <v>3</v>
      </c>
      <c r="O151">
        <v>3</v>
      </c>
      <c r="P151">
        <v>2</v>
      </c>
      <c r="Q151">
        <v>6</v>
      </c>
      <c r="R151">
        <v>6</v>
      </c>
      <c r="S151" t="s">
        <v>2027</v>
      </c>
      <c r="T151">
        <v>3</v>
      </c>
      <c r="U151" t="s">
        <v>2027</v>
      </c>
      <c r="V151" t="s">
        <v>2027</v>
      </c>
      <c r="W151" t="s">
        <v>2027</v>
      </c>
      <c r="X151" t="s">
        <v>2027</v>
      </c>
      <c r="Y151" t="s">
        <v>2027</v>
      </c>
      <c r="Z151" t="s">
        <v>2027</v>
      </c>
      <c r="AA151">
        <v>1</v>
      </c>
      <c r="AB151">
        <v>5</v>
      </c>
      <c r="AC151">
        <v>1</v>
      </c>
    </row>
    <row r="152" spans="1:29">
      <c r="A152" t="str">
        <f t="shared" si="2"/>
        <v>SSStephen Cox21</v>
      </c>
      <c r="B152">
        <v>3481</v>
      </c>
      <c r="C152">
        <v>265</v>
      </c>
      <c r="D152" t="s">
        <v>1825</v>
      </c>
      <c r="E152" t="s">
        <v>1781</v>
      </c>
      <c r="F152">
        <v>0</v>
      </c>
      <c r="G152" s="10">
        <v>35228</v>
      </c>
      <c r="H152">
        <v>21</v>
      </c>
      <c r="I152" t="s">
        <v>2074</v>
      </c>
      <c r="J152" t="s">
        <v>1824</v>
      </c>
      <c r="K152">
        <v>5</v>
      </c>
      <c r="L152">
        <v>4</v>
      </c>
      <c r="M152">
        <v>5</v>
      </c>
      <c r="N152">
        <v>7</v>
      </c>
      <c r="O152">
        <v>6</v>
      </c>
      <c r="P152">
        <v>7</v>
      </c>
      <c r="Q152">
        <v>6</v>
      </c>
      <c r="R152">
        <v>8</v>
      </c>
      <c r="S152" t="s">
        <v>2027</v>
      </c>
      <c r="T152">
        <v>5</v>
      </c>
      <c r="U152">
        <v>2</v>
      </c>
      <c r="V152">
        <v>8</v>
      </c>
      <c r="W152">
        <v>3</v>
      </c>
      <c r="X152" t="s">
        <v>2027</v>
      </c>
      <c r="Y152" t="s">
        <v>2027</v>
      </c>
      <c r="Z152" t="s">
        <v>2027</v>
      </c>
      <c r="AA152">
        <v>4</v>
      </c>
      <c r="AB152">
        <v>8</v>
      </c>
      <c r="AC152">
        <v>2</v>
      </c>
    </row>
    <row r="153" spans="1:29">
      <c r="A153" t="str">
        <f t="shared" si="2"/>
        <v>LFLuis Gonz·lez21</v>
      </c>
      <c r="B153">
        <v>8233</v>
      </c>
      <c r="C153">
        <v>33</v>
      </c>
      <c r="D153" t="s">
        <v>1826</v>
      </c>
      <c r="E153" t="s">
        <v>130</v>
      </c>
      <c r="F153">
        <v>0</v>
      </c>
      <c r="G153" s="10">
        <v>35502</v>
      </c>
      <c r="H153">
        <v>21</v>
      </c>
      <c r="I153" t="s">
        <v>2035</v>
      </c>
      <c r="J153" t="s">
        <v>1824</v>
      </c>
      <c r="K153">
        <v>5</v>
      </c>
      <c r="L153">
        <v>9</v>
      </c>
      <c r="M153">
        <v>5</v>
      </c>
      <c r="N153">
        <v>7</v>
      </c>
      <c r="O153">
        <v>9</v>
      </c>
      <c r="P153">
        <v>10</v>
      </c>
      <c r="Q153">
        <v>3</v>
      </c>
      <c r="R153">
        <v>7</v>
      </c>
      <c r="S153" t="s">
        <v>2027</v>
      </c>
      <c r="T153" t="s">
        <v>2027</v>
      </c>
      <c r="U153" t="s">
        <v>2027</v>
      </c>
      <c r="V153" t="s">
        <v>2027</v>
      </c>
      <c r="W153" t="s">
        <v>2027</v>
      </c>
      <c r="X153">
        <v>10</v>
      </c>
      <c r="Y153">
        <v>3</v>
      </c>
      <c r="Z153">
        <v>8</v>
      </c>
      <c r="AA153">
        <v>4</v>
      </c>
      <c r="AB153">
        <v>1</v>
      </c>
      <c r="AC153">
        <v>10</v>
      </c>
    </row>
    <row r="154" spans="1:29">
      <c r="A154" t="str">
        <f t="shared" si="2"/>
        <v>RFStephen Hooper21</v>
      </c>
      <c r="B154">
        <v>7069</v>
      </c>
      <c r="C154">
        <v>6</v>
      </c>
      <c r="D154" t="s">
        <v>1825</v>
      </c>
      <c r="E154" t="s">
        <v>520</v>
      </c>
      <c r="F154">
        <v>0</v>
      </c>
      <c r="G154" s="10">
        <v>35280</v>
      </c>
      <c r="H154">
        <v>21</v>
      </c>
      <c r="I154" t="s">
        <v>2057</v>
      </c>
      <c r="J154" t="s">
        <v>1824</v>
      </c>
      <c r="K154">
        <v>5</v>
      </c>
      <c r="L154">
        <v>10</v>
      </c>
      <c r="M154">
        <v>5</v>
      </c>
      <c r="N154">
        <v>6</v>
      </c>
      <c r="O154">
        <v>5</v>
      </c>
      <c r="P154">
        <v>6</v>
      </c>
      <c r="Q154">
        <v>6</v>
      </c>
      <c r="R154">
        <v>9</v>
      </c>
      <c r="S154" t="s">
        <v>2027</v>
      </c>
      <c r="T154">
        <v>1</v>
      </c>
      <c r="U154" t="s">
        <v>2027</v>
      </c>
      <c r="V154" t="s">
        <v>2027</v>
      </c>
      <c r="W154" t="s">
        <v>2027</v>
      </c>
      <c r="X154">
        <v>4</v>
      </c>
      <c r="Y154">
        <v>1</v>
      </c>
      <c r="Z154">
        <v>8</v>
      </c>
      <c r="AA154">
        <v>2</v>
      </c>
      <c r="AB154">
        <v>1</v>
      </c>
      <c r="AC154">
        <v>6</v>
      </c>
    </row>
    <row r="155" spans="1:29">
      <c r="A155" t="str">
        <f t="shared" si="2"/>
        <v>RFGustavo MartÌnez21</v>
      </c>
      <c r="B155">
        <v>2335</v>
      </c>
      <c r="C155">
        <v>40</v>
      </c>
      <c r="D155" t="s">
        <v>319</v>
      </c>
      <c r="E155" t="s">
        <v>115</v>
      </c>
      <c r="F155">
        <v>0</v>
      </c>
      <c r="G155" s="10">
        <v>35459</v>
      </c>
      <c r="H155">
        <v>21</v>
      </c>
      <c r="I155" t="s">
        <v>2057</v>
      </c>
      <c r="J155" t="s">
        <v>1824</v>
      </c>
      <c r="K155">
        <v>5</v>
      </c>
      <c r="L155">
        <v>6</v>
      </c>
      <c r="M155">
        <v>5</v>
      </c>
      <c r="N155">
        <v>6</v>
      </c>
      <c r="O155">
        <v>4</v>
      </c>
      <c r="P155">
        <v>8</v>
      </c>
      <c r="Q155">
        <v>6</v>
      </c>
      <c r="R155">
        <v>4</v>
      </c>
      <c r="S155" t="s">
        <v>2027</v>
      </c>
      <c r="T155" t="s">
        <v>2027</v>
      </c>
      <c r="U155" t="s">
        <v>2027</v>
      </c>
      <c r="V155" t="s">
        <v>2027</v>
      </c>
      <c r="W155" t="s">
        <v>2027</v>
      </c>
      <c r="X155">
        <v>4</v>
      </c>
      <c r="Y155">
        <v>1</v>
      </c>
      <c r="Z155">
        <v>4</v>
      </c>
      <c r="AA155">
        <v>3</v>
      </c>
      <c r="AB155">
        <v>1</v>
      </c>
      <c r="AC155">
        <v>4</v>
      </c>
    </row>
    <row r="156" spans="1:29">
      <c r="A156" t="str">
        <f t="shared" si="2"/>
        <v>C-LeÛn Ortega18</v>
      </c>
      <c r="B156">
        <v>1228</v>
      </c>
      <c r="C156">
        <v>339</v>
      </c>
      <c r="D156" t="s">
        <v>132</v>
      </c>
      <c r="E156" t="s">
        <v>1948</v>
      </c>
      <c r="F156">
        <v>0</v>
      </c>
      <c r="G156" s="10">
        <v>36637</v>
      </c>
      <c r="H156">
        <v>18</v>
      </c>
      <c r="I156" t="s">
        <v>2091</v>
      </c>
      <c r="J156" t="s">
        <v>1824</v>
      </c>
      <c r="K156">
        <v>5</v>
      </c>
      <c r="L156">
        <v>4</v>
      </c>
      <c r="M156">
        <v>5</v>
      </c>
      <c r="N156">
        <v>6</v>
      </c>
      <c r="O156">
        <v>7</v>
      </c>
      <c r="P156">
        <v>7</v>
      </c>
      <c r="Q156">
        <v>1</v>
      </c>
      <c r="R156">
        <v>1</v>
      </c>
      <c r="S156" t="s">
        <v>2027</v>
      </c>
      <c r="T156" t="s">
        <v>2027</v>
      </c>
      <c r="U156" t="s">
        <v>2027</v>
      </c>
      <c r="V156" t="s">
        <v>2027</v>
      </c>
      <c r="W156" t="s">
        <v>2027</v>
      </c>
      <c r="X156" t="s">
        <v>2027</v>
      </c>
      <c r="Y156" t="s">
        <v>2027</v>
      </c>
      <c r="Z156" t="s">
        <v>2027</v>
      </c>
      <c r="AA156">
        <v>8</v>
      </c>
      <c r="AB156">
        <v>4</v>
      </c>
      <c r="AC156">
        <v>5</v>
      </c>
    </row>
    <row r="157" spans="1:29">
      <c r="A157" t="str">
        <f t="shared" si="2"/>
        <v>1BPedro OrtÌz22</v>
      </c>
      <c r="B157">
        <v>12055</v>
      </c>
      <c r="C157">
        <v>307</v>
      </c>
      <c r="D157" t="s">
        <v>1932</v>
      </c>
      <c r="E157" t="s">
        <v>134</v>
      </c>
      <c r="F157">
        <v>0</v>
      </c>
      <c r="G157" s="10">
        <v>35057</v>
      </c>
      <c r="H157">
        <v>22</v>
      </c>
      <c r="I157" t="s">
        <v>2092</v>
      </c>
      <c r="J157" t="s">
        <v>1824</v>
      </c>
      <c r="K157">
        <v>5</v>
      </c>
      <c r="L157">
        <v>8</v>
      </c>
      <c r="M157">
        <v>5</v>
      </c>
      <c r="N157">
        <v>6</v>
      </c>
      <c r="O157">
        <v>3</v>
      </c>
      <c r="P157">
        <v>4</v>
      </c>
      <c r="Q157">
        <v>1</v>
      </c>
      <c r="R157">
        <v>3</v>
      </c>
      <c r="S157" t="s">
        <v>2027</v>
      </c>
      <c r="T157">
        <v>3</v>
      </c>
      <c r="U157" t="s">
        <v>2027</v>
      </c>
      <c r="V157" t="s">
        <v>2027</v>
      </c>
      <c r="W157" t="s">
        <v>2027</v>
      </c>
      <c r="X157" t="s">
        <v>2027</v>
      </c>
      <c r="Y157" t="s">
        <v>2027</v>
      </c>
      <c r="Z157" t="s">
        <v>2027</v>
      </c>
      <c r="AA157">
        <v>2</v>
      </c>
      <c r="AB157">
        <v>3</v>
      </c>
      <c r="AC157">
        <v>2</v>
      </c>
    </row>
    <row r="158" spans="1:29">
      <c r="A158" t="str">
        <f t="shared" si="2"/>
        <v>RFScott Coleman21</v>
      </c>
      <c r="B158">
        <v>9289</v>
      </c>
      <c r="C158">
        <v>380</v>
      </c>
      <c r="D158" t="s">
        <v>1874</v>
      </c>
      <c r="E158" t="s">
        <v>534</v>
      </c>
      <c r="F158">
        <v>0</v>
      </c>
      <c r="G158" s="10">
        <v>35381</v>
      </c>
      <c r="H158">
        <v>21</v>
      </c>
      <c r="I158" t="s">
        <v>2057</v>
      </c>
      <c r="J158" t="s">
        <v>1824</v>
      </c>
      <c r="K158">
        <v>5</v>
      </c>
      <c r="L158">
        <v>6</v>
      </c>
      <c r="M158">
        <v>5</v>
      </c>
      <c r="N158">
        <v>5</v>
      </c>
      <c r="O158">
        <v>4</v>
      </c>
      <c r="P158">
        <v>5</v>
      </c>
      <c r="Q158">
        <v>5</v>
      </c>
      <c r="R158">
        <v>6</v>
      </c>
      <c r="S158" t="s">
        <v>2027</v>
      </c>
      <c r="T158" t="s">
        <v>2027</v>
      </c>
      <c r="U158" t="s">
        <v>2027</v>
      </c>
      <c r="V158" t="s">
        <v>2027</v>
      </c>
      <c r="W158" t="s">
        <v>2027</v>
      </c>
      <c r="X158">
        <v>3</v>
      </c>
      <c r="Y158" t="s">
        <v>2027</v>
      </c>
      <c r="Z158">
        <v>3</v>
      </c>
      <c r="AA158">
        <v>1</v>
      </c>
      <c r="AB158">
        <v>2</v>
      </c>
      <c r="AC158">
        <v>4</v>
      </c>
    </row>
    <row r="159" spans="1:29">
      <c r="A159" t="str">
        <f t="shared" si="2"/>
        <v>3BGordon Fuller21</v>
      </c>
      <c r="B159">
        <v>2882</v>
      </c>
      <c r="C159">
        <v>11</v>
      </c>
      <c r="D159" t="s">
        <v>1763</v>
      </c>
      <c r="E159" t="s">
        <v>509</v>
      </c>
      <c r="F159">
        <v>0</v>
      </c>
      <c r="G159" s="10">
        <v>35338</v>
      </c>
      <c r="H159">
        <v>21</v>
      </c>
      <c r="I159" t="s">
        <v>2061</v>
      </c>
      <c r="J159" t="s">
        <v>1824</v>
      </c>
      <c r="K159">
        <v>5</v>
      </c>
      <c r="L159">
        <v>9</v>
      </c>
      <c r="M159">
        <v>5</v>
      </c>
      <c r="N159">
        <v>5</v>
      </c>
      <c r="O159">
        <v>4</v>
      </c>
      <c r="P159">
        <v>6</v>
      </c>
      <c r="Q159">
        <v>4</v>
      </c>
      <c r="R159">
        <v>6</v>
      </c>
      <c r="S159" t="s">
        <v>2027</v>
      </c>
      <c r="T159" t="s">
        <v>2027</v>
      </c>
      <c r="U159">
        <v>1</v>
      </c>
      <c r="V159">
        <v>6</v>
      </c>
      <c r="W159" t="s">
        <v>2027</v>
      </c>
      <c r="X159" t="s">
        <v>2027</v>
      </c>
      <c r="Y159" t="s">
        <v>2027</v>
      </c>
      <c r="Z159" t="s">
        <v>2027</v>
      </c>
      <c r="AA159">
        <v>1</v>
      </c>
      <c r="AB159">
        <v>6</v>
      </c>
      <c r="AC159">
        <v>1</v>
      </c>
    </row>
    <row r="160" spans="1:29">
      <c r="A160" t="str">
        <f t="shared" si="2"/>
        <v>SSM·ximo Medina18</v>
      </c>
      <c r="B160">
        <v>13770</v>
      </c>
      <c r="C160">
        <v>427</v>
      </c>
      <c r="D160" t="s">
        <v>135</v>
      </c>
      <c r="E160" t="s">
        <v>518</v>
      </c>
      <c r="F160">
        <v>0</v>
      </c>
      <c r="G160" s="10">
        <v>36419</v>
      </c>
      <c r="H160">
        <v>18</v>
      </c>
      <c r="I160" t="s">
        <v>2074</v>
      </c>
      <c r="J160" t="s">
        <v>1824</v>
      </c>
      <c r="K160">
        <v>5</v>
      </c>
      <c r="L160">
        <v>3</v>
      </c>
      <c r="M160">
        <v>5</v>
      </c>
      <c r="N160">
        <v>5</v>
      </c>
      <c r="O160">
        <v>7</v>
      </c>
      <c r="P160">
        <v>9</v>
      </c>
      <c r="Q160">
        <v>5</v>
      </c>
      <c r="R160">
        <v>6</v>
      </c>
      <c r="S160" t="s">
        <v>2027</v>
      </c>
      <c r="T160" t="s">
        <v>2027</v>
      </c>
      <c r="U160" t="s">
        <v>2027</v>
      </c>
      <c r="V160">
        <v>2</v>
      </c>
      <c r="W160">
        <v>6</v>
      </c>
      <c r="X160" t="s">
        <v>2027</v>
      </c>
      <c r="Y160" t="s">
        <v>2027</v>
      </c>
      <c r="Z160" t="s">
        <v>2027</v>
      </c>
      <c r="AA160">
        <v>5</v>
      </c>
      <c r="AB160">
        <v>5</v>
      </c>
      <c r="AC160">
        <v>4</v>
      </c>
    </row>
    <row r="161" spans="1:29">
      <c r="A161" t="str">
        <f t="shared" si="2"/>
        <v>1BRens Ricksen21</v>
      </c>
      <c r="B161">
        <v>7747</v>
      </c>
      <c r="C161">
        <v>335</v>
      </c>
      <c r="D161" t="s">
        <v>358</v>
      </c>
      <c r="E161" t="s">
        <v>359</v>
      </c>
      <c r="F161">
        <v>0</v>
      </c>
      <c r="G161" s="10">
        <v>35358</v>
      </c>
      <c r="H161">
        <v>21</v>
      </c>
      <c r="I161" t="s">
        <v>2092</v>
      </c>
      <c r="J161" t="s">
        <v>1824</v>
      </c>
      <c r="K161">
        <v>5</v>
      </c>
      <c r="L161">
        <v>7</v>
      </c>
      <c r="M161">
        <v>5</v>
      </c>
      <c r="N161">
        <v>5</v>
      </c>
      <c r="O161">
        <v>6</v>
      </c>
      <c r="P161">
        <v>3</v>
      </c>
      <c r="Q161">
        <v>3</v>
      </c>
      <c r="R161">
        <v>5</v>
      </c>
      <c r="S161" t="s">
        <v>2027</v>
      </c>
      <c r="T161">
        <v>3</v>
      </c>
      <c r="U161" t="s">
        <v>2027</v>
      </c>
      <c r="V161" t="s">
        <v>2027</v>
      </c>
      <c r="W161" t="s">
        <v>2027</v>
      </c>
      <c r="X161" t="s">
        <v>2027</v>
      </c>
      <c r="Y161" t="s">
        <v>2027</v>
      </c>
      <c r="Z161" t="s">
        <v>2027</v>
      </c>
      <c r="AA161">
        <v>2</v>
      </c>
      <c r="AB161">
        <v>4</v>
      </c>
      <c r="AC161">
        <v>4</v>
      </c>
    </row>
    <row r="162" spans="1:29">
      <c r="A162" t="str">
        <f t="shared" si="2"/>
        <v>SSBob Stumberg18</v>
      </c>
      <c r="B162">
        <v>13773</v>
      </c>
      <c r="C162">
        <v>423</v>
      </c>
      <c r="D162" t="s">
        <v>1913</v>
      </c>
      <c r="E162" t="s">
        <v>485</v>
      </c>
      <c r="F162">
        <v>0</v>
      </c>
      <c r="G162" s="10">
        <v>36394</v>
      </c>
      <c r="H162">
        <v>18</v>
      </c>
      <c r="I162" t="s">
        <v>2074</v>
      </c>
      <c r="J162" t="s">
        <v>1824</v>
      </c>
      <c r="K162">
        <v>5</v>
      </c>
      <c r="L162">
        <v>5</v>
      </c>
      <c r="M162">
        <v>5</v>
      </c>
      <c r="N162">
        <v>5</v>
      </c>
      <c r="O162">
        <v>6</v>
      </c>
      <c r="P162">
        <v>10</v>
      </c>
      <c r="Q162">
        <v>7</v>
      </c>
      <c r="R162">
        <v>7</v>
      </c>
      <c r="S162" t="s">
        <v>2027</v>
      </c>
      <c r="T162">
        <v>1</v>
      </c>
      <c r="U162">
        <v>1</v>
      </c>
      <c r="V162" t="s">
        <v>2027</v>
      </c>
      <c r="W162">
        <v>6</v>
      </c>
      <c r="X162" t="s">
        <v>2027</v>
      </c>
      <c r="Y162" t="s">
        <v>2027</v>
      </c>
      <c r="Z162" t="s">
        <v>2027</v>
      </c>
      <c r="AA162">
        <v>5</v>
      </c>
      <c r="AB162">
        <v>5</v>
      </c>
      <c r="AC162">
        <v>5</v>
      </c>
    </row>
    <row r="163" spans="1:29">
      <c r="A163" t="str">
        <f t="shared" si="2"/>
        <v>1BJon Lange21</v>
      </c>
      <c r="B163">
        <v>2552</v>
      </c>
      <c r="C163">
        <v>413</v>
      </c>
      <c r="D163" t="s">
        <v>1833</v>
      </c>
      <c r="E163" t="s">
        <v>1738</v>
      </c>
      <c r="F163">
        <v>0</v>
      </c>
      <c r="G163" s="10">
        <v>35270</v>
      </c>
      <c r="H163">
        <v>21</v>
      </c>
      <c r="I163" t="s">
        <v>2092</v>
      </c>
      <c r="J163" t="s">
        <v>1824</v>
      </c>
      <c r="K163">
        <v>5</v>
      </c>
      <c r="L163">
        <v>4</v>
      </c>
      <c r="M163">
        <v>5</v>
      </c>
      <c r="N163">
        <v>4</v>
      </c>
      <c r="O163">
        <v>4</v>
      </c>
      <c r="P163">
        <v>4</v>
      </c>
      <c r="Q163">
        <v>4</v>
      </c>
      <c r="R163">
        <v>2</v>
      </c>
      <c r="S163" t="s">
        <v>2027</v>
      </c>
      <c r="T163">
        <v>3</v>
      </c>
      <c r="U163" t="s">
        <v>2027</v>
      </c>
      <c r="V163" t="s">
        <v>2027</v>
      </c>
      <c r="W163" t="s">
        <v>2027</v>
      </c>
      <c r="X163" t="s">
        <v>2027</v>
      </c>
      <c r="Y163" t="s">
        <v>2027</v>
      </c>
      <c r="Z163" t="s">
        <v>2027</v>
      </c>
      <c r="AA163">
        <v>2</v>
      </c>
      <c r="AB163">
        <v>2</v>
      </c>
      <c r="AC163">
        <v>3</v>
      </c>
    </row>
    <row r="164" spans="1:29">
      <c r="A164" t="str">
        <f t="shared" si="2"/>
        <v>3BJohn Walter18</v>
      </c>
      <c r="B164">
        <v>13771</v>
      </c>
      <c r="C164">
        <v>428</v>
      </c>
      <c r="D164" t="s">
        <v>1947</v>
      </c>
      <c r="E164" t="s">
        <v>370</v>
      </c>
      <c r="F164">
        <v>0</v>
      </c>
      <c r="G164" s="10">
        <v>36349</v>
      </c>
      <c r="H164">
        <v>18</v>
      </c>
      <c r="I164" t="s">
        <v>2061</v>
      </c>
      <c r="J164" t="s">
        <v>1824</v>
      </c>
      <c r="K164">
        <v>5</v>
      </c>
      <c r="L164">
        <v>4</v>
      </c>
      <c r="M164">
        <v>5</v>
      </c>
      <c r="N164">
        <v>4</v>
      </c>
      <c r="O164">
        <v>6</v>
      </c>
      <c r="P164">
        <v>9</v>
      </c>
      <c r="Q164">
        <v>2</v>
      </c>
      <c r="R164">
        <v>2</v>
      </c>
      <c r="S164" t="s">
        <v>2027</v>
      </c>
      <c r="T164" t="s">
        <v>2027</v>
      </c>
      <c r="U164">
        <v>1</v>
      </c>
      <c r="V164">
        <v>1</v>
      </c>
      <c r="W164">
        <v>3</v>
      </c>
      <c r="X164" t="s">
        <v>2027</v>
      </c>
      <c r="Y164" t="s">
        <v>2027</v>
      </c>
      <c r="Z164" t="s">
        <v>2027</v>
      </c>
      <c r="AA164">
        <v>5</v>
      </c>
      <c r="AB164">
        <v>3</v>
      </c>
      <c r="AC164">
        <v>4</v>
      </c>
    </row>
    <row r="165" spans="1:29">
      <c r="A165" t="str">
        <f t="shared" si="2"/>
        <v>CFPhilip Warren21</v>
      </c>
      <c r="B165">
        <v>12636</v>
      </c>
      <c r="C165">
        <v>396</v>
      </c>
      <c r="D165" t="s">
        <v>550</v>
      </c>
      <c r="E165" t="s">
        <v>1782</v>
      </c>
      <c r="F165">
        <v>0</v>
      </c>
      <c r="G165" s="10">
        <v>35539</v>
      </c>
      <c r="H165">
        <v>21</v>
      </c>
      <c r="I165" t="s">
        <v>2079</v>
      </c>
      <c r="J165" t="s">
        <v>1824</v>
      </c>
      <c r="K165">
        <v>5</v>
      </c>
      <c r="L165">
        <v>5</v>
      </c>
      <c r="M165">
        <v>5</v>
      </c>
      <c r="N165">
        <v>4</v>
      </c>
      <c r="O165">
        <v>4</v>
      </c>
      <c r="P165">
        <v>7</v>
      </c>
      <c r="Q165">
        <v>2</v>
      </c>
      <c r="R165">
        <v>1</v>
      </c>
      <c r="S165" t="s">
        <v>2027</v>
      </c>
      <c r="T165">
        <v>1</v>
      </c>
      <c r="U165" t="s">
        <v>2027</v>
      </c>
      <c r="V165" t="s">
        <v>2027</v>
      </c>
      <c r="W165" t="s">
        <v>2027</v>
      </c>
      <c r="X165">
        <v>4</v>
      </c>
      <c r="Y165">
        <v>1</v>
      </c>
      <c r="Z165">
        <v>1</v>
      </c>
      <c r="AA165">
        <v>4</v>
      </c>
      <c r="AB165">
        <v>5</v>
      </c>
      <c r="AC165">
        <v>6</v>
      </c>
    </row>
    <row r="166" spans="1:29">
      <c r="A166" t="str">
        <f t="shared" si="2"/>
        <v>LFStu Greer18</v>
      </c>
      <c r="B166">
        <v>1753</v>
      </c>
      <c r="C166">
        <v>55</v>
      </c>
      <c r="D166" t="s">
        <v>323</v>
      </c>
      <c r="E166" t="s">
        <v>324</v>
      </c>
      <c r="F166">
        <v>0</v>
      </c>
      <c r="G166" s="10">
        <v>36648</v>
      </c>
      <c r="H166">
        <v>18</v>
      </c>
      <c r="I166" t="s">
        <v>2035</v>
      </c>
      <c r="J166" t="s">
        <v>1824</v>
      </c>
      <c r="K166">
        <v>5</v>
      </c>
      <c r="L166">
        <v>7</v>
      </c>
      <c r="M166">
        <v>5</v>
      </c>
      <c r="N166">
        <v>3</v>
      </c>
      <c r="O166">
        <v>7</v>
      </c>
      <c r="P166">
        <v>8</v>
      </c>
      <c r="Q166">
        <v>7</v>
      </c>
      <c r="R166">
        <v>9</v>
      </c>
      <c r="S166" t="s">
        <v>2027</v>
      </c>
      <c r="T166" t="s">
        <v>2027</v>
      </c>
      <c r="U166" t="s">
        <v>2027</v>
      </c>
      <c r="V166" t="s">
        <v>2027</v>
      </c>
      <c r="W166" t="s">
        <v>2027</v>
      </c>
      <c r="X166">
        <v>3</v>
      </c>
      <c r="Y166" t="s">
        <v>2027</v>
      </c>
      <c r="Z166">
        <v>3</v>
      </c>
      <c r="AA166">
        <v>1</v>
      </c>
      <c r="AB166">
        <v>1</v>
      </c>
      <c r="AC166">
        <v>8</v>
      </c>
    </row>
    <row r="167" spans="1:29">
      <c r="A167" t="str">
        <f t="shared" si="2"/>
        <v>RFDan Jefferson21</v>
      </c>
      <c r="B167">
        <v>6526</v>
      </c>
      <c r="C167">
        <v>356</v>
      </c>
      <c r="D167" t="s">
        <v>1939</v>
      </c>
      <c r="E167" t="s">
        <v>1788</v>
      </c>
      <c r="F167">
        <v>0</v>
      </c>
      <c r="G167" s="10">
        <v>35507</v>
      </c>
      <c r="H167">
        <v>21</v>
      </c>
      <c r="I167" t="s">
        <v>2057</v>
      </c>
      <c r="J167" t="s">
        <v>1824</v>
      </c>
      <c r="K167">
        <v>5</v>
      </c>
      <c r="L167">
        <v>5</v>
      </c>
      <c r="M167">
        <v>5</v>
      </c>
      <c r="N167">
        <v>3</v>
      </c>
      <c r="O167">
        <v>4</v>
      </c>
      <c r="P167">
        <v>8</v>
      </c>
      <c r="Q167">
        <v>7</v>
      </c>
      <c r="R167">
        <v>9</v>
      </c>
      <c r="S167" t="s">
        <v>2027</v>
      </c>
      <c r="T167">
        <v>1</v>
      </c>
      <c r="U167" t="s">
        <v>2027</v>
      </c>
      <c r="V167" t="s">
        <v>2027</v>
      </c>
      <c r="W167" t="s">
        <v>2027</v>
      </c>
      <c r="X167">
        <v>6</v>
      </c>
      <c r="Y167" t="s">
        <v>2027</v>
      </c>
      <c r="Z167">
        <v>6</v>
      </c>
      <c r="AA167">
        <v>3</v>
      </c>
      <c r="AB167">
        <v>1</v>
      </c>
      <c r="AC167">
        <v>7</v>
      </c>
    </row>
    <row r="168" spans="1:29">
      <c r="A168" t="str">
        <f t="shared" si="2"/>
        <v>RFLuis Antonio S·nchez21</v>
      </c>
      <c r="B168">
        <v>8297</v>
      </c>
      <c r="C168">
        <v>457</v>
      </c>
      <c r="D168" t="s">
        <v>341</v>
      </c>
      <c r="E168" t="s">
        <v>114</v>
      </c>
      <c r="F168">
        <v>0</v>
      </c>
      <c r="G168" s="10">
        <v>35548</v>
      </c>
      <c r="H168">
        <v>21</v>
      </c>
      <c r="I168" t="s">
        <v>2057</v>
      </c>
      <c r="J168" t="s">
        <v>1824</v>
      </c>
      <c r="K168">
        <v>5</v>
      </c>
      <c r="L168">
        <v>4</v>
      </c>
      <c r="M168">
        <v>4</v>
      </c>
      <c r="N168">
        <v>7</v>
      </c>
      <c r="O168">
        <v>7</v>
      </c>
      <c r="P168">
        <v>6</v>
      </c>
      <c r="Q168">
        <v>9</v>
      </c>
      <c r="R168">
        <v>7</v>
      </c>
      <c r="S168" t="s">
        <v>2027</v>
      </c>
      <c r="T168" t="s">
        <v>2027</v>
      </c>
      <c r="U168" t="s">
        <v>2027</v>
      </c>
      <c r="V168" t="s">
        <v>2027</v>
      </c>
      <c r="W168" t="s">
        <v>2027</v>
      </c>
      <c r="X168">
        <v>5</v>
      </c>
      <c r="Y168">
        <v>2</v>
      </c>
      <c r="Z168">
        <v>4</v>
      </c>
      <c r="AA168">
        <v>1</v>
      </c>
      <c r="AB168">
        <v>1</v>
      </c>
      <c r="AC168">
        <v>8</v>
      </c>
    </row>
    <row r="169" spans="1:29">
      <c r="A169" t="str">
        <f t="shared" si="2"/>
        <v>RFRonald Wheeler21</v>
      </c>
      <c r="B169">
        <v>9060</v>
      </c>
      <c r="C169">
        <v>343</v>
      </c>
      <c r="D169" t="s">
        <v>1975</v>
      </c>
      <c r="E169" t="s">
        <v>1767</v>
      </c>
      <c r="F169">
        <v>0</v>
      </c>
      <c r="G169" s="10">
        <v>35409</v>
      </c>
      <c r="H169">
        <v>21</v>
      </c>
      <c r="I169" t="s">
        <v>2057</v>
      </c>
      <c r="J169" t="s">
        <v>1824</v>
      </c>
      <c r="K169">
        <v>5</v>
      </c>
      <c r="L169">
        <v>6</v>
      </c>
      <c r="M169">
        <v>4</v>
      </c>
      <c r="N169">
        <v>7</v>
      </c>
      <c r="O169">
        <v>6</v>
      </c>
      <c r="P169">
        <v>5</v>
      </c>
      <c r="Q169">
        <v>1</v>
      </c>
      <c r="R169">
        <v>3</v>
      </c>
      <c r="S169" t="s">
        <v>2027</v>
      </c>
      <c r="T169" t="s">
        <v>2027</v>
      </c>
      <c r="U169" t="s">
        <v>2027</v>
      </c>
      <c r="V169" t="s">
        <v>2027</v>
      </c>
      <c r="W169" t="s">
        <v>2027</v>
      </c>
      <c r="X169">
        <v>2</v>
      </c>
      <c r="Y169" t="s">
        <v>2027</v>
      </c>
      <c r="Z169">
        <v>3</v>
      </c>
      <c r="AA169">
        <v>1</v>
      </c>
      <c r="AB169">
        <v>1</v>
      </c>
      <c r="AC169">
        <v>6</v>
      </c>
    </row>
    <row r="170" spans="1:29">
      <c r="A170" t="str">
        <f t="shared" si="2"/>
        <v>CFLuis Manuel RamÌrez21</v>
      </c>
      <c r="B170">
        <v>2954</v>
      </c>
      <c r="C170">
        <v>330</v>
      </c>
      <c r="D170" t="s">
        <v>344</v>
      </c>
      <c r="E170" t="s">
        <v>136</v>
      </c>
      <c r="F170">
        <v>0</v>
      </c>
      <c r="G170" s="10">
        <v>35439</v>
      </c>
      <c r="H170">
        <v>21</v>
      </c>
      <c r="I170" t="s">
        <v>2079</v>
      </c>
      <c r="J170" t="s">
        <v>1824</v>
      </c>
      <c r="K170">
        <v>5</v>
      </c>
      <c r="L170">
        <v>8</v>
      </c>
      <c r="M170">
        <v>4</v>
      </c>
      <c r="N170">
        <v>5</v>
      </c>
      <c r="O170">
        <v>4</v>
      </c>
      <c r="P170">
        <v>6</v>
      </c>
      <c r="Q170">
        <v>9</v>
      </c>
      <c r="R170">
        <v>9</v>
      </c>
      <c r="S170" t="s">
        <v>2027</v>
      </c>
      <c r="T170" t="s">
        <v>2027</v>
      </c>
      <c r="U170" t="s">
        <v>2027</v>
      </c>
      <c r="V170" t="s">
        <v>2027</v>
      </c>
      <c r="W170" t="s">
        <v>2027</v>
      </c>
      <c r="X170">
        <v>4</v>
      </c>
      <c r="Y170">
        <v>1</v>
      </c>
      <c r="Z170">
        <v>7</v>
      </c>
      <c r="AA170">
        <v>1</v>
      </c>
      <c r="AB170">
        <v>1</v>
      </c>
      <c r="AC170">
        <v>7</v>
      </c>
    </row>
    <row r="171" spans="1:29">
      <c r="A171" t="str">
        <f t="shared" si="2"/>
        <v>1BLuis Ortega18</v>
      </c>
      <c r="B171">
        <v>1618</v>
      </c>
      <c r="C171">
        <v>496</v>
      </c>
      <c r="D171" t="s">
        <v>1826</v>
      </c>
      <c r="E171" t="s">
        <v>1948</v>
      </c>
      <c r="F171">
        <v>0</v>
      </c>
      <c r="G171" s="10">
        <v>36432</v>
      </c>
      <c r="H171">
        <v>18</v>
      </c>
      <c r="I171" t="s">
        <v>2092</v>
      </c>
      <c r="J171" t="s">
        <v>1824</v>
      </c>
      <c r="K171">
        <v>5</v>
      </c>
      <c r="L171">
        <v>3</v>
      </c>
      <c r="M171">
        <v>4</v>
      </c>
      <c r="N171">
        <v>4</v>
      </c>
      <c r="O171">
        <v>4</v>
      </c>
      <c r="P171">
        <v>2</v>
      </c>
      <c r="Q171">
        <v>2</v>
      </c>
      <c r="R171">
        <v>2</v>
      </c>
      <c r="S171" t="s">
        <v>2027</v>
      </c>
      <c r="T171">
        <v>2</v>
      </c>
      <c r="U171" t="s">
        <v>2027</v>
      </c>
      <c r="V171" t="s">
        <v>2027</v>
      </c>
      <c r="W171" t="s">
        <v>2027</v>
      </c>
      <c r="X171" t="s">
        <v>2027</v>
      </c>
      <c r="Y171" t="s">
        <v>2027</v>
      </c>
      <c r="Z171" t="s">
        <v>2027</v>
      </c>
      <c r="AA171">
        <v>1</v>
      </c>
      <c r="AB171">
        <v>3</v>
      </c>
      <c r="AC171">
        <v>3</v>
      </c>
    </row>
    <row r="172" spans="1:29">
      <c r="A172" t="str">
        <f t="shared" si="2"/>
        <v>2BChris Thomas21</v>
      </c>
      <c r="B172">
        <v>8151</v>
      </c>
      <c r="C172">
        <v>397</v>
      </c>
      <c r="D172" t="s">
        <v>1942</v>
      </c>
      <c r="E172" t="s">
        <v>1879</v>
      </c>
      <c r="F172">
        <v>0</v>
      </c>
      <c r="G172" s="10">
        <v>35250</v>
      </c>
      <c r="H172">
        <v>21</v>
      </c>
      <c r="I172" t="s">
        <v>2069</v>
      </c>
      <c r="J172" t="s">
        <v>1824</v>
      </c>
      <c r="K172">
        <v>5</v>
      </c>
      <c r="L172">
        <v>6</v>
      </c>
      <c r="M172">
        <v>4</v>
      </c>
      <c r="N172">
        <v>4</v>
      </c>
      <c r="O172">
        <v>5</v>
      </c>
      <c r="P172">
        <v>5</v>
      </c>
      <c r="Q172">
        <v>9</v>
      </c>
      <c r="R172">
        <v>8</v>
      </c>
      <c r="S172" t="s">
        <v>2027</v>
      </c>
      <c r="T172" t="s">
        <v>2027</v>
      </c>
      <c r="U172">
        <v>6</v>
      </c>
      <c r="V172" t="s">
        <v>2027</v>
      </c>
      <c r="W172">
        <v>2</v>
      </c>
      <c r="X172" t="s">
        <v>2027</v>
      </c>
      <c r="Y172" t="s">
        <v>2027</v>
      </c>
      <c r="Z172" t="s">
        <v>2027</v>
      </c>
      <c r="AA172">
        <v>1</v>
      </c>
      <c r="AB172">
        <v>6</v>
      </c>
      <c r="AC172">
        <v>4</v>
      </c>
    </row>
    <row r="173" spans="1:29">
      <c r="A173" t="str">
        <f t="shared" si="2"/>
        <v>2BJavier Torres18</v>
      </c>
      <c r="B173">
        <v>1162</v>
      </c>
      <c r="C173">
        <v>54</v>
      </c>
      <c r="D173" t="s">
        <v>1897</v>
      </c>
      <c r="E173" t="s">
        <v>1795</v>
      </c>
      <c r="F173">
        <v>0</v>
      </c>
      <c r="G173" s="10">
        <v>36625</v>
      </c>
      <c r="H173">
        <v>18</v>
      </c>
      <c r="I173" t="s">
        <v>2069</v>
      </c>
      <c r="J173" t="s">
        <v>1824</v>
      </c>
      <c r="K173">
        <v>5</v>
      </c>
      <c r="L173">
        <v>6</v>
      </c>
      <c r="M173">
        <v>4</v>
      </c>
      <c r="N173">
        <v>4</v>
      </c>
      <c r="O173">
        <v>6</v>
      </c>
      <c r="P173">
        <v>7</v>
      </c>
      <c r="Q173">
        <v>6</v>
      </c>
      <c r="R173">
        <v>7</v>
      </c>
      <c r="S173" t="s">
        <v>2027</v>
      </c>
      <c r="T173">
        <v>1</v>
      </c>
      <c r="U173">
        <v>2</v>
      </c>
      <c r="V173">
        <v>1</v>
      </c>
      <c r="W173">
        <v>1</v>
      </c>
      <c r="X173" t="s">
        <v>2027</v>
      </c>
      <c r="Y173" t="s">
        <v>2027</v>
      </c>
      <c r="Z173" t="s">
        <v>2027</v>
      </c>
      <c r="AA173">
        <v>1</v>
      </c>
      <c r="AB173">
        <v>4</v>
      </c>
      <c r="AC173">
        <v>3</v>
      </c>
    </row>
    <row r="174" spans="1:29">
      <c r="A174" t="str">
        <f t="shared" si="2"/>
        <v>1BConnor Becker21</v>
      </c>
      <c r="B174">
        <v>2559</v>
      </c>
      <c r="C174">
        <v>446</v>
      </c>
      <c r="D174" t="s">
        <v>325</v>
      </c>
      <c r="E174" t="s">
        <v>1969</v>
      </c>
      <c r="F174">
        <v>0</v>
      </c>
      <c r="G174" s="10">
        <v>35354</v>
      </c>
      <c r="H174">
        <v>21</v>
      </c>
      <c r="I174" t="s">
        <v>2092</v>
      </c>
      <c r="J174" t="s">
        <v>1824</v>
      </c>
      <c r="K174">
        <v>5</v>
      </c>
      <c r="L174">
        <v>4</v>
      </c>
      <c r="M174">
        <v>4</v>
      </c>
      <c r="N174">
        <v>3</v>
      </c>
      <c r="O174">
        <v>5</v>
      </c>
      <c r="P174">
        <v>4</v>
      </c>
      <c r="Q174">
        <v>3</v>
      </c>
      <c r="R174">
        <v>3</v>
      </c>
      <c r="S174" t="s">
        <v>2027</v>
      </c>
      <c r="T174">
        <v>3</v>
      </c>
      <c r="U174" t="s">
        <v>2027</v>
      </c>
      <c r="V174" t="s">
        <v>2027</v>
      </c>
      <c r="W174" t="s">
        <v>2027</v>
      </c>
      <c r="X174" t="s">
        <v>2027</v>
      </c>
      <c r="Y174" t="s">
        <v>2027</v>
      </c>
      <c r="Z174" t="s">
        <v>2027</v>
      </c>
      <c r="AA174">
        <v>3</v>
      </c>
      <c r="AB174">
        <v>3</v>
      </c>
      <c r="AC174">
        <v>3</v>
      </c>
    </row>
    <row r="175" spans="1:29">
      <c r="A175" t="str">
        <f t="shared" si="2"/>
        <v>RFStephen Jordan21</v>
      </c>
      <c r="B175">
        <v>4265</v>
      </c>
      <c r="C175">
        <v>412</v>
      </c>
      <c r="D175" t="s">
        <v>1825</v>
      </c>
      <c r="E175" t="s">
        <v>1785</v>
      </c>
      <c r="F175">
        <v>0</v>
      </c>
      <c r="G175" s="10">
        <v>35396</v>
      </c>
      <c r="H175">
        <v>21</v>
      </c>
      <c r="I175" t="s">
        <v>2057</v>
      </c>
      <c r="J175" t="s">
        <v>1824</v>
      </c>
      <c r="K175">
        <v>5</v>
      </c>
      <c r="L175">
        <v>6</v>
      </c>
      <c r="M175">
        <v>4</v>
      </c>
      <c r="N175">
        <v>3</v>
      </c>
      <c r="O175">
        <v>4</v>
      </c>
      <c r="P175">
        <v>6</v>
      </c>
      <c r="Q175">
        <v>4</v>
      </c>
      <c r="R175">
        <v>3</v>
      </c>
      <c r="S175" t="s">
        <v>2027</v>
      </c>
      <c r="T175">
        <v>2</v>
      </c>
      <c r="U175" t="s">
        <v>2027</v>
      </c>
      <c r="V175" t="s">
        <v>2027</v>
      </c>
      <c r="W175" t="s">
        <v>2027</v>
      </c>
      <c r="X175">
        <v>7</v>
      </c>
      <c r="Y175">
        <v>2</v>
      </c>
      <c r="Z175">
        <v>5</v>
      </c>
      <c r="AA175">
        <v>3</v>
      </c>
      <c r="AB175">
        <v>5</v>
      </c>
      <c r="AC175">
        <v>5</v>
      </c>
    </row>
    <row r="176" spans="1:29">
      <c r="A176" t="str">
        <f t="shared" si="2"/>
        <v>C-Cristo Hern·ndez21</v>
      </c>
      <c r="B176">
        <v>4911</v>
      </c>
      <c r="C176">
        <v>469</v>
      </c>
      <c r="D176" t="s">
        <v>1733</v>
      </c>
      <c r="E176" t="s">
        <v>122</v>
      </c>
      <c r="F176">
        <v>0</v>
      </c>
      <c r="G176" s="10">
        <v>35373</v>
      </c>
      <c r="H176">
        <v>21</v>
      </c>
      <c r="I176" t="s">
        <v>2091</v>
      </c>
      <c r="J176" t="s">
        <v>1824</v>
      </c>
      <c r="K176">
        <v>5</v>
      </c>
      <c r="L176">
        <v>5</v>
      </c>
      <c r="M176">
        <v>4</v>
      </c>
      <c r="N176">
        <v>2</v>
      </c>
      <c r="O176">
        <v>5</v>
      </c>
      <c r="P176">
        <v>2</v>
      </c>
      <c r="Q176">
        <v>3</v>
      </c>
      <c r="R176">
        <v>1</v>
      </c>
      <c r="S176">
        <v>3</v>
      </c>
      <c r="T176">
        <v>5</v>
      </c>
      <c r="U176" t="s">
        <v>2027</v>
      </c>
      <c r="V176" t="s">
        <v>2027</v>
      </c>
      <c r="W176" t="s">
        <v>2027</v>
      </c>
      <c r="X176" t="s">
        <v>2027</v>
      </c>
      <c r="Y176" t="s">
        <v>2027</v>
      </c>
      <c r="Z176" t="s">
        <v>2027</v>
      </c>
      <c r="AA176">
        <v>4</v>
      </c>
      <c r="AB176">
        <v>5</v>
      </c>
      <c r="AC176">
        <v>4</v>
      </c>
    </row>
    <row r="177" spans="1:29">
      <c r="A177" t="str">
        <f t="shared" si="2"/>
        <v>SSGeorge Battle21</v>
      </c>
      <c r="B177">
        <v>5429</v>
      </c>
      <c r="C177">
        <v>39</v>
      </c>
      <c r="D177" t="s">
        <v>1772</v>
      </c>
      <c r="E177" t="s">
        <v>484</v>
      </c>
      <c r="F177">
        <v>0</v>
      </c>
      <c r="G177" s="10">
        <v>35394</v>
      </c>
      <c r="H177">
        <v>21</v>
      </c>
      <c r="I177" t="s">
        <v>2074</v>
      </c>
      <c r="J177" t="s">
        <v>1824</v>
      </c>
      <c r="K177">
        <v>5</v>
      </c>
      <c r="L177">
        <v>6</v>
      </c>
      <c r="M177">
        <v>3</v>
      </c>
      <c r="N177">
        <v>6</v>
      </c>
      <c r="O177">
        <v>8</v>
      </c>
      <c r="P177">
        <v>4</v>
      </c>
      <c r="Q177">
        <v>3</v>
      </c>
      <c r="R177">
        <v>4</v>
      </c>
      <c r="S177" t="s">
        <v>2027</v>
      </c>
      <c r="T177" t="s">
        <v>2027</v>
      </c>
      <c r="U177">
        <v>3</v>
      </c>
      <c r="V177">
        <v>5</v>
      </c>
      <c r="W177">
        <v>9</v>
      </c>
      <c r="X177" t="s">
        <v>2027</v>
      </c>
      <c r="Y177" t="s">
        <v>2027</v>
      </c>
      <c r="Z177" t="s">
        <v>2027</v>
      </c>
      <c r="AA177">
        <v>1</v>
      </c>
      <c r="AB177">
        <v>6</v>
      </c>
      <c r="AC177">
        <v>4</v>
      </c>
    </row>
    <row r="178" spans="1:29">
      <c r="A178" t="str">
        <f t="shared" si="2"/>
        <v>CFFernando Gonz·les21</v>
      </c>
      <c r="B178">
        <v>2942</v>
      </c>
      <c r="C178">
        <v>345</v>
      </c>
      <c r="D178" t="s">
        <v>1691</v>
      </c>
      <c r="E178" t="s">
        <v>133</v>
      </c>
      <c r="F178">
        <v>0</v>
      </c>
      <c r="G178" s="10">
        <v>35487</v>
      </c>
      <c r="H178">
        <v>21</v>
      </c>
      <c r="I178" t="s">
        <v>2079</v>
      </c>
      <c r="J178" t="s">
        <v>1824</v>
      </c>
      <c r="K178">
        <v>5</v>
      </c>
      <c r="L178">
        <v>7</v>
      </c>
      <c r="M178">
        <v>3</v>
      </c>
      <c r="N178">
        <v>6</v>
      </c>
      <c r="O178">
        <v>4</v>
      </c>
      <c r="P178">
        <v>5</v>
      </c>
      <c r="Q178">
        <v>9</v>
      </c>
      <c r="R178">
        <v>10</v>
      </c>
      <c r="S178" t="s">
        <v>2027</v>
      </c>
      <c r="T178" t="s">
        <v>2027</v>
      </c>
      <c r="U178" t="s">
        <v>2027</v>
      </c>
      <c r="V178" t="s">
        <v>2027</v>
      </c>
      <c r="W178" t="s">
        <v>2027</v>
      </c>
      <c r="X178">
        <v>4</v>
      </c>
      <c r="Y178">
        <v>6</v>
      </c>
      <c r="Z178">
        <v>7</v>
      </c>
      <c r="AA178">
        <v>1</v>
      </c>
      <c r="AB178">
        <v>1</v>
      </c>
      <c r="AC178">
        <v>6</v>
      </c>
    </row>
    <row r="179" spans="1:29">
      <c r="A179" t="str">
        <f t="shared" si="2"/>
        <v>C-Colton Lawrence21</v>
      </c>
      <c r="B179">
        <v>4308</v>
      </c>
      <c r="C179">
        <v>411</v>
      </c>
      <c r="D179" t="s">
        <v>330</v>
      </c>
      <c r="E179" t="s">
        <v>1748</v>
      </c>
      <c r="F179">
        <v>0</v>
      </c>
      <c r="G179" s="10">
        <v>35317</v>
      </c>
      <c r="H179">
        <v>21</v>
      </c>
      <c r="I179" t="s">
        <v>2091</v>
      </c>
      <c r="J179" t="s">
        <v>1824</v>
      </c>
      <c r="K179">
        <v>5</v>
      </c>
      <c r="L179">
        <v>6</v>
      </c>
      <c r="M179">
        <v>3</v>
      </c>
      <c r="N179">
        <v>6</v>
      </c>
      <c r="O179">
        <v>4</v>
      </c>
      <c r="P179">
        <v>1</v>
      </c>
      <c r="Q179">
        <v>3</v>
      </c>
      <c r="R179">
        <v>5</v>
      </c>
      <c r="S179">
        <v>3</v>
      </c>
      <c r="T179" t="s">
        <v>2027</v>
      </c>
      <c r="U179" t="s">
        <v>2027</v>
      </c>
      <c r="V179" t="s">
        <v>2027</v>
      </c>
      <c r="W179" t="s">
        <v>2027</v>
      </c>
      <c r="X179" t="s">
        <v>2027</v>
      </c>
      <c r="Y179" t="s">
        <v>2027</v>
      </c>
      <c r="Z179" t="s">
        <v>2027</v>
      </c>
      <c r="AA179">
        <v>3</v>
      </c>
      <c r="AB179">
        <v>3</v>
      </c>
      <c r="AC179">
        <v>2</v>
      </c>
    </row>
    <row r="180" spans="1:29">
      <c r="A180" t="str">
        <f t="shared" si="2"/>
        <v>1BEd Nielsen21</v>
      </c>
      <c r="B180">
        <v>5239</v>
      </c>
      <c r="C180">
        <v>351</v>
      </c>
      <c r="D180" t="s">
        <v>1873</v>
      </c>
      <c r="E180" t="s">
        <v>1766</v>
      </c>
      <c r="F180">
        <v>0</v>
      </c>
      <c r="G180" s="10">
        <v>35303</v>
      </c>
      <c r="H180">
        <v>21</v>
      </c>
      <c r="I180" t="s">
        <v>2092</v>
      </c>
      <c r="J180" t="s">
        <v>1824</v>
      </c>
      <c r="K180">
        <v>5</v>
      </c>
      <c r="L180">
        <v>8</v>
      </c>
      <c r="M180">
        <v>3</v>
      </c>
      <c r="N180">
        <v>6</v>
      </c>
      <c r="O180">
        <v>4</v>
      </c>
      <c r="P180">
        <v>1</v>
      </c>
      <c r="Q180">
        <v>2</v>
      </c>
      <c r="R180">
        <v>6</v>
      </c>
      <c r="S180" t="s">
        <v>2027</v>
      </c>
      <c r="T180">
        <v>7</v>
      </c>
      <c r="U180" t="s">
        <v>2027</v>
      </c>
      <c r="V180" t="s">
        <v>2027</v>
      </c>
      <c r="W180" t="s">
        <v>2027</v>
      </c>
      <c r="X180" t="s">
        <v>2027</v>
      </c>
      <c r="Y180" t="s">
        <v>2027</v>
      </c>
      <c r="Z180" t="s">
        <v>2027</v>
      </c>
      <c r="AA180">
        <v>1</v>
      </c>
      <c r="AB180">
        <v>3</v>
      </c>
      <c r="AC180">
        <v>1</v>
      </c>
    </row>
    <row r="181" spans="1:29">
      <c r="A181" t="str">
        <f t="shared" si="2"/>
        <v>C-JoaquÌn PÈrez20</v>
      </c>
      <c r="B181">
        <v>6409</v>
      </c>
      <c r="C181">
        <v>459</v>
      </c>
      <c r="D181" t="s">
        <v>137</v>
      </c>
      <c r="E181" t="s">
        <v>125</v>
      </c>
      <c r="F181">
        <v>0</v>
      </c>
      <c r="G181" s="10">
        <v>35588</v>
      </c>
      <c r="H181">
        <v>20</v>
      </c>
      <c r="I181" t="s">
        <v>2091</v>
      </c>
      <c r="J181" t="s">
        <v>1824</v>
      </c>
      <c r="K181">
        <v>5</v>
      </c>
      <c r="L181">
        <v>8</v>
      </c>
      <c r="M181">
        <v>3</v>
      </c>
      <c r="N181">
        <v>6</v>
      </c>
      <c r="O181">
        <v>7</v>
      </c>
      <c r="P181">
        <v>3</v>
      </c>
      <c r="Q181">
        <v>1</v>
      </c>
      <c r="R181">
        <v>6</v>
      </c>
      <c r="S181">
        <v>6</v>
      </c>
      <c r="T181" t="s">
        <v>2027</v>
      </c>
      <c r="U181" t="s">
        <v>2027</v>
      </c>
      <c r="V181" t="s">
        <v>2027</v>
      </c>
      <c r="W181" t="s">
        <v>2027</v>
      </c>
      <c r="X181" t="s">
        <v>2027</v>
      </c>
      <c r="Y181" t="s">
        <v>2027</v>
      </c>
      <c r="Z181" t="s">
        <v>2027</v>
      </c>
      <c r="AA181">
        <v>8</v>
      </c>
      <c r="AB181">
        <v>5</v>
      </c>
      <c r="AC181">
        <v>7</v>
      </c>
    </row>
    <row r="182" spans="1:29">
      <c r="A182" t="str">
        <f t="shared" si="2"/>
        <v>1BLeonardo RÌos21</v>
      </c>
      <c r="B182">
        <v>2754</v>
      </c>
      <c r="C182">
        <v>458</v>
      </c>
      <c r="D182" t="s">
        <v>366</v>
      </c>
      <c r="E182" t="s">
        <v>138</v>
      </c>
      <c r="F182">
        <v>0</v>
      </c>
      <c r="G182" s="10">
        <v>35488</v>
      </c>
      <c r="H182">
        <v>21</v>
      </c>
      <c r="I182" t="s">
        <v>2092</v>
      </c>
      <c r="J182" t="s">
        <v>1824</v>
      </c>
      <c r="K182">
        <v>5</v>
      </c>
      <c r="L182">
        <v>3</v>
      </c>
      <c r="M182">
        <v>3</v>
      </c>
      <c r="N182">
        <v>6</v>
      </c>
      <c r="O182">
        <v>8</v>
      </c>
      <c r="P182">
        <v>6</v>
      </c>
      <c r="Q182">
        <v>6</v>
      </c>
      <c r="R182">
        <v>5</v>
      </c>
      <c r="S182" t="s">
        <v>2027</v>
      </c>
      <c r="T182">
        <v>3</v>
      </c>
      <c r="U182" t="s">
        <v>2027</v>
      </c>
      <c r="V182">
        <v>4</v>
      </c>
      <c r="W182" t="s">
        <v>2027</v>
      </c>
      <c r="X182">
        <v>5</v>
      </c>
      <c r="Y182">
        <v>2</v>
      </c>
      <c r="Z182">
        <v>2</v>
      </c>
      <c r="AA182">
        <v>1</v>
      </c>
      <c r="AB182">
        <v>6</v>
      </c>
      <c r="AC182">
        <v>10</v>
      </c>
    </row>
    <row r="183" spans="1:29">
      <c r="A183" t="str">
        <f t="shared" si="2"/>
        <v>1BSym„o Alho18</v>
      </c>
      <c r="B183">
        <v>13838</v>
      </c>
      <c r="C183">
        <v>470</v>
      </c>
      <c r="D183" t="s">
        <v>139</v>
      </c>
      <c r="E183" t="s">
        <v>311</v>
      </c>
      <c r="F183">
        <v>0</v>
      </c>
      <c r="G183" s="10">
        <v>36577</v>
      </c>
      <c r="H183">
        <v>18</v>
      </c>
      <c r="I183" t="s">
        <v>2092</v>
      </c>
      <c r="J183" t="s">
        <v>1824</v>
      </c>
      <c r="K183">
        <v>5</v>
      </c>
      <c r="L183">
        <v>5</v>
      </c>
      <c r="M183">
        <v>3</v>
      </c>
      <c r="N183">
        <v>5</v>
      </c>
      <c r="O183">
        <v>8</v>
      </c>
      <c r="P183">
        <v>4</v>
      </c>
      <c r="Q183">
        <v>7</v>
      </c>
      <c r="R183">
        <v>5</v>
      </c>
      <c r="S183" t="s">
        <v>2027</v>
      </c>
      <c r="T183">
        <v>1</v>
      </c>
      <c r="U183" t="s">
        <v>2027</v>
      </c>
      <c r="V183" t="s">
        <v>2027</v>
      </c>
      <c r="W183" t="s">
        <v>2027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9</v>
      </c>
    </row>
    <row r="184" spans="1:29">
      <c r="A184" t="str">
        <f t="shared" si="2"/>
        <v>C-Frank Pitts21</v>
      </c>
      <c r="B184">
        <v>2951</v>
      </c>
      <c r="C184">
        <v>37</v>
      </c>
      <c r="D184" t="s">
        <v>1732</v>
      </c>
      <c r="E184" t="s">
        <v>492</v>
      </c>
      <c r="F184">
        <v>0</v>
      </c>
      <c r="G184" s="10">
        <v>35306</v>
      </c>
      <c r="H184">
        <v>21</v>
      </c>
      <c r="I184" t="s">
        <v>2091</v>
      </c>
      <c r="J184" t="s">
        <v>1824</v>
      </c>
      <c r="K184">
        <v>5</v>
      </c>
      <c r="L184">
        <v>9</v>
      </c>
      <c r="M184">
        <v>3</v>
      </c>
      <c r="N184">
        <v>5</v>
      </c>
      <c r="O184">
        <v>5</v>
      </c>
      <c r="P184">
        <v>1</v>
      </c>
      <c r="Q184">
        <v>1</v>
      </c>
      <c r="R184">
        <v>5</v>
      </c>
      <c r="S184">
        <v>4</v>
      </c>
      <c r="T184">
        <v>2</v>
      </c>
      <c r="U184" t="s">
        <v>2027</v>
      </c>
      <c r="V184" t="s">
        <v>2027</v>
      </c>
      <c r="W184" t="s">
        <v>2027</v>
      </c>
      <c r="X184" t="s">
        <v>2027</v>
      </c>
      <c r="Y184" t="s">
        <v>2027</v>
      </c>
      <c r="Z184" t="s">
        <v>2027</v>
      </c>
      <c r="AA184">
        <v>6</v>
      </c>
      <c r="AB184">
        <v>3</v>
      </c>
      <c r="AC184">
        <v>3</v>
      </c>
    </row>
    <row r="185" spans="1:29">
      <c r="A185" t="str">
        <f t="shared" si="2"/>
        <v>RFMiguel Rosa21</v>
      </c>
      <c r="B185">
        <v>6217</v>
      </c>
      <c r="C185">
        <v>432</v>
      </c>
      <c r="D185" t="s">
        <v>1977</v>
      </c>
      <c r="E185" t="s">
        <v>337</v>
      </c>
      <c r="F185">
        <v>0</v>
      </c>
      <c r="G185" s="10">
        <v>35534</v>
      </c>
      <c r="H185">
        <v>21</v>
      </c>
      <c r="I185" t="s">
        <v>2057</v>
      </c>
      <c r="J185" t="s">
        <v>1824</v>
      </c>
      <c r="K185">
        <v>5</v>
      </c>
      <c r="L185">
        <v>4</v>
      </c>
      <c r="M185">
        <v>3</v>
      </c>
      <c r="N185">
        <v>5</v>
      </c>
      <c r="O185">
        <v>5</v>
      </c>
      <c r="P185">
        <v>4</v>
      </c>
      <c r="Q185">
        <v>8</v>
      </c>
      <c r="R185">
        <v>6</v>
      </c>
      <c r="S185" t="s">
        <v>2027</v>
      </c>
      <c r="T185" t="s">
        <v>2027</v>
      </c>
      <c r="U185" t="s">
        <v>2027</v>
      </c>
      <c r="V185" t="s">
        <v>2027</v>
      </c>
      <c r="W185" t="s">
        <v>2027</v>
      </c>
      <c r="X185">
        <v>4</v>
      </c>
      <c r="Y185" t="s">
        <v>2027</v>
      </c>
      <c r="Z185">
        <v>3</v>
      </c>
      <c r="AA185">
        <v>1</v>
      </c>
      <c r="AB185">
        <v>2</v>
      </c>
      <c r="AC185">
        <v>6</v>
      </c>
    </row>
    <row r="186" spans="1:29">
      <c r="A186" t="str">
        <f t="shared" si="2"/>
        <v>LFJorge Torres21</v>
      </c>
      <c r="B186">
        <v>3177</v>
      </c>
      <c r="C186">
        <v>320</v>
      </c>
      <c r="D186" t="s">
        <v>1832</v>
      </c>
      <c r="E186" t="s">
        <v>1795</v>
      </c>
      <c r="F186">
        <v>0</v>
      </c>
      <c r="G186" s="10">
        <v>35524</v>
      </c>
      <c r="H186">
        <v>21</v>
      </c>
      <c r="I186" t="s">
        <v>2035</v>
      </c>
      <c r="J186" t="s">
        <v>1824</v>
      </c>
      <c r="K186">
        <v>5</v>
      </c>
      <c r="L186">
        <v>8</v>
      </c>
      <c r="M186">
        <v>3</v>
      </c>
      <c r="N186">
        <v>5</v>
      </c>
      <c r="O186">
        <v>7</v>
      </c>
      <c r="P186">
        <v>6</v>
      </c>
      <c r="Q186">
        <v>9</v>
      </c>
      <c r="R186">
        <v>10</v>
      </c>
      <c r="S186" t="s">
        <v>2027</v>
      </c>
      <c r="T186" t="s">
        <v>2027</v>
      </c>
      <c r="U186" t="s">
        <v>2027</v>
      </c>
      <c r="V186" t="s">
        <v>2027</v>
      </c>
      <c r="W186" t="s">
        <v>2027</v>
      </c>
      <c r="X186">
        <v>6</v>
      </c>
      <c r="Y186">
        <v>5</v>
      </c>
      <c r="Z186">
        <v>7</v>
      </c>
      <c r="AA186">
        <v>1</v>
      </c>
      <c r="AB186">
        <v>2</v>
      </c>
      <c r="AC186">
        <v>8</v>
      </c>
    </row>
    <row r="187" spans="1:29">
      <c r="A187" t="str">
        <f t="shared" si="2"/>
        <v>LFArmando ValdÈs21</v>
      </c>
      <c r="B187">
        <v>6807</v>
      </c>
      <c r="C187">
        <v>395</v>
      </c>
      <c r="D187" t="s">
        <v>1945</v>
      </c>
      <c r="E187" t="s">
        <v>140</v>
      </c>
      <c r="F187">
        <v>0</v>
      </c>
      <c r="G187" s="10">
        <v>35277</v>
      </c>
      <c r="H187">
        <v>21</v>
      </c>
      <c r="I187" t="s">
        <v>2035</v>
      </c>
      <c r="J187" t="s">
        <v>1824</v>
      </c>
      <c r="K187">
        <v>5</v>
      </c>
      <c r="L187">
        <v>5</v>
      </c>
      <c r="M187">
        <v>3</v>
      </c>
      <c r="N187">
        <v>5</v>
      </c>
      <c r="O187">
        <v>6</v>
      </c>
      <c r="P187">
        <v>7</v>
      </c>
      <c r="Q187">
        <v>9</v>
      </c>
      <c r="R187">
        <v>8</v>
      </c>
      <c r="S187" t="s">
        <v>2027</v>
      </c>
      <c r="T187" t="s">
        <v>2027</v>
      </c>
      <c r="U187" t="s">
        <v>2027</v>
      </c>
      <c r="V187" t="s">
        <v>2027</v>
      </c>
      <c r="W187" t="s">
        <v>2027</v>
      </c>
      <c r="X187">
        <v>3</v>
      </c>
      <c r="Y187">
        <v>5</v>
      </c>
      <c r="Z187">
        <v>5</v>
      </c>
      <c r="AA187">
        <v>1</v>
      </c>
      <c r="AB187">
        <v>2</v>
      </c>
      <c r="AC187">
        <v>10</v>
      </c>
    </row>
    <row r="188" spans="1:29">
      <c r="A188" t="str">
        <f t="shared" si="2"/>
        <v>LFGregg Williams18</v>
      </c>
      <c r="B188">
        <v>1809</v>
      </c>
      <c r="C188">
        <v>166</v>
      </c>
      <c r="D188" t="s">
        <v>317</v>
      </c>
      <c r="E188" t="s">
        <v>1905</v>
      </c>
      <c r="F188">
        <v>0</v>
      </c>
      <c r="G188" s="10">
        <v>36322</v>
      </c>
      <c r="H188">
        <v>18</v>
      </c>
      <c r="I188" t="s">
        <v>2035</v>
      </c>
      <c r="J188" t="s">
        <v>2021</v>
      </c>
      <c r="K188">
        <v>5</v>
      </c>
      <c r="L188">
        <v>8</v>
      </c>
      <c r="M188">
        <v>3</v>
      </c>
      <c r="N188">
        <v>5</v>
      </c>
      <c r="O188">
        <v>8</v>
      </c>
      <c r="P188">
        <v>4</v>
      </c>
      <c r="Q188">
        <v>9</v>
      </c>
      <c r="R188">
        <v>10</v>
      </c>
      <c r="S188" t="s">
        <v>2027</v>
      </c>
      <c r="T188" t="s">
        <v>2027</v>
      </c>
      <c r="U188" t="s">
        <v>2027</v>
      </c>
      <c r="V188" t="s">
        <v>2027</v>
      </c>
      <c r="W188" t="s">
        <v>2027</v>
      </c>
      <c r="X188">
        <v>2</v>
      </c>
      <c r="Y188">
        <v>1</v>
      </c>
      <c r="Z188">
        <v>6</v>
      </c>
      <c r="AA188">
        <v>1</v>
      </c>
      <c r="AB188">
        <v>1</v>
      </c>
      <c r="AC188">
        <v>9</v>
      </c>
    </row>
    <row r="189" spans="1:29">
      <c r="A189" t="str">
        <f t="shared" si="2"/>
        <v>RFJoe Williams18</v>
      </c>
      <c r="B189">
        <v>1808</v>
      </c>
      <c r="C189">
        <v>206</v>
      </c>
      <c r="D189" t="s">
        <v>1937</v>
      </c>
      <c r="E189" t="s">
        <v>1905</v>
      </c>
      <c r="F189">
        <v>0</v>
      </c>
      <c r="G189" s="10">
        <v>36395</v>
      </c>
      <c r="H189">
        <v>18</v>
      </c>
      <c r="I189" t="s">
        <v>2057</v>
      </c>
      <c r="J189" t="s">
        <v>1824</v>
      </c>
      <c r="K189">
        <v>5</v>
      </c>
      <c r="L189">
        <v>8</v>
      </c>
      <c r="M189">
        <v>3</v>
      </c>
      <c r="N189">
        <v>5</v>
      </c>
      <c r="O189">
        <v>8</v>
      </c>
      <c r="P189">
        <v>5</v>
      </c>
      <c r="Q189">
        <v>10</v>
      </c>
      <c r="R189">
        <v>10</v>
      </c>
      <c r="S189" t="s">
        <v>2027</v>
      </c>
      <c r="T189">
        <v>1</v>
      </c>
      <c r="U189" t="s">
        <v>2027</v>
      </c>
      <c r="V189" t="s">
        <v>2027</v>
      </c>
      <c r="W189" t="s">
        <v>2027</v>
      </c>
      <c r="X189">
        <v>1</v>
      </c>
      <c r="Y189">
        <v>1</v>
      </c>
      <c r="Z189">
        <v>5</v>
      </c>
      <c r="AA189">
        <v>1</v>
      </c>
      <c r="AB189">
        <v>1</v>
      </c>
      <c r="AC189">
        <v>9</v>
      </c>
    </row>
    <row r="190" spans="1:29">
      <c r="A190" t="str">
        <f t="shared" si="2"/>
        <v>3BJim Fitter21</v>
      </c>
      <c r="B190">
        <v>3336</v>
      </c>
      <c r="C190">
        <v>475</v>
      </c>
      <c r="D190" t="s">
        <v>1777</v>
      </c>
      <c r="E190" t="s">
        <v>300</v>
      </c>
      <c r="F190">
        <v>0</v>
      </c>
      <c r="G190" s="10">
        <v>35538</v>
      </c>
      <c r="H190">
        <v>21</v>
      </c>
      <c r="I190" t="s">
        <v>2061</v>
      </c>
      <c r="J190" t="s">
        <v>1824</v>
      </c>
      <c r="K190">
        <v>5</v>
      </c>
      <c r="L190">
        <v>4</v>
      </c>
      <c r="M190">
        <v>3</v>
      </c>
      <c r="N190">
        <v>4</v>
      </c>
      <c r="O190">
        <v>3</v>
      </c>
      <c r="P190">
        <v>4</v>
      </c>
      <c r="Q190">
        <v>1</v>
      </c>
      <c r="R190">
        <v>2</v>
      </c>
      <c r="S190" t="s">
        <v>2027</v>
      </c>
      <c r="T190" t="s">
        <v>2027</v>
      </c>
      <c r="U190">
        <v>1</v>
      </c>
      <c r="V190">
        <v>7</v>
      </c>
      <c r="W190">
        <v>1</v>
      </c>
      <c r="X190" t="s">
        <v>2027</v>
      </c>
      <c r="Y190" t="s">
        <v>2027</v>
      </c>
      <c r="Z190" t="s">
        <v>2027</v>
      </c>
      <c r="AA190">
        <v>1</v>
      </c>
      <c r="AB190">
        <v>8</v>
      </c>
      <c r="AC190">
        <v>2</v>
      </c>
    </row>
    <row r="191" spans="1:29">
      <c r="A191" t="str">
        <f t="shared" si="2"/>
        <v>RFMiguel Baraja21</v>
      </c>
      <c r="B191">
        <v>5602</v>
      </c>
      <c r="C191">
        <v>430</v>
      </c>
      <c r="D191" t="s">
        <v>1977</v>
      </c>
      <c r="E191" t="s">
        <v>529</v>
      </c>
      <c r="F191">
        <v>0</v>
      </c>
      <c r="G191" s="10">
        <v>35427</v>
      </c>
      <c r="H191">
        <v>21</v>
      </c>
      <c r="I191" t="s">
        <v>2057</v>
      </c>
      <c r="J191" t="s">
        <v>1824</v>
      </c>
      <c r="K191">
        <v>5</v>
      </c>
      <c r="L191">
        <v>6</v>
      </c>
      <c r="M191">
        <v>3</v>
      </c>
      <c r="N191">
        <v>2</v>
      </c>
      <c r="O191">
        <v>3</v>
      </c>
      <c r="P191">
        <v>8</v>
      </c>
      <c r="Q191">
        <v>9</v>
      </c>
      <c r="R191">
        <v>9</v>
      </c>
      <c r="S191" t="s">
        <v>2027</v>
      </c>
      <c r="T191" t="s">
        <v>2027</v>
      </c>
      <c r="U191" t="s">
        <v>2027</v>
      </c>
      <c r="V191" t="s">
        <v>2027</v>
      </c>
      <c r="W191" t="s">
        <v>2027</v>
      </c>
      <c r="X191">
        <v>5</v>
      </c>
      <c r="Y191">
        <v>2</v>
      </c>
      <c r="Z191">
        <v>6</v>
      </c>
      <c r="AA191">
        <v>1</v>
      </c>
      <c r="AB191">
        <v>1</v>
      </c>
      <c r="AC191">
        <v>5</v>
      </c>
    </row>
    <row r="192" spans="1:29">
      <c r="A192" t="str">
        <f t="shared" si="2"/>
        <v>1BMark Taylor20</v>
      </c>
      <c r="B192">
        <v>9461</v>
      </c>
      <c r="C192">
        <v>493</v>
      </c>
      <c r="D192" t="s">
        <v>1843</v>
      </c>
      <c r="E192" t="s">
        <v>1923</v>
      </c>
      <c r="F192">
        <v>0</v>
      </c>
      <c r="G192" s="10">
        <v>35588</v>
      </c>
      <c r="H192">
        <v>20</v>
      </c>
      <c r="I192" t="s">
        <v>2092</v>
      </c>
      <c r="J192" t="s">
        <v>1824</v>
      </c>
      <c r="K192">
        <v>5</v>
      </c>
      <c r="L192">
        <v>4</v>
      </c>
      <c r="M192">
        <v>3</v>
      </c>
      <c r="N192">
        <v>2</v>
      </c>
      <c r="O192">
        <v>4</v>
      </c>
      <c r="P192">
        <v>5</v>
      </c>
      <c r="Q192">
        <v>1</v>
      </c>
      <c r="R192">
        <v>1</v>
      </c>
      <c r="S192" t="s">
        <v>2027</v>
      </c>
      <c r="T192">
        <v>3</v>
      </c>
      <c r="U192">
        <v>2</v>
      </c>
      <c r="V192">
        <v>3</v>
      </c>
      <c r="W192">
        <v>2</v>
      </c>
      <c r="X192" t="s">
        <v>2027</v>
      </c>
      <c r="Y192" t="s">
        <v>2027</v>
      </c>
      <c r="Z192" t="s">
        <v>2027</v>
      </c>
      <c r="AA192">
        <v>3</v>
      </c>
      <c r="AB192">
        <v>7</v>
      </c>
      <c r="AC192">
        <v>2</v>
      </c>
    </row>
    <row r="193" spans="1:29">
      <c r="A193" t="str">
        <f t="shared" si="2"/>
        <v>CFMatt Browne21</v>
      </c>
      <c r="B193">
        <v>8537</v>
      </c>
      <c r="C193">
        <v>483</v>
      </c>
      <c r="D193" t="s">
        <v>1848</v>
      </c>
      <c r="E193" t="s">
        <v>1674</v>
      </c>
      <c r="F193">
        <v>0</v>
      </c>
      <c r="G193" s="10">
        <v>35235</v>
      </c>
      <c r="H193">
        <v>21</v>
      </c>
      <c r="I193" t="s">
        <v>2079</v>
      </c>
      <c r="J193" t="s">
        <v>1824</v>
      </c>
      <c r="K193">
        <v>5</v>
      </c>
      <c r="L193">
        <v>5</v>
      </c>
      <c r="M193">
        <v>3</v>
      </c>
      <c r="N193">
        <v>1</v>
      </c>
      <c r="O193">
        <v>5</v>
      </c>
      <c r="P193">
        <v>6</v>
      </c>
      <c r="Q193">
        <v>7</v>
      </c>
      <c r="R193">
        <v>4</v>
      </c>
      <c r="S193" t="s">
        <v>2027</v>
      </c>
      <c r="T193">
        <v>3</v>
      </c>
      <c r="U193" t="s">
        <v>2027</v>
      </c>
      <c r="V193" t="s">
        <v>2027</v>
      </c>
      <c r="W193" t="s">
        <v>2027</v>
      </c>
      <c r="X193">
        <v>5</v>
      </c>
      <c r="Y193">
        <v>3</v>
      </c>
      <c r="Z193">
        <v>3</v>
      </c>
      <c r="AA193">
        <v>1</v>
      </c>
      <c r="AB193">
        <v>3</v>
      </c>
      <c r="AC193">
        <v>9</v>
      </c>
    </row>
    <row r="194" spans="1:29">
      <c r="A194" t="str">
        <f t="shared" si="2"/>
        <v>2BRoy McClendon21</v>
      </c>
      <c r="B194">
        <v>2767</v>
      </c>
      <c r="C194">
        <v>435</v>
      </c>
      <c r="D194" t="s">
        <v>488</v>
      </c>
      <c r="E194" t="s">
        <v>489</v>
      </c>
      <c r="F194">
        <v>0</v>
      </c>
      <c r="G194" s="10">
        <v>35527</v>
      </c>
      <c r="H194">
        <v>21</v>
      </c>
      <c r="I194" t="s">
        <v>2069</v>
      </c>
      <c r="J194" t="s">
        <v>1824</v>
      </c>
      <c r="K194">
        <v>5</v>
      </c>
      <c r="L194">
        <v>5</v>
      </c>
      <c r="M194">
        <v>2</v>
      </c>
      <c r="N194">
        <v>7</v>
      </c>
      <c r="O194">
        <v>8</v>
      </c>
      <c r="P194">
        <v>8</v>
      </c>
      <c r="Q194">
        <v>6</v>
      </c>
      <c r="R194">
        <v>3</v>
      </c>
      <c r="S194" t="s">
        <v>2027</v>
      </c>
      <c r="T194" t="s">
        <v>2027</v>
      </c>
      <c r="U194">
        <v>5</v>
      </c>
      <c r="V194" t="s">
        <v>2027</v>
      </c>
      <c r="W194" t="s">
        <v>2027</v>
      </c>
      <c r="X194" t="s">
        <v>2027</v>
      </c>
      <c r="Y194" t="s">
        <v>2027</v>
      </c>
      <c r="Z194" t="s">
        <v>2027</v>
      </c>
      <c r="AA194">
        <v>1</v>
      </c>
      <c r="AB194">
        <v>6</v>
      </c>
      <c r="AC194">
        <v>6</v>
      </c>
    </row>
    <row r="195" spans="1:29">
      <c r="A195" t="str">
        <f t="shared" ref="A195:A258" si="3">IF(I195="C","C-",I195)&amp;D195&amp;" "&amp;E195&amp;H195</f>
        <v>C-Dexter Armstrong21</v>
      </c>
      <c r="B195">
        <v>2772</v>
      </c>
      <c r="C195">
        <v>436</v>
      </c>
      <c r="D195" t="s">
        <v>321</v>
      </c>
      <c r="E195" t="s">
        <v>313</v>
      </c>
      <c r="F195">
        <v>0</v>
      </c>
      <c r="G195" s="10">
        <v>35394</v>
      </c>
      <c r="H195">
        <v>21</v>
      </c>
      <c r="I195" t="s">
        <v>2091</v>
      </c>
      <c r="J195" t="s">
        <v>1824</v>
      </c>
      <c r="K195">
        <v>5</v>
      </c>
      <c r="L195">
        <v>3</v>
      </c>
      <c r="M195">
        <v>2</v>
      </c>
      <c r="N195">
        <v>6</v>
      </c>
      <c r="O195">
        <v>8</v>
      </c>
      <c r="P195">
        <v>5</v>
      </c>
      <c r="Q195">
        <v>6</v>
      </c>
      <c r="R195">
        <v>3</v>
      </c>
      <c r="S195">
        <v>5</v>
      </c>
      <c r="T195" t="s">
        <v>2027</v>
      </c>
      <c r="U195" t="s">
        <v>2027</v>
      </c>
      <c r="V195" t="s">
        <v>2027</v>
      </c>
      <c r="W195" t="s">
        <v>2027</v>
      </c>
      <c r="X195" t="s">
        <v>2027</v>
      </c>
      <c r="Y195" t="s">
        <v>2027</v>
      </c>
      <c r="Z195" t="s">
        <v>2027</v>
      </c>
      <c r="AA195">
        <v>8</v>
      </c>
      <c r="AB195">
        <v>4</v>
      </c>
      <c r="AC195">
        <v>7</v>
      </c>
    </row>
    <row r="196" spans="1:29">
      <c r="A196" t="str">
        <f t="shared" si="3"/>
        <v>1BRicardo GarcÌa21</v>
      </c>
      <c r="B196">
        <v>2325</v>
      </c>
      <c r="C196">
        <v>441</v>
      </c>
      <c r="D196" t="s">
        <v>1929</v>
      </c>
      <c r="E196" t="s">
        <v>118</v>
      </c>
      <c r="F196">
        <v>0</v>
      </c>
      <c r="G196" s="10">
        <v>35399</v>
      </c>
      <c r="H196">
        <v>21</v>
      </c>
      <c r="I196" t="s">
        <v>2092</v>
      </c>
      <c r="J196" t="s">
        <v>1824</v>
      </c>
      <c r="K196">
        <v>5</v>
      </c>
      <c r="L196">
        <v>5</v>
      </c>
      <c r="M196">
        <v>2</v>
      </c>
      <c r="N196">
        <v>6</v>
      </c>
      <c r="O196">
        <v>4</v>
      </c>
      <c r="P196">
        <v>3</v>
      </c>
      <c r="Q196">
        <v>3</v>
      </c>
      <c r="R196">
        <v>2</v>
      </c>
      <c r="S196" t="s">
        <v>2027</v>
      </c>
      <c r="T196">
        <v>3</v>
      </c>
      <c r="U196" t="s">
        <v>2027</v>
      </c>
      <c r="V196" t="s">
        <v>2027</v>
      </c>
      <c r="W196" t="s">
        <v>2027</v>
      </c>
      <c r="X196" t="s">
        <v>2027</v>
      </c>
      <c r="Y196" t="s">
        <v>2027</v>
      </c>
      <c r="Z196" t="s">
        <v>2027</v>
      </c>
      <c r="AA196">
        <v>1</v>
      </c>
      <c r="AB196">
        <v>3</v>
      </c>
      <c r="AC196">
        <v>2</v>
      </c>
    </row>
    <row r="197" spans="1:29">
      <c r="A197" t="str">
        <f t="shared" si="3"/>
        <v>CFJuan Garza20</v>
      </c>
      <c r="B197">
        <v>7936</v>
      </c>
      <c r="C197">
        <v>418</v>
      </c>
      <c r="D197" t="s">
        <v>1835</v>
      </c>
      <c r="E197" t="s">
        <v>1928</v>
      </c>
      <c r="F197">
        <v>0</v>
      </c>
      <c r="G197" s="10">
        <v>35585</v>
      </c>
      <c r="H197">
        <v>20</v>
      </c>
      <c r="I197" t="s">
        <v>2079</v>
      </c>
      <c r="J197" t="s">
        <v>1824</v>
      </c>
      <c r="K197">
        <v>5</v>
      </c>
      <c r="L197">
        <v>4</v>
      </c>
      <c r="M197">
        <v>2</v>
      </c>
      <c r="N197">
        <v>6</v>
      </c>
      <c r="O197">
        <v>4</v>
      </c>
      <c r="P197">
        <v>6</v>
      </c>
      <c r="Q197">
        <v>10</v>
      </c>
      <c r="R197">
        <v>10</v>
      </c>
      <c r="S197" t="s">
        <v>2027</v>
      </c>
      <c r="T197" t="s">
        <v>2027</v>
      </c>
      <c r="U197" t="s">
        <v>2027</v>
      </c>
      <c r="V197" t="s">
        <v>2027</v>
      </c>
      <c r="W197" t="s">
        <v>2027</v>
      </c>
      <c r="X197">
        <v>3</v>
      </c>
      <c r="Y197">
        <v>4</v>
      </c>
      <c r="Z197">
        <v>5</v>
      </c>
      <c r="AA197">
        <v>1</v>
      </c>
      <c r="AB197">
        <v>2</v>
      </c>
      <c r="AC197">
        <v>5</v>
      </c>
    </row>
    <row r="198" spans="1:29">
      <c r="A198" t="str">
        <f t="shared" si="3"/>
        <v>3BAubrey Fleury21</v>
      </c>
      <c r="B198">
        <v>3322</v>
      </c>
      <c r="C198">
        <v>471</v>
      </c>
      <c r="D198" t="s">
        <v>346</v>
      </c>
      <c r="E198" t="s">
        <v>347</v>
      </c>
      <c r="F198">
        <v>0</v>
      </c>
      <c r="G198" s="10">
        <v>35278</v>
      </c>
      <c r="H198">
        <v>21</v>
      </c>
      <c r="I198" t="s">
        <v>2061</v>
      </c>
      <c r="J198" t="s">
        <v>1824</v>
      </c>
      <c r="K198">
        <v>5</v>
      </c>
      <c r="L198">
        <v>5</v>
      </c>
      <c r="M198">
        <v>2</v>
      </c>
      <c r="N198">
        <v>4</v>
      </c>
      <c r="O198">
        <v>4</v>
      </c>
      <c r="P198">
        <v>6</v>
      </c>
      <c r="Q198">
        <v>5</v>
      </c>
      <c r="R198">
        <v>4</v>
      </c>
      <c r="S198" t="s">
        <v>2027</v>
      </c>
      <c r="T198">
        <v>5</v>
      </c>
      <c r="U198" t="s">
        <v>2027</v>
      </c>
      <c r="V198">
        <v>3</v>
      </c>
      <c r="W198" t="s">
        <v>2027</v>
      </c>
      <c r="X198" t="s">
        <v>2027</v>
      </c>
      <c r="Y198" t="s">
        <v>2027</v>
      </c>
      <c r="Z198" t="s">
        <v>2027</v>
      </c>
      <c r="AA198">
        <v>1</v>
      </c>
      <c r="AB198">
        <v>4</v>
      </c>
      <c r="AC198">
        <v>2</v>
      </c>
    </row>
    <row r="199" spans="1:29">
      <c r="A199" t="str">
        <f t="shared" si="3"/>
        <v>LFManuel Zaragoza18</v>
      </c>
      <c r="B199">
        <v>405</v>
      </c>
      <c r="C199">
        <v>438</v>
      </c>
      <c r="D199" t="s">
        <v>1862</v>
      </c>
      <c r="E199" t="s">
        <v>463</v>
      </c>
      <c r="F199">
        <v>0</v>
      </c>
      <c r="G199" s="10">
        <v>36487</v>
      </c>
      <c r="H199">
        <v>18</v>
      </c>
      <c r="I199" t="s">
        <v>2035</v>
      </c>
      <c r="J199" t="s">
        <v>1824</v>
      </c>
      <c r="K199">
        <v>5</v>
      </c>
      <c r="L199">
        <v>7</v>
      </c>
      <c r="M199">
        <v>2</v>
      </c>
      <c r="N199">
        <v>4</v>
      </c>
      <c r="O199">
        <v>10</v>
      </c>
      <c r="P199">
        <v>10</v>
      </c>
      <c r="Q199">
        <v>7</v>
      </c>
      <c r="R199">
        <v>10</v>
      </c>
      <c r="S199" t="s">
        <v>2027</v>
      </c>
      <c r="T199" t="s">
        <v>2027</v>
      </c>
      <c r="U199" t="s">
        <v>2027</v>
      </c>
      <c r="V199" t="s">
        <v>2027</v>
      </c>
      <c r="W199" t="s">
        <v>2027</v>
      </c>
      <c r="X199">
        <v>2</v>
      </c>
      <c r="Y199">
        <v>1</v>
      </c>
      <c r="Z199">
        <v>4</v>
      </c>
      <c r="AA199">
        <v>2</v>
      </c>
      <c r="AB199">
        <v>1</v>
      </c>
      <c r="AC199">
        <v>10</v>
      </c>
    </row>
    <row r="200" spans="1:29">
      <c r="A200" t="str">
        <f t="shared" si="3"/>
        <v>2BJohn Avery21</v>
      </c>
      <c r="B200">
        <v>3549</v>
      </c>
      <c r="C200">
        <v>453</v>
      </c>
      <c r="D200" t="s">
        <v>1947</v>
      </c>
      <c r="E200" t="s">
        <v>1783</v>
      </c>
      <c r="F200">
        <v>0</v>
      </c>
      <c r="G200" s="10">
        <v>35271</v>
      </c>
      <c r="H200">
        <v>21</v>
      </c>
      <c r="I200" t="s">
        <v>2069</v>
      </c>
      <c r="J200" t="s">
        <v>1824</v>
      </c>
      <c r="K200">
        <v>5</v>
      </c>
      <c r="L200">
        <v>5</v>
      </c>
      <c r="M200">
        <v>2</v>
      </c>
      <c r="N200">
        <v>3</v>
      </c>
      <c r="O200">
        <v>5</v>
      </c>
      <c r="P200">
        <v>6</v>
      </c>
      <c r="Q200">
        <v>10</v>
      </c>
      <c r="R200">
        <v>10</v>
      </c>
      <c r="S200" t="s">
        <v>2027</v>
      </c>
      <c r="T200" t="s">
        <v>2027</v>
      </c>
      <c r="U200">
        <v>5</v>
      </c>
      <c r="V200" t="s">
        <v>2027</v>
      </c>
      <c r="W200" t="s">
        <v>2027</v>
      </c>
      <c r="X200" t="s">
        <v>2027</v>
      </c>
      <c r="Y200" t="s">
        <v>2027</v>
      </c>
      <c r="Z200" t="s">
        <v>2027</v>
      </c>
      <c r="AA200">
        <v>1</v>
      </c>
      <c r="AB200">
        <v>5</v>
      </c>
      <c r="AC200">
        <v>3</v>
      </c>
    </row>
    <row r="201" spans="1:29">
      <c r="A201" t="str">
        <f t="shared" si="3"/>
        <v>SSManuel Villarreal21</v>
      </c>
      <c r="B201">
        <v>3915</v>
      </c>
      <c r="C201">
        <v>442</v>
      </c>
      <c r="D201" t="s">
        <v>1862</v>
      </c>
      <c r="E201" t="s">
        <v>538</v>
      </c>
      <c r="F201">
        <v>0</v>
      </c>
      <c r="G201" s="10">
        <v>35562</v>
      </c>
      <c r="H201">
        <v>21</v>
      </c>
      <c r="I201" t="s">
        <v>2074</v>
      </c>
      <c r="J201" t="s">
        <v>1824</v>
      </c>
      <c r="K201">
        <v>5</v>
      </c>
      <c r="L201">
        <v>4</v>
      </c>
      <c r="M201">
        <v>2</v>
      </c>
      <c r="N201">
        <v>3</v>
      </c>
      <c r="O201">
        <v>5</v>
      </c>
      <c r="P201">
        <v>10</v>
      </c>
      <c r="Q201">
        <v>10</v>
      </c>
      <c r="R201">
        <v>6</v>
      </c>
      <c r="S201" t="s">
        <v>2027</v>
      </c>
      <c r="T201" t="s">
        <v>2027</v>
      </c>
      <c r="U201">
        <v>1</v>
      </c>
      <c r="V201" t="s">
        <v>2027</v>
      </c>
      <c r="W201">
        <v>5</v>
      </c>
      <c r="X201" t="s">
        <v>2027</v>
      </c>
      <c r="Y201" t="s">
        <v>2027</v>
      </c>
      <c r="Z201" t="s">
        <v>2027</v>
      </c>
      <c r="AA201">
        <v>2</v>
      </c>
      <c r="AB201">
        <v>7</v>
      </c>
      <c r="AC201">
        <v>1</v>
      </c>
    </row>
    <row r="202" spans="1:29">
      <c r="A202" t="str">
        <f t="shared" si="3"/>
        <v>CFWilliam Collins21</v>
      </c>
      <c r="B202">
        <v>6785</v>
      </c>
      <c r="C202">
        <v>52</v>
      </c>
      <c r="D202" t="s">
        <v>1666</v>
      </c>
      <c r="E202" t="s">
        <v>1773</v>
      </c>
      <c r="F202">
        <v>0</v>
      </c>
      <c r="G202" s="10">
        <v>35311</v>
      </c>
      <c r="H202">
        <v>21</v>
      </c>
      <c r="I202" t="s">
        <v>2079</v>
      </c>
      <c r="J202" t="s">
        <v>1824</v>
      </c>
      <c r="K202">
        <v>5</v>
      </c>
      <c r="L202">
        <v>6</v>
      </c>
      <c r="M202">
        <v>1</v>
      </c>
      <c r="N202">
        <v>6</v>
      </c>
      <c r="O202">
        <v>6</v>
      </c>
      <c r="P202">
        <v>5</v>
      </c>
      <c r="Q202">
        <v>5</v>
      </c>
      <c r="R202">
        <v>6</v>
      </c>
      <c r="S202" t="s">
        <v>2027</v>
      </c>
      <c r="T202">
        <v>1</v>
      </c>
      <c r="U202" t="s">
        <v>2027</v>
      </c>
      <c r="V202" t="s">
        <v>2027</v>
      </c>
      <c r="W202" t="s">
        <v>2027</v>
      </c>
      <c r="X202">
        <v>5</v>
      </c>
      <c r="Y202">
        <v>10</v>
      </c>
      <c r="Z202">
        <v>6</v>
      </c>
      <c r="AA202">
        <v>1</v>
      </c>
      <c r="AB202">
        <v>1</v>
      </c>
      <c r="AC202">
        <v>8</v>
      </c>
    </row>
    <row r="203" spans="1:29">
      <c r="A203" t="str">
        <f t="shared" si="3"/>
        <v>RFChris Nicholas21</v>
      </c>
      <c r="B203">
        <v>6219</v>
      </c>
      <c r="C203">
        <v>434</v>
      </c>
      <c r="D203" t="s">
        <v>1942</v>
      </c>
      <c r="E203" t="s">
        <v>286</v>
      </c>
      <c r="F203">
        <v>0</v>
      </c>
      <c r="G203" s="10">
        <v>35278</v>
      </c>
      <c r="H203">
        <v>21</v>
      </c>
      <c r="I203" t="s">
        <v>2057</v>
      </c>
      <c r="J203" t="s">
        <v>1824</v>
      </c>
      <c r="K203">
        <v>5</v>
      </c>
      <c r="L203">
        <v>6</v>
      </c>
      <c r="M203">
        <v>1</v>
      </c>
      <c r="N203">
        <v>5</v>
      </c>
      <c r="O203">
        <v>5</v>
      </c>
      <c r="P203">
        <v>6</v>
      </c>
      <c r="Q203">
        <v>9</v>
      </c>
      <c r="R203">
        <v>7</v>
      </c>
      <c r="S203" t="s">
        <v>2027</v>
      </c>
      <c r="T203" t="s">
        <v>2027</v>
      </c>
      <c r="U203" t="s">
        <v>2027</v>
      </c>
      <c r="V203" t="s">
        <v>2027</v>
      </c>
      <c r="W203" t="s">
        <v>2027</v>
      </c>
      <c r="X203">
        <v>2</v>
      </c>
      <c r="Y203" t="s">
        <v>2027</v>
      </c>
      <c r="Z203">
        <v>3</v>
      </c>
      <c r="AA203">
        <v>1</v>
      </c>
      <c r="AB203">
        <v>2</v>
      </c>
      <c r="AC203">
        <v>4</v>
      </c>
    </row>
    <row r="204" spans="1:29">
      <c r="A204" t="str">
        <f t="shared" si="3"/>
        <v>3BStan Cherry18</v>
      </c>
      <c r="B204">
        <v>13803</v>
      </c>
      <c r="C204">
        <v>477</v>
      </c>
      <c r="D204" t="s">
        <v>1972</v>
      </c>
      <c r="E204" t="s">
        <v>1720</v>
      </c>
      <c r="F204">
        <v>0</v>
      </c>
      <c r="G204" s="10">
        <v>36523</v>
      </c>
      <c r="H204">
        <v>18</v>
      </c>
      <c r="I204" t="s">
        <v>2061</v>
      </c>
      <c r="J204" t="s">
        <v>1824</v>
      </c>
      <c r="K204">
        <v>5</v>
      </c>
      <c r="L204">
        <v>5</v>
      </c>
      <c r="M204">
        <v>1</v>
      </c>
      <c r="N204">
        <v>4</v>
      </c>
      <c r="O204">
        <v>8</v>
      </c>
      <c r="P204">
        <v>4</v>
      </c>
      <c r="Q204">
        <v>8</v>
      </c>
      <c r="R204">
        <v>6</v>
      </c>
      <c r="S204" t="s">
        <v>2027</v>
      </c>
      <c r="T204" t="s">
        <v>2027</v>
      </c>
      <c r="U204">
        <v>1</v>
      </c>
      <c r="V204">
        <v>4</v>
      </c>
      <c r="W204">
        <v>6</v>
      </c>
      <c r="X204" t="s">
        <v>2027</v>
      </c>
      <c r="Y204" t="s">
        <v>2027</v>
      </c>
      <c r="Z204" t="s">
        <v>2027</v>
      </c>
      <c r="AA204">
        <v>1</v>
      </c>
      <c r="AB204">
        <v>6</v>
      </c>
      <c r="AC204">
        <v>5</v>
      </c>
    </row>
    <row r="205" spans="1:29">
      <c r="A205" t="str">
        <f t="shared" si="3"/>
        <v>CFEdgardo MartÌnez21</v>
      </c>
      <c r="B205">
        <v>6024</v>
      </c>
      <c r="C205">
        <v>488</v>
      </c>
      <c r="D205" t="s">
        <v>551</v>
      </c>
      <c r="E205" t="s">
        <v>115</v>
      </c>
      <c r="F205">
        <v>0</v>
      </c>
      <c r="G205" s="10">
        <v>35257</v>
      </c>
      <c r="H205">
        <v>21</v>
      </c>
      <c r="I205" t="s">
        <v>2079</v>
      </c>
      <c r="J205" t="s">
        <v>1824</v>
      </c>
      <c r="K205">
        <v>5</v>
      </c>
      <c r="L205">
        <v>5</v>
      </c>
      <c r="M205">
        <v>1</v>
      </c>
      <c r="N205">
        <v>3</v>
      </c>
      <c r="O205">
        <v>3</v>
      </c>
      <c r="P205">
        <v>5</v>
      </c>
      <c r="Q205">
        <v>7</v>
      </c>
      <c r="R205">
        <v>5</v>
      </c>
      <c r="S205" t="s">
        <v>2027</v>
      </c>
      <c r="T205" t="s">
        <v>2027</v>
      </c>
      <c r="U205" t="s">
        <v>2027</v>
      </c>
      <c r="V205" t="s">
        <v>2027</v>
      </c>
      <c r="W205" t="s">
        <v>2027</v>
      </c>
      <c r="X205">
        <v>5</v>
      </c>
      <c r="Y205">
        <v>5</v>
      </c>
      <c r="Z205">
        <v>4</v>
      </c>
      <c r="AA205">
        <v>1</v>
      </c>
      <c r="AB205">
        <v>2</v>
      </c>
      <c r="AC205">
        <v>3</v>
      </c>
    </row>
    <row r="206" spans="1:29">
      <c r="A206" t="str">
        <f t="shared" si="3"/>
        <v>SSStan Phillips22</v>
      </c>
      <c r="B206">
        <v>2305</v>
      </c>
      <c r="C206">
        <v>32</v>
      </c>
      <c r="D206" t="s">
        <v>1972</v>
      </c>
      <c r="E206" t="s">
        <v>1665</v>
      </c>
      <c r="F206">
        <v>0</v>
      </c>
      <c r="G206" s="10">
        <v>35066</v>
      </c>
      <c r="H206">
        <v>22</v>
      </c>
      <c r="I206" t="s">
        <v>2074</v>
      </c>
      <c r="J206" t="s">
        <v>2021</v>
      </c>
      <c r="K206">
        <v>4</v>
      </c>
      <c r="L206">
        <v>3</v>
      </c>
      <c r="M206">
        <v>6</v>
      </c>
      <c r="N206">
        <v>6</v>
      </c>
      <c r="O206">
        <v>7</v>
      </c>
      <c r="P206">
        <v>9</v>
      </c>
      <c r="Q206">
        <v>6</v>
      </c>
      <c r="R206">
        <v>5</v>
      </c>
      <c r="S206" t="s">
        <v>2027</v>
      </c>
      <c r="T206" t="s">
        <v>2027</v>
      </c>
      <c r="U206" t="s">
        <v>2027</v>
      </c>
      <c r="V206" t="s">
        <v>2027</v>
      </c>
      <c r="W206">
        <v>8</v>
      </c>
      <c r="X206" t="s">
        <v>2027</v>
      </c>
      <c r="Y206" t="s">
        <v>2027</v>
      </c>
      <c r="Z206" t="s">
        <v>2027</v>
      </c>
      <c r="AA206">
        <v>1</v>
      </c>
      <c r="AB206">
        <v>5</v>
      </c>
      <c r="AC206">
        <v>8</v>
      </c>
    </row>
    <row r="207" spans="1:29">
      <c r="A207" t="str">
        <f t="shared" si="3"/>
        <v>RFWillie Edmonds21</v>
      </c>
      <c r="B207">
        <v>2884</v>
      </c>
      <c r="C207">
        <v>36</v>
      </c>
      <c r="D207" t="s">
        <v>1837</v>
      </c>
      <c r="E207" t="s">
        <v>519</v>
      </c>
      <c r="F207">
        <v>0</v>
      </c>
      <c r="G207" s="10">
        <v>35512</v>
      </c>
      <c r="H207">
        <v>21</v>
      </c>
      <c r="I207" t="s">
        <v>2057</v>
      </c>
      <c r="J207" t="s">
        <v>1824</v>
      </c>
      <c r="K207">
        <v>4</v>
      </c>
      <c r="L207">
        <v>6</v>
      </c>
      <c r="M207">
        <v>6</v>
      </c>
      <c r="N207">
        <v>4</v>
      </c>
      <c r="O207">
        <v>3</v>
      </c>
      <c r="P207">
        <v>9</v>
      </c>
      <c r="Q207">
        <v>5</v>
      </c>
      <c r="R207">
        <v>10</v>
      </c>
      <c r="S207" t="s">
        <v>2027</v>
      </c>
      <c r="T207">
        <v>1</v>
      </c>
      <c r="U207" t="s">
        <v>2027</v>
      </c>
      <c r="V207" t="s">
        <v>2027</v>
      </c>
      <c r="W207" t="s">
        <v>2027</v>
      </c>
      <c r="X207">
        <v>4</v>
      </c>
      <c r="Y207">
        <v>2</v>
      </c>
      <c r="Z207">
        <v>6</v>
      </c>
      <c r="AA207">
        <v>1</v>
      </c>
      <c r="AB207">
        <v>1</v>
      </c>
      <c r="AC207">
        <v>4</v>
      </c>
    </row>
    <row r="208" spans="1:29">
      <c r="A208" t="str">
        <f t="shared" si="3"/>
        <v>2BAl Fuller21</v>
      </c>
      <c r="B208">
        <v>2713</v>
      </c>
      <c r="C208">
        <v>448</v>
      </c>
      <c r="D208" t="s">
        <v>510</v>
      </c>
      <c r="E208" t="s">
        <v>509</v>
      </c>
      <c r="F208">
        <v>0</v>
      </c>
      <c r="G208" s="10">
        <v>35550</v>
      </c>
      <c r="H208">
        <v>21</v>
      </c>
      <c r="I208" t="s">
        <v>2069</v>
      </c>
      <c r="J208" t="s">
        <v>1824</v>
      </c>
      <c r="K208">
        <v>4</v>
      </c>
      <c r="L208">
        <v>7</v>
      </c>
      <c r="M208">
        <v>5</v>
      </c>
      <c r="N208">
        <v>7</v>
      </c>
      <c r="O208">
        <v>7</v>
      </c>
      <c r="P208">
        <v>3</v>
      </c>
      <c r="Q208">
        <v>5</v>
      </c>
      <c r="R208">
        <v>6</v>
      </c>
      <c r="S208" t="s">
        <v>2027</v>
      </c>
      <c r="T208">
        <v>3</v>
      </c>
      <c r="U208">
        <v>7</v>
      </c>
      <c r="V208">
        <v>6</v>
      </c>
      <c r="W208" t="s">
        <v>2027</v>
      </c>
      <c r="X208" t="s">
        <v>2027</v>
      </c>
      <c r="Y208" t="s">
        <v>2027</v>
      </c>
      <c r="Z208" t="s">
        <v>2027</v>
      </c>
      <c r="AA208">
        <v>1</v>
      </c>
      <c r="AB208">
        <v>7</v>
      </c>
      <c r="AC208">
        <v>5</v>
      </c>
    </row>
    <row r="209" spans="1:29">
      <c r="A209" t="str">
        <f t="shared" si="3"/>
        <v>RFJuan MuÒÛz18</v>
      </c>
      <c r="B209">
        <v>13807</v>
      </c>
      <c r="C209">
        <v>445</v>
      </c>
      <c r="D209" t="s">
        <v>1835</v>
      </c>
      <c r="E209" t="s">
        <v>141</v>
      </c>
      <c r="F209">
        <v>0</v>
      </c>
      <c r="G209" s="10">
        <v>36435</v>
      </c>
      <c r="H209">
        <v>18</v>
      </c>
      <c r="I209" t="s">
        <v>2057</v>
      </c>
      <c r="J209" t="s">
        <v>1824</v>
      </c>
      <c r="K209">
        <v>4</v>
      </c>
      <c r="L209">
        <v>4</v>
      </c>
      <c r="M209">
        <v>5</v>
      </c>
      <c r="N209">
        <v>4</v>
      </c>
      <c r="O209">
        <v>7</v>
      </c>
      <c r="P209">
        <v>7</v>
      </c>
      <c r="Q209">
        <v>9</v>
      </c>
      <c r="R209">
        <v>6</v>
      </c>
      <c r="S209" t="s">
        <v>2027</v>
      </c>
      <c r="T209">
        <v>1</v>
      </c>
      <c r="U209" t="s">
        <v>2027</v>
      </c>
      <c r="V209" t="s">
        <v>2027</v>
      </c>
      <c r="W209" t="s">
        <v>2027</v>
      </c>
      <c r="X209">
        <v>1</v>
      </c>
      <c r="Y209">
        <v>1</v>
      </c>
      <c r="Z209">
        <v>3</v>
      </c>
      <c r="AA209">
        <v>1</v>
      </c>
      <c r="AB209">
        <v>1</v>
      </c>
      <c r="AC209">
        <v>9</v>
      </c>
    </row>
    <row r="210" spans="1:29">
      <c r="A210" t="str">
        <f t="shared" si="3"/>
        <v>1BBill Sims21</v>
      </c>
      <c r="B210">
        <v>5781</v>
      </c>
      <c r="C210">
        <v>455</v>
      </c>
      <c r="D210" t="s">
        <v>1869</v>
      </c>
      <c r="E210" t="s">
        <v>329</v>
      </c>
      <c r="F210">
        <v>0</v>
      </c>
      <c r="G210" s="10">
        <v>35461</v>
      </c>
      <c r="H210">
        <v>21</v>
      </c>
      <c r="I210" t="s">
        <v>2092</v>
      </c>
      <c r="J210" t="s">
        <v>1824</v>
      </c>
      <c r="K210">
        <v>4</v>
      </c>
      <c r="L210">
        <v>5</v>
      </c>
      <c r="M210">
        <v>5</v>
      </c>
      <c r="N210">
        <v>4</v>
      </c>
      <c r="O210">
        <v>5</v>
      </c>
      <c r="P210">
        <v>4</v>
      </c>
      <c r="Q210">
        <v>3</v>
      </c>
      <c r="R210">
        <v>3</v>
      </c>
      <c r="S210" t="s">
        <v>2027</v>
      </c>
      <c r="T210">
        <v>4</v>
      </c>
      <c r="U210" t="s">
        <v>2027</v>
      </c>
      <c r="V210" t="s">
        <v>2027</v>
      </c>
      <c r="W210" t="s">
        <v>2027</v>
      </c>
      <c r="X210">
        <v>1</v>
      </c>
      <c r="Y210" t="s">
        <v>2027</v>
      </c>
      <c r="Z210" t="s">
        <v>2027</v>
      </c>
      <c r="AA210">
        <v>1</v>
      </c>
      <c r="AB210">
        <v>3</v>
      </c>
      <c r="AC210">
        <v>3</v>
      </c>
    </row>
    <row r="211" spans="1:29">
      <c r="A211" t="str">
        <f t="shared" si="3"/>
        <v>3BRobert Lewis21</v>
      </c>
      <c r="B211">
        <v>4017</v>
      </c>
      <c r="C211">
        <v>48</v>
      </c>
      <c r="D211" t="s">
        <v>524</v>
      </c>
      <c r="E211" t="s">
        <v>1677</v>
      </c>
      <c r="F211">
        <v>0</v>
      </c>
      <c r="G211" s="10">
        <v>35369</v>
      </c>
      <c r="H211">
        <v>21</v>
      </c>
      <c r="I211" t="s">
        <v>2061</v>
      </c>
      <c r="J211" t="s">
        <v>1824</v>
      </c>
      <c r="K211">
        <v>4</v>
      </c>
      <c r="L211">
        <v>6</v>
      </c>
      <c r="M211">
        <v>4</v>
      </c>
      <c r="N211">
        <v>7</v>
      </c>
      <c r="O211">
        <v>5</v>
      </c>
      <c r="P211">
        <v>5</v>
      </c>
      <c r="Q211">
        <v>2</v>
      </c>
      <c r="R211">
        <v>2</v>
      </c>
      <c r="S211" t="s">
        <v>2027</v>
      </c>
      <c r="T211">
        <v>4</v>
      </c>
      <c r="U211" t="s">
        <v>2027</v>
      </c>
      <c r="V211">
        <v>7</v>
      </c>
      <c r="W211" t="s">
        <v>2027</v>
      </c>
      <c r="X211" t="s">
        <v>2027</v>
      </c>
      <c r="Y211" t="s">
        <v>2027</v>
      </c>
      <c r="Z211" t="s">
        <v>2027</v>
      </c>
      <c r="AA211">
        <v>1</v>
      </c>
      <c r="AB211">
        <v>6</v>
      </c>
      <c r="AC211">
        <v>4</v>
      </c>
    </row>
    <row r="212" spans="1:29">
      <c r="A212" t="str">
        <f t="shared" si="3"/>
        <v>1BRa˙l Morales21</v>
      </c>
      <c r="B212">
        <v>2319</v>
      </c>
      <c r="C212">
        <v>478</v>
      </c>
      <c r="D212" t="s">
        <v>142</v>
      </c>
      <c r="E212" t="s">
        <v>1919</v>
      </c>
      <c r="F212">
        <v>0</v>
      </c>
      <c r="G212" s="10">
        <v>35488</v>
      </c>
      <c r="H212">
        <v>21</v>
      </c>
      <c r="I212" t="s">
        <v>2092</v>
      </c>
      <c r="J212" t="s">
        <v>1824</v>
      </c>
      <c r="K212">
        <v>4</v>
      </c>
      <c r="L212">
        <v>3</v>
      </c>
      <c r="M212">
        <v>4</v>
      </c>
      <c r="N212">
        <v>5</v>
      </c>
      <c r="O212">
        <v>3</v>
      </c>
      <c r="P212">
        <v>4</v>
      </c>
      <c r="Q212">
        <v>2</v>
      </c>
      <c r="R212">
        <v>3</v>
      </c>
      <c r="S212" t="s">
        <v>2027</v>
      </c>
      <c r="T212">
        <v>3</v>
      </c>
      <c r="U212" t="s">
        <v>2027</v>
      </c>
      <c r="V212" t="s">
        <v>2027</v>
      </c>
      <c r="W212" t="s">
        <v>2027</v>
      </c>
      <c r="X212" t="s">
        <v>2027</v>
      </c>
      <c r="Y212" t="s">
        <v>2027</v>
      </c>
      <c r="Z212" t="s">
        <v>2027</v>
      </c>
      <c r="AA212">
        <v>1</v>
      </c>
      <c r="AB212">
        <v>2</v>
      </c>
      <c r="AC212">
        <v>3</v>
      </c>
    </row>
    <row r="213" spans="1:29">
      <c r="A213" t="str">
        <f t="shared" si="3"/>
        <v>1BAdam Wilson18</v>
      </c>
      <c r="B213">
        <v>417</v>
      </c>
      <c r="C213">
        <v>407</v>
      </c>
      <c r="D213" t="s">
        <v>332</v>
      </c>
      <c r="E213" t="s">
        <v>1884</v>
      </c>
      <c r="F213">
        <v>0</v>
      </c>
      <c r="G213" s="10">
        <v>36538</v>
      </c>
      <c r="H213">
        <v>18</v>
      </c>
      <c r="I213" t="s">
        <v>2092</v>
      </c>
      <c r="J213" t="s">
        <v>1824</v>
      </c>
      <c r="K213">
        <v>4</v>
      </c>
      <c r="L213">
        <v>10</v>
      </c>
      <c r="M213">
        <v>4</v>
      </c>
      <c r="N213">
        <v>5</v>
      </c>
      <c r="O213">
        <v>7</v>
      </c>
      <c r="P213">
        <v>9</v>
      </c>
      <c r="Q213">
        <v>4</v>
      </c>
      <c r="R213">
        <v>8</v>
      </c>
      <c r="S213" t="s">
        <v>2027</v>
      </c>
      <c r="T213">
        <v>1</v>
      </c>
      <c r="U213" t="s">
        <v>2027</v>
      </c>
      <c r="V213" t="s">
        <v>2027</v>
      </c>
      <c r="W213" t="s">
        <v>2027</v>
      </c>
      <c r="X213" t="s">
        <v>2027</v>
      </c>
      <c r="Y213" t="s">
        <v>2027</v>
      </c>
      <c r="Z213" t="s">
        <v>2027</v>
      </c>
      <c r="AA213">
        <v>3</v>
      </c>
      <c r="AB213">
        <v>2</v>
      </c>
      <c r="AC213">
        <v>7</v>
      </c>
    </row>
    <row r="214" spans="1:29">
      <c r="A214" t="str">
        <f t="shared" si="3"/>
        <v>LFReynaldo DÌaz18</v>
      </c>
      <c r="B214">
        <v>1779</v>
      </c>
      <c r="C214">
        <v>420</v>
      </c>
      <c r="D214" t="s">
        <v>314</v>
      </c>
      <c r="E214" t="s">
        <v>143</v>
      </c>
      <c r="F214">
        <v>0</v>
      </c>
      <c r="G214" s="10">
        <v>36456</v>
      </c>
      <c r="H214">
        <v>18</v>
      </c>
      <c r="I214" t="s">
        <v>2035</v>
      </c>
      <c r="J214" t="s">
        <v>1824</v>
      </c>
      <c r="K214">
        <v>4</v>
      </c>
      <c r="L214">
        <v>7</v>
      </c>
      <c r="M214">
        <v>4</v>
      </c>
      <c r="N214">
        <v>4</v>
      </c>
      <c r="O214">
        <v>7</v>
      </c>
      <c r="P214">
        <v>9</v>
      </c>
      <c r="Q214">
        <v>7</v>
      </c>
      <c r="R214">
        <v>10</v>
      </c>
      <c r="S214" t="s">
        <v>2027</v>
      </c>
      <c r="T214" t="s">
        <v>2027</v>
      </c>
      <c r="U214" t="s">
        <v>2027</v>
      </c>
      <c r="V214" t="s">
        <v>2027</v>
      </c>
      <c r="W214" t="s">
        <v>2027</v>
      </c>
      <c r="X214">
        <v>5</v>
      </c>
      <c r="Y214">
        <v>1</v>
      </c>
      <c r="Z214">
        <v>4</v>
      </c>
      <c r="AA214">
        <v>4</v>
      </c>
      <c r="AB214">
        <v>1</v>
      </c>
      <c r="AC214">
        <v>9</v>
      </c>
    </row>
    <row r="215" spans="1:29">
      <c r="A215" t="str">
        <f t="shared" si="3"/>
        <v>C-Tim Morgan18</v>
      </c>
      <c r="B215">
        <v>1785</v>
      </c>
      <c r="C215">
        <v>403</v>
      </c>
      <c r="D215" t="s">
        <v>1872</v>
      </c>
      <c r="E215" t="s">
        <v>336</v>
      </c>
      <c r="F215">
        <v>0</v>
      </c>
      <c r="G215" s="10">
        <v>36489</v>
      </c>
      <c r="H215">
        <v>18</v>
      </c>
      <c r="I215" t="s">
        <v>2091</v>
      </c>
      <c r="J215" t="s">
        <v>1824</v>
      </c>
      <c r="K215">
        <v>4</v>
      </c>
      <c r="L215">
        <v>7</v>
      </c>
      <c r="M215">
        <v>4</v>
      </c>
      <c r="N215">
        <v>4</v>
      </c>
      <c r="O215">
        <v>7</v>
      </c>
      <c r="P215">
        <v>4</v>
      </c>
      <c r="Q215">
        <v>1</v>
      </c>
      <c r="R215">
        <v>4</v>
      </c>
      <c r="S215" t="s">
        <v>2027</v>
      </c>
      <c r="T215" t="s">
        <v>2027</v>
      </c>
      <c r="U215" t="s">
        <v>2027</v>
      </c>
      <c r="V215" t="s">
        <v>2027</v>
      </c>
      <c r="W215" t="s">
        <v>2027</v>
      </c>
      <c r="X215" t="s">
        <v>2027</v>
      </c>
      <c r="Y215" t="s">
        <v>2027</v>
      </c>
      <c r="Z215" t="s">
        <v>2027</v>
      </c>
      <c r="AA215">
        <v>7</v>
      </c>
      <c r="AB215">
        <v>3</v>
      </c>
      <c r="AC215">
        <v>6</v>
      </c>
    </row>
    <row r="216" spans="1:29">
      <c r="A216" t="str">
        <f t="shared" si="3"/>
        <v>C-Alan Bradshaw18</v>
      </c>
      <c r="B216">
        <v>13763</v>
      </c>
      <c r="C216">
        <v>460</v>
      </c>
      <c r="D216" t="s">
        <v>334</v>
      </c>
      <c r="E216" t="s">
        <v>335</v>
      </c>
      <c r="F216">
        <v>0</v>
      </c>
      <c r="G216" s="10">
        <v>36645</v>
      </c>
      <c r="H216">
        <v>18</v>
      </c>
      <c r="I216" t="s">
        <v>2091</v>
      </c>
      <c r="J216" t="s">
        <v>1824</v>
      </c>
      <c r="K216">
        <v>4</v>
      </c>
      <c r="L216">
        <v>3</v>
      </c>
      <c r="M216">
        <v>4</v>
      </c>
      <c r="N216">
        <v>3</v>
      </c>
      <c r="O216">
        <v>6</v>
      </c>
      <c r="P216">
        <v>9</v>
      </c>
      <c r="Q216">
        <v>6</v>
      </c>
      <c r="R216">
        <v>6</v>
      </c>
      <c r="S216" t="s">
        <v>2027</v>
      </c>
      <c r="T216" t="s">
        <v>2027</v>
      </c>
      <c r="U216" t="s">
        <v>2027</v>
      </c>
      <c r="V216" t="s">
        <v>2027</v>
      </c>
      <c r="W216" t="s">
        <v>2027</v>
      </c>
      <c r="X216" t="s">
        <v>2027</v>
      </c>
      <c r="Y216" t="s">
        <v>2027</v>
      </c>
      <c r="Z216" t="s">
        <v>2027</v>
      </c>
      <c r="AA216">
        <v>7</v>
      </c>
      <c r="AB216">
        <v>3</v>
      </c>
      <c r="AC216">
        <v>5</v>
      </c>
    </row>
    <row r="217" spans="1:29">
      <c r="A217" t="str">
        <f t="shared" si="3"/>
        <v>C-Carlos Flores18</v>
      </c>
      <c r="B217">
        <v>13764</v>
      </c>
      <c r="C217">
        <v>464</v>
      </c>
      <c r="D217" t="s">
        <v>1974</v>
      </c>
      <c r="E217" t="s">
        <v>1717</v>
      </c>
      <c r="F217">
        <v>0</v>
      </c>
      <c r="G217" s="10">
        <v>36620</v>
      </c>
      <c r="H217">
        <v>18</v>
      </c>
      <c r="I217" t="s">
        <v>2091</v>
      </c>
      <c r="J217" t="s">
        <v>1824</v>
      </c>
      <c r="K217">
        <v>4</v>
      </c>
      <c r="L217">
        <v>3</v>
      </c>
      <c r="M217">
        <v>4</v>
      </c>
      <c r="N217">
        <v>3</v>
      </c>
      <c r="O217">
        <v>6</v>
      </c>
      <c r="P217">
        <v>10</v>
      </c>
      <c r="Q217">
        <v>3</v>
      </c>
      <c r="R217">
        <v>3</v>
      </c>
      <c r="S217">
        <v>6</v>
      </c>
      <c r="T217">
        <v>1</v>
      </c>
      <c r="U217" t="s">
        <v>2027</v>
      </c>
      <c r="V217" t="s">
        <v>2027</v>
      </c>
      <c r="W217" t="s">
        <v>2027</v>
      </c>
      <c r="X217" t="s">
        <v>2027</v>
      </c>
      <c r="Y217" t="s">
        <v>2027</v>
      </c>
      <c r="Z217" t="s">
        <v>2027</v>
      </c>
      <c r="AA217">
        <v>9</v>
      </c>
      <c r="AB217">
        <v>3</v>
      </c>
      <c r="AC217">
        <v>7</v>
      </c>
    </row>
    <row r="218" spans="1:29">
      <c r="A218" t="str">
        <f t="shared" si="3"/>
        <v>1BJeff King18</v>
      </c>
      <c r="B218">
        <v>472</v>
      </c>
      <c r="C218">
        <v>516</v>
      </c>
      <c r="D218" t="s">
        <v>1839</v>
      </c>
      <c r="E218" t="s">
        <v>1829</v>
      </c>
      <c r="F218">
        <v>0</v>
      </c>
      <c r="G218" s="10">
        <v>36539</v>
      </c>
      <c r="H218">
        <v>18</v>
      </c>
      <c r="I218" t="s">
        <v>2092</v>
      </c>
      <c r="J218" t="s">
        <v>1824</v>
      </c>
      <c r="K218">
        <v>4</v>
      </c>
      <c r="L218">
        <v>4</v>
      </c>
      <c r="M218">
        <v>4</v>
      </c>
      <c r="N218">
        <v>3</v>
      </c>
      <c r="O218">
        <v>3</v>
      </c>
      <c r="P218">
        <v>2</v>
      </c>
      <c r="Q218">
        <v>3</v>
      </c>
      <c r="R218">
        <v>1</v>
      </c>
      <c r="S218" t="s">
        <v>2027</v>
      </c>
      <c r="T218">
        <v>2</v>
      </c>
      <c r="U218" t="s">
        <v>2027</v>
      </c>
      <c r="V218">
        <v>1</v>
      </c>
      <c r="W218" t="s">
        <v>2027</v>
      </c>
      <c r="X218" t="s">
        <v>2027</v>
      </c>
      <c r="Y218" t="s">
        <v>2027</v>
      </c>
      <c r="Z218" t="s">
        <v>2027</v>
      </c>
      <c r="AA218">
        <v>1</v>
      </c>
      <c r="AB218">
        <v>4</v>
      </c>
      <c r="AC218">
        <v>1</v>
      </c>
    </row>
    <row r="219" spans="1:29">
      <c r="A219" t="str">
        <f t="shared" si="3"/>
        <v>RFDrew Davis18</v>
      </c>
      <c r="B219">
        <v>13759</v>
      </c>
      <c r="C219">
        <v>468</v>
      </c>
      <c r="D219" t="s">
        <v>556</v>
      </c>
      <c r="E219" t="s">
        <v>1842</v>
      </c>
      <c r="F219">
        <v>0</v>
      </c>
      <c r="G219" s="10">
        <v>36431</v>
      </c>
      <c r="H219">
        <v>18</v>
      </c>
      <c r="I219" t="s">
        <v>2057</v>
      </c>
      <c r="J219" t="s">
        <v>1824</v>
      </c>
      <c r="K219">
        <v>4</v>
      </c>
      <c r="L219">
        <v>3</v>
      </c>
      <c r="M219">
        <v>4</v>
      </c>
      <c r="N219">
        <v>2</v>
      </c>
      <c r="O219">
        <v>6</v>
      </c>
      <c r="P219">
        <v>9</v>
      </c>
      <c r="Q219">
        <v>5</v>
      </c>
      <c r="R219">
        <v>6</v>
      </c>
      <c r="S219" t="s">
        <v>2027</v>
      </c>
      <c r="T219" t="s">
        <v>2027</v>
      </c>
      <c r="U219" t="s">
        <v>2027</v>
      </c>
      <c r="V219" t="s">
        <v>2027</v>
      </c>
      <c r="W219" t="s">
        <v>2027</v>
      </c>
      <c r="X219">
        <v>4</v>
      </c>
      <c r="Y219" t="s">
        <v>2027</v>
      </c>
      <c r="Z219">
        <v>2</v>
      </c>
      <c r="AA219">
        <v>4</v>
      </c>
      <c r="AB219">
        <v>1</v>
      </c>
      <c r="AC219">
        <v>7</v>
      </c>
    </row>
    <row r="220" spans="1:29">
      <c r="A220" t="str">
        <f t="shared" si="3"/>
        <v>LFToby Lott18</v>
      </c>
      <c r="B220">
        <v>13760</v>
      </c>
      <c r="C220">
        <v>465</v>
      </c>
      <c r="D220" t="s">
        <v>1840</v>
      </c>
      <c r="E220" t="s">
        <v>516</v>
      </c>
      <c r="F220">
        <v>0</v>
      </c>
      <c r="G220" s="10">
        <v>36511</v>
      </c>
      <c r="H220">
        <v>18</v>
      </c>
      <c r="I220" t="s">
        <v>2035</v>
      </c>
      <c r="J220" t="s">
        <v>1824</v>
      </c>
      <c r="K220">
        <v>4</v>
      </c>
      <c r="L220">
        <v>3</v>
      </c>
      <c r="M220">
        <v>4</v>
      </c>
      <c r="N220">
        <v>2</v>
      </c>
      <c r="O220">
        <v>6</v>
      </c>
      <c r="P220">
        <v>8</v>
      </c>
      <c r="Q220">
        <v>5</v>
      </c>
      <c r="R220">
        <v>5</v>
      </c>
      <c r="S220" t="s">
        <v>2027</v>
      </c>
      <c r="T220">
        <v>1</v>
      </c>
      <c r="U220" t="s">
        <v>2027</v>
      </c>
      <c r="V220" t="s">
        <v>2027</v>
      </c>
      <c r="W220" t="s">
        <v>2027</v>
      </c>
      <c r="X220">
        <v>4</v>
      </c>
      <c r="Y220">
        <v>1</v>
      </c>
      <c r="Z220">
        <v>1</v>
      </c>
      <c r="AA220">
        <v>4</v>
      </c>
      <c r="AB220">
        <v>1</v>
      </c>
      <c r="AC220">
        <v>7</v>
      </c>
    </row>
    <row r="221" spans="1:29">
      <c r="A221" t="str">
        <f t="shared" si="3"/>
        <v>LFRoland Smith18</v>
      </c>
      <c r="B221">
        <v>1389</v>
      </c>
      <c r="C221">
        <v>454</v>
      </c>
      <c r="D221" t="s">
        <v>373</v>
      </c>
      <c r="E221" t="s">
        <v>1891</v>
      </c>
      <c r="F221">
        <v>0</v>
      </c>
      <c r="G221" s="10">
        <v>36362</v>
      </c>
      <c r="H221">
        <v>18</v>
      </c>
      <c r="I221" t="s">
        <v>2035</v>
      </c>
      <c r="J221" t="s">
        <v>1824</v>
      </c>
      <c r="K221">
        <v>4</v>
      </c>
      <c r="L221">
        <v>2</v>
      </c>
      <c r="M221">
        <v>3</v>
      </c>
      <c r="N221">
        <v>8</v>
      </c>
      <c r="O221">
        <v>7</v>
      </c>
      <c r="P221">
        <v>5</v>
      </c>
      <c r="Q221">
        <v>4</v>
      </c>
      <c r="R221">
        <v>2</v>
      </c>
      <c r="S221" t="s">
        <v>2027</v>
      </c>
      <c r="T221" t="s">
        <v>2027</v>
      </c>
      <c r="U221" t="s">
        <v>2027</v>
      </c>
      <c r="V221" t="s">
        <v>2027</v>
      </c>
      <c r="W221" t="s">
        <v>2027</v>
      </c>
      <c r="X221">
        <v>1</v>
      </c>
      <c r="Y221">
        <v>1</v>
      </c>
      <c r="Z221">
        <v>1</v>
      </c>
      <c r="AA221">
        <v>1</v>
      </c>
      <c r="AB221">
        <v>5</v>
      </c>
      <c r="AC221">
        <v>4</v>
      </c>
    </row>
    <row r="222" spans="1:29">
      <c r="A222" t="str">
        <f t="shared" si="3"/>
        <v>1BMark Flannery18</v>
      </c>
      <c r="B222">
        <v>13813</v>
      </c>
      <c r="C222">
        <v>450</v>
      </c>
      <c r="D222" t="s">
        <v>1843</v>
      </c>
      <c r="E222" t="s">
        <v>301</v>
      </c>
      <c r="F222">
        <v>0</v>
      </c>
      <c r="G222" s="10">
        <v>36613</v>
      </c>
      <c r="H222">
        <v>18</v>
      </c>
      <c r="I222" t="s">
        <v>2092</v>
      </c>
      <c r="J222" t="s">
        <v>1824</v>
      </c>
      <c r="K222">
        <v>4</v>
      </c>
      <c r="L222">
        <v>4</v>
      </c>
      <c r="M222">
        <v>3</v>
      </c>
      <c r="N222">
        <v>6</v>
      </c>
      <c r="O222">
        <v>7</v>
      </c>
      <c r="P222">
        <v>6</v>
      </c>
      <c r="Q222">
        <v>8</v>
      </c>
      <c r="R222">
        <v>9</v>
      </c>
      <c r="S222" t="s">
        <v>2027</v>
      </c>
      <c r="T222">
        <v>3</v>
      </c>
      <c r="U222" t="s">
        <v>2027</v>
      </c>
      <c r="V222">
        <v>2</v>
      </c>
      <c r="W222" t="s">
        <v>2027</v>
      </c>
      <c r="X222" t="s">
        <v>2027</v>
      </c>
      <c r="Y222" t="s">
        <v>2027</v>
      </c>
      <c r="Z222" t="s">
        <v>2027</v>
      </c>
      <c r="AA222">
        <v>1</v>
      </c>
      <c r="AB222">
        <v>7</v>
      </c>
      <c r="AC222">
        <v>6</v>
      </c>
    </row>
    <row r="223" spans="1:29">
      <c r="A223" t="str">
        <f t="shared" si="3"/>
        <v>LFBlair Humphrey21</v>
      </c>
      <c r="B223">
        <v>3287</v>
      </c>
      <c r="C223">
        <v>47</v>
      </c>
      <c r="D223" t="s">
        <v>1679</v>
      </c>
      <c r="E223" t="s">
        <v>543</v>
      </c>
      <c r="F223">
        <v>0</v>
      </c>
      <c r="G223" s="10">
        <v>35576</v>
      </c>
      <c r="H223">
        <v>21</v>
      </c>
      <c r="I223" t="s">
        <v>2035</v>
      </c>
      <c r="J223" t="s">
        <v>1824</v>
      </c>
      <c r="K223">
        <v>4</v>
      </c>
      <c r="L223">
        <v>5</v>
      </c>
      <c r="M223">
        <v>3</v>
      </c>
      <c r="N223">
        <v>6</v>
      </c>
      <c r="O223">
        <v>4</v>
      </c>
      <c r="P223">
        <v>4</v>
      </c>
      <c r="Q223">
        <v>6</v>
      </c>
      <c r="R223">
        <v>6</v>
      </c>
      <c r="S223" t="s">
        <v>2027</v>
      </c>
      <c r="T223">
        <v>1</v>
      </c>
      <c r="U223" t="s">
        <v>2027</v>
      </c>
      <c r="V223" t="s">
        <v>2027</v>
      </c>
      <c r="W223" t="s">
        <v>2027</v>
      </c>
      <c r="X223">
        <v>5</v>
      </c>
      <c r="Y223">
        <v>1</v>
      </c>
      <c r="Z223">
        <v>4</v>
      </c>
      <c r="AA223">
        <v>1</v>
      </c>
      <c r="AB223">
        <v>1</v>
      </c>
      <c r="AC223">
        <v>6</v>
      </c>
    </row>
    <row r="224" spans="1:29">
      <c r="A224" t="str">
        <f t="shared" si="3"/>
        <v>CFBailey Jackson21</v>
      </c>
      <c r="B224">
        <v>2949</v>
      </c>
      <c r="C224">
        <v>409</v>
      </c>
      <c r="D224" t="s">
        <v>1893</v>
      </c>
      <c r="E224" t="s">
        <v>1864</v>
      </c>
      <c r="F224">
        <v>0</v>
      </c>
      <c r="G224" s="10">
        <v>35363</v>
      </c>
      <c r="H224">
        <v>21</v>
      </c>
      <c r="I224" t="s">
        <v>2079</v>
      </c>
      <c r="J224" t="s">
        <v>1824</v>
      </c>
      <c r="K224">
        <v>4</v>
      </c>
      <c r="L224">
        <v>7</v>
      </c>
      <c r="M224">
        <v>3</v>
      </c>
      <c r="N224">
        <v>6</v>
      </c>
      <c r="O224">
        <v>4</v>
      </c>
      <c r="P224">
        <v>5</v>
      </c>
      <c r="Q224">
        <v>8</v>
      </c>
      <c r="R224">
        <v>10</v>
      </c>
      <c r="S224" t="s">
        <v>2027</v>
      </c>
      <c r="T224">
        <v>2</v>
      </c>
      <c r="U224" t="s">
        <v>2027</v>
      </c>
      <c r="V224" t="s">
        <v>2027</v>
      </c>
      <c r="W224" t="s">
        <v>2027</v>
      </c>
      <c r="X224">
        <v>4</v>
      </c>
      <c r="Y224">
        <v>3</v>
      </c>
      <c r="Z224">
        <v>7</v>
      </c>
      <c r="AA224">
        <v>1</v>
      </c>
      <c r="AB224">
        <v>5</v>
      </c>
      <c r="AC224">
        <v>5</v>
      </c>
    </row>
    <row r="225" spans="1:29">
      <c r="A225" t="str">
        <f t="shared" si="3"/>
        <v>LFEd Lindquist21</v>
      </c>
      <c r="B225">
        <v>3087</v>
      </c>
      <c r="C225">
        <v>433</v>
      </c>
      <c r="D225" t="s">
        <v>1873</v>
      </c>
      <c r="E225" t="s">
        <v>305</v>
      </c>
      <c r="F225">
        <v>0</v>
      </c>
      <c r="G225" s="10">
        <v>35272</v>
      </c>
      <c r="H225">
        <v>21</v>
      </c>
      <c r="I225" t="s">
        <v>2035</v>
      </c>
      <c r="J225" t="s">
        <v>1824</v>
      </c>
      <c r="K225">
        <v>4</v>
      </c>
      <c r="L225">
        <v>5</v>
      </c>
      <c r="M225">
        <v>3</v>
      </c>
      <c r="N225">
        <v>6</v>
      </c>
      <c r="O225">
        <v>5</v>
      </c>
      <c r="P225">
        <v>5</v>
      </c>
      <c r="Q225">
        <v>3</v>
      </c>
      <c r="R225">
        <v>4</v>
      </c>
      <c r="S225" t="s">
        <v>2027</v>
      </c>
      <c r="T225">
        <v>1</v>
      </c>
      <c r="U225" t="s">
        <v>2027</v>
      </c>
      <c r="V225" t="s">
        <v>2027</v>
      </c>
      <c r="W225" t="s">
        <v>2027</v>
      </c>
      <c r="X225">
        <v>6</v>
      </c>
      <c r="Y225" t="s">
        <v>2027</v>
      </c>
      <c r="Z225">
        <v>4</v>
      </c>
      <c r="AA225">
        <v>1</v>
      </c>
      <c r="AB225">
        <v>1</v>
      </c>
      <c r="AC225">
        <v>9</v>
      </c>
    </row>
    <row r="226" spans="1:29">
      <c r="A226" t="str">
        <f t="shared" si="3"/>
        <v>CFJeff Washington21</v>
      </c>
      <c r="B226">
        <v>3860</v>
      </c>
      <c r="C226">
        <v>355</v>
      </c>
      <c r="D226" t="s">
        <v>1839</v>
      </c>
      <c r="E226" t="s">
        <v>1736</v>
      </c>
      <c r="F226">
        <v>0</v>
      </c>
      <c r="G226" s="10">
        <v>35229</v>
      </c>
      <c r="H226">
        <v>21</v>
      </c>
      <c r="I226" t="s">
        <v>2079</v>
      </c>
      <c r="J226" t="s">
        <v>1824</v>
      </c>
      <c r="K226">
        <v>4</v>
      </c>
      <c r="L226">
        <v>8</v>
      </c>
      <c r="M226">
        <v>3</v>
      </c>
      <c r="N226">
        <v>6</v>
      </c>
      <c r="O226">
        <v>4</v>
      </c>
      <c r="P226">
        <v>6</v>
      </c>
      <c r="Q226">
        <v>8</v>
      </c>
      <c r="R226">
        <v>10</v>
      </c>
      <c r="S226" t="s">
        <v>2027</v>
      </c>
      <c r="T226" t="s">
        <v>2027</v>
      </c>
      <c r="U226" t="s">
        <v>2027</v>
      </c>
      <c r="V226" t="s">
        <v>2027</v>
      </c>
      <c r="W226" t="s">
        <v>2027</v>
      </c>
      <c r="X226">
        <v>4</v>
      </c>
      <c r="Y226">
        <v>5</v>
      </c>
      <c r="Z226">
        <v>8</v>
      </c>
      <c r="AA226">
        <v>1</v>
      </c>
      <c r="AB226">
        <v>1</v>
      </c>
      <c r="AC226">
        <v>6</v>
      </c>
    </row>
    <row r="227" spans="1:29">
      <c r="A227" t="str">
        <f t="shared" si="3"/>
        <v>C-Graviel Lomba18</v>
      </c>
      <c r="B227">
        <v>13817</v>
      </c>
      <c r="C227">
        <v>490</v>
      </c>
      <c r="D227" t="s">
        <v>507</v>
      </c>
      <c r="E227" t="s">
        <v>508</v>
      </c>
      <c r="F227">
        <v>0</v>
      </c>
      <c r="G227" s="10">
        <v>36354</v>
      </c>
      <c r="H227">
        <v>18</v>
      </c>
      <c r="I227" t="s">
        <v>2091</v>
      </c>
      <c r="J227" t="s">
        <v>1824</v>
      </c>
      <c r="K227">
        <v>4</v>
      </c>
      <c r="L227">
        <v>5</v>
      </c>
      <c r="M227">
        <v>3</v>
      </c>
      <c r="N227">
        <v>5</v>
      </c>
      <c r="O227">
        <v>7</v>
      </c>
      <c r="P227">
        <v>2</v>
      </c>
      <c r="Q227">
        <v>3</v>
      </c>
      <c r="R227">
        <v>4</v>
      </c>
      <c r="S227">
        <v>2</v>
      </c>
      <c r="T227" t="s">
        <v>2027</v>
      </c>
      <c r="U227" t="s">
        <v>2027</v>
      </c>
      <c r="V227" t="s">
        <v>2027</v>
      </c>
      <c r="W227" t="s">
        <v>2027</v>
      </c>
      <c r="X227" t="s">
        <v>2027</v>
      </c>
      <c r="Y227" t="s">
        <v>2027</v>
      </c>
      <c r="Z227" t="s">
        <v>2027</v>
      </c>
      <c r="AA227">
        <v>6</v>
      </c>
      <c r="AB227">
        <v>3</v>
      </c>
      <c r="AC227">
        <v>6</v>
      </c>
    </row>
    <row r="228" spans="1:29">
      <c r="A228" t="str">
        <f t="shared" si="3"/>
        <v>LFJerry Crittenden20</v>
      </c>
      <c r="B228">
        <v>6516</v>
      </c>
      <c r="C228">
        <v>449</v>
      </c>
      <c r="D228" t="s">
        <v>1712</v>
      </c>
      <c r="E228" t="s">
        <v>357</v>
      </c>
      <c r="F228">
        <v>0</v>
      </c>
      <c r="G228" s="10">
        <v>35586</v>
      </c>
      <c r="H228">
        <v>20</v>
      </c>
      <c r="I228" t="s">
        <v>2035</v>
      </c>
      <c r="J228" t="s">
        <v>1824</v>
      </c>
      <c r="K228">
        <v>4</v>
      </c>
      <c r="L228">
        <v>6</v>
      </c>
      <c r="M228">
        <v>3</v>
      </c>
      <c r="N228">
        <v>4</v>
      </c>
      <c r="O228">
        <v>3</v>
      </c>
      <c r="P228">
        <v>7</v>
      </c>
      <c r="Q228">
        <v>7</v>
      </c>
      <c r="R228">
        <v>7</v>
      </c>
      <c r="S228" t="s">
        <v>2027</v>
      </c>
      <c r="T228">
        <v>1</v>
      </c>
      <c r="U228" t="s">
        <v>2027</v>
      </c>
      <c r="V228" t="s">
        <v>2027</v>
      </c>
      <c r="W228" t="s">
        <v>2027</v>
      </c>
      <c r="X228">
        <v>5</v>
      </c>
      <c r="Y228">
        <v>1</v>
      </c>
      <c r="Z228">
        <v>1</v>
      </c>
      <c r="AA228">
        <v>3</v>
      </c>
      <c r="AB228">
        <v>1</v>
      </c>
      <c r="AC228">
        <v>5</v>
      </c>
    </row>
    <row r="229" spans="1:29">
      <c r="A229" t="str">
        <f t="shared" si="3"/>
        <v>C-George Gaulton18</v>
      </c>
      <c r="B229">
        <v>13830</v>
      </c>
      <c r="C229">
        <v>486</v>
      </c>
      <c r="D229" t="s">
        <v>1772</v>
      </c>
      <c r="E229" t="s">
        <v>320</v>
      </c>
      <c r="F229">
        <v>0</v>
      </c>
      <c r="G229" s="10">
        <v>36413</v>
      </c>
      <c r="H229">
        <v>18</v>
      </c>
      <c r="I229" t="s">
        <v>2091</v>
      </c>
      <c r="J229" t="s">
        <v>1824</v>
      </c>
      <c r="K229">
        <v>4</v>
      </c>
      <c r="L229">
        <v>5</v>
      </c>
      <c r="M229">
        <v>3</v>
      </c>
      <c r="N229">
        <v>4</v>
      </c>
      <c r="O229">
        <v>7</v>
      </c>
      <c r="P229">
        <v>2</v>
      </c>
      <c r="Q229">
        <v>3</v>
      </c>
      <c r="R229">
        <v>2</v>
      </c>
      <c r="S229" t="s">
        <v>2027</v>
      </c>
      <c r="T229" t="s">
        <v>2027</v>
      </c>
      <c r="U229" t="s">
        <v>2027</v>
      </c>
      <c r="V229" t="s">
        <v>2027</v>
      </c>
      <c r="W229" t="s">
        <v>2027</v>
      </c>
      <c r="X229" t="s">
        <v>2027</v>
      </c>
      <c r="Y229" t="s">
        <v>2027</v>
      </c>
      <c r="Z229" t="s">
        <v>2027</v>
      </c>
      <c r="AA229">
        <v>4</v>
      </c>
      <c r="AB229">
        <v>4</v>
      </c>
      <c r="AC229">
        <v>7</v>
      </c>
    </row>
    <row r="230" spans="1:29">
      <c r="A230" t="str">
        <f t="shared" si="3"/>
        <v>2BWinston MacLyan21</v>
      </c>
      <c r="B230">
        <v>7846</v>
      </c>
      <c r="C230">
        <v>499</v>
      </c>
      <c r="D230" t="s">
        <v>486</v>
      </c>
      <c r="E230" t="s">
        <v>487</v>
      </c>
      <c r="F230">
        <v>0</v>
      </c>
      <c r="G230" s="10">
        <v>35309</v>
      </c>
      <c r="H230">
        <v>21</v>
      </c>
      <c r="I230" t="s">
        <v>2069</v>
      </c>
      <c r="J230" t="s">
        <v>1824</v>
      </c>
      <c r="K230">
        <v>4</v>
      </c>
      <c r="L230">
        <v>4</v>
      </c>
      <c r="M230">
        <v>3</v>
      </c>
      <c r="N230">
        <v>4</v>
      </c>
      <c r="O230">
        <v>8</v>
      </c>
      <c r="P230">
        <v>3</v>
      </c>
      <c r="Q230">
        <v>1</v>
      </c>
      <c r="R230">
        <v>1</v>
      </c>
      <c r="S230" t="s">
        <v>2027</v>
      </c>
      <c r="T230">
        <v>4</v>
      </c>
      <c r="U230">
        <v>5</v>
      </c>
      <c r="V230">
        <v>6</v>
      </c>
      <c r="W230">
        <v>7</v>
      </c>
      <c r="X230" t="s">
        <v>2027</v>
      </c>
      <c r="Y230" t="s">
        <v>2027</v>
      </c>
      <c r="Z230" t="s">
        <v>2027</v>
      </c>
      <c r="AA230">
        <v>1</v>
      </c>
      <c r="AB230">
        <v>8</v>
      </c>
      <c r="AC230">
        <v>5</v>
      </c>
    </row>
    <row r="231" spans="1:29">
      <c r="A231" t="str">
        <f t="shared" si="3"/>
        <v>LFMario Padilla18</v>
      </c>
      <c r="B231">
        <v>13797</v>
      </c>
      <c r="C231">
        <v>512</v>
      </c>
      <c r="D231" t="s">
        <v>1925</v>
      </c>
      <c r="E231" t="s">
        <v>1671</v>
      </c>
      <c r="F231">
        <v>0</v>
      </c>
      <c r="G231" s="10">
        <v>36386</v>
      </c>
      <c r="H231">
        <v>18</v>
      </c>
      <c r="I231" t="s">
        <v>2035</v>
      </c>
      <c r="J231" t="s">
        <v>1824</v>
      </c>
      <c r="K231">
        <v>4</v>
      </c>
      <c r="L231">
        <v>2</v>
      </c>
      <c r="M231">
        <v>3</v>
      </c>
      <c r="N231">
        <v>4</v>
      </c>
      <c r="O231">
        <v>7</v>
      </c>
      <c r="P231">
        <v>4</v>
      </c>
      <c r="Q231">
        <v>5</v>
      </c>
      <c r="R231">
        <v>3</v>
      </c>
      <c r="S231" t="s">
        <v>2027</v>
      </c>
      <c r="T231">
        <v>1</v>
      </c>
      <c r="U231" t="s">
        <v>2027</v>
      </c>
      <c r="V231" t="s">
        <v>2027</v>
      </c>
      <c r="W231" t="s">
        <v>2027</v>
      </c>
      <c r="X231">
        <v>1</v>
      </c>
      <c r="Y231" t="s">
        <v>2027</v>
      </c>
      <c r="Z231">
        <v>1</v>
      </c>
      <c r="AA231">
        <v>1</v>
      </c>
      <c r="AB231">
        <v>1</v>
      </c>
      <c r="AC231">
        <v>7</v>
      </c>
    </row>
    <row r="232" spans="1:29">
      <c r="A232" t="str">
        <f t="shared" si="3"/>
        <v>LFJonathan Payne18</v>
      </c>
      <c r="B232">
        <v>13806</v>
      </c>
      <c r="C232">
        <v>472</v>
      </c>
      <c r="D232" t="s">
        <v>361</v>
      </c>
      <c r="E232" t="s">
        <v>1746</v>
      </c>
      <c r="F232">
        <v>0</v>
      </c>
      <c r="G232" s="10">
        <v>36403</v>
      </c>
      <c r="H232">
        <v>18</v>
      </c>
      <c r="I232" t="s">
        <v>2035</v>
      </c>
      <c r="J232" t="s">
        <v>1824</v>
      </c>
      <c r="K232">
        <v>4</v>
      </c>
      <c r="L232">
        <v>6</v>
      </c>
      <c r="M232">
        <v>3</v>
      </c>
      <c r="N232">
        <v>4</v>
      </c>
      <c r="O232">
        <v>7</v>
      </c>
      <c r="P232">
        <v>6</v>
      </c>
      <c r="Q232">
        <v>6</v>
      </c>
      <c r="R232">
        <v>6</v>
      </c>
      <c r="S232" t="s">
        <v>2027</v>
      </c>
      <c r="T232">
        <v>1</v>
      </c>
      <c r="U232" t="s">
        <v>2027</v>
      </c>
      <c r="V232" t="s">
        <v>2027</v>
      </c>
      <c r="W232" t="s">
        <v>2027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10</v>
      </c>
    </row>
    <row r="233" spans="1:29">
      <c r="A233" t="str">
        <f t="shared" si="3"/>
        <v>RFJorge Rom·n18</v>
      </c>
      <c r="B233">
        <v>13820</v>
      </c>
      <c r="C233">
        <v>489</v>
      </c>
      <c r="D233" t="s">
        <v>1832</v>
      </c>
      <c r="E233" t="s">
        <v>144</v>
      </c>
      <c r="F233">
        <v>0</v>
      </c>
      <c r="G233" s="10">
        <v>36398</v>
      </c>
      <c r="H233">
        <v>18</v>
      </c>
      <c r="I233" t="s">
        <v>2057</v>
      </c>
      <c r="J233" t="s">
        <v>1824</v>
      </c>
      <c r="K233">
        <v>4</v>
      </c>
      <c r="L233">
        <v>5</v>
      </c>
      <c r="M233">
        <v>3</v>
      </c>
      <c r="N233">
        <v>4</v>
      </c>
      <c r="O233">
        <v>7</v>
      </c>
      <c r="P233">
        <v>7</v>
      </c>
      <c r="Q233">
        <v>7</v>
      </c>
      <c r="R233">
        <v>8</v>
      </c>
      <c r="S233" t="s">
        <v>2027</v>
      </c>
      <c r="T233" t="s">
        <v>2027</v>
      </c>
      <c r="U233" t="s">
        <v>2027</v>
      </c>
      <c r="V233" t="s">
        <v>2027</v>
      </c>
      <c r="W233" t="s">
        <v>2027</v>
      </c>
      <c r="X233">
        <v>1</v>
      </c>
      <c r="Y233">
        <v>1</v>
      </c>
      <c r="Z233">
        <v>3</v>
      </c>
      <c r="AA233">
        <v>1</v>
      </c>
      <c r="AB233">
        <v>1</v>
      </c>
      <c r="AC233">
        <v>8</v>
      </c>
    </row>
    <row r="234" spans="1:29">
      <c r="A234" t="str">
        <f t="shared" si="3"/>
        <v>1BBartolo Espinoza21</v>
      </c>
      <c r="B234">
        <v>9436</v>
      </c>
      <c r="C234">
        <v>509</v>
      </c>
      <c r="D234" t="s">
        <v>1866</v>
      </c>
      <c r="E234" t="s">
        <v>1676</v>
      </c>
      <c r="F234">
        <v>0</v>
      </c>
      <c r="G234" s="10">
        <v>35498</v>
      </c>
      <c r="H234">
        <v>21</v>
      </c>
      <c r="I234" t="s">
        <v>2092</v>
      </c>
      <c r="J234" t="s">
        <v>1824</v>
      </c>
      <c r="K234">
        <v>4</v>
      </c>
      <c r="L234">
        <v>4</v>
      </c>
      <c r="M234">
        <v>3</v>
      </c>
      <c r="N234">
        <v>3</v>
      </c>
      <c r="O234">
        <v>4</v>
      </c>
      <c r="P234">
        <v>2</v>
      </c>
      <c r="Q234">
        <v>1</v>
      </c>
      <c r="R234">
        <v>1</v>
      </c>
      <c r="S234" t="s">
        <v>2027</v>
      </c>
      <c r="T234">
        <v>4</v>
      </c>
      <c r="U234" t="s">
        <v>2027</v>
      </c>
      <c r="V234" t="s">
        <v>2027</v>
      </c>
      <c r="W234" t="s">
        <v>2027</v>
      </c>
      <c r="X234" t="s">
        <v>2027</v>
      </c>
      <c r="Y234" t="s">
        <v>2027</v>
      </c>
      <c r="Z234" t="s">
        <v>2027</v>
      </c>
      <c r="AA234">
        <v>1</v>
      </c>
      <c r="AB234">
        <v>4</v>
      </c>
      <c r="AC234">
        <v>4</v>
      </c>
    </row>
    <row r="235" spans="1:29">
      <c r="A235" t="str">
        <f t="shared" si="3"/>
        <v>1BCarlos Ilana18</v>
      </c>
      <c r="B235">
        <v>13811</v>
      </c>
      <c r="C235">
        <v>506</v>
      </c>
      <c r="D235" t="s">
        <v>1974</v>
      </c>
      <c r="E235" t="s">
        <v>539</v>
      </c>
      <c r="F235">
        <v>0</v>
      </c>
      <c r="G235" s="10">
        <v>36504</v>
      </c>
      <c r="H235">
        <v>18</v>
      </c>
      <c r="I235" t="s">
        <v>2092</v>
      </c>
      <c r="J235" t="s">
        <v>1824</v>
      </c>
      <c r="K235">
        <v>4</v>
      </c>
      <c r="L235">
        <v>3</v>
      </c>
      <c r="M235">
        <v>3</v>
      </c>
      <c r="N235">
        <v>2</v>
      </c>
      <c r="O235">
        <v>7</v>
      </c>
      <c r="P235">
        <v>2</v>
      </c>
      <c r="Q235">
        <v>2</v>
      </c>
      <c r="R235">
        <v>1</v>
      </c>
      <c r="S235" t="s">
        <v>2027</v>
      </c>
      <c r="T235">
        <v>1</v>
      </c>
      <c r="U235" t="s">
        <v>2027</v>
      </c>
      <c r="V235" t="s">
        <v>2027</v>
      </c>
      <c r="W235" t="s">
        <v>2027</v>
      </c>
      <c r="X235" t="s">
        <v>2027</v>
      </c>
      <c r="Y235" t="s">
        <v>2027</v>
      </c>
      <c r="Z235" t="s">
        <v>2027</v>
      </c>
      <c r="AA235">
        <v>1</v>
      </c>
      <c r="AB235">
        <v>4</v>
      </c>
      <c r="AC235">
        <v>4</v>
      </c>
    </row>
    <row r="236" spans="1:29">
      <c r="A236" t="str">
        <f t="shared" si="3"/>
        <v>LFVincente Ju·rez18</v>
      </c>
      <c r="B236">
        <v>1436</v>
      </c>
      <c r="C236">
        <v>492</v>
      </c>
      <c r="D236" t="s">
        <v>328</v>
      </c>
      <c r="E236" t="s">
        <v>145</v>
      </c>
      <c r="F236">
        <v>0</v>
      </c>
      <c r="G236" s="10">
        <v>36636</v>
      </c>
      <c r="H236">
        <v>18</v>
      </c>
      <c r="I236" t="s">
        <v>2035</v>
      </c>
      <c r="J236" t="s">
        <v>1824</v>
      </c>
      <c r="K236">
        <v>4</v>
      </c>
      <c r="L236">
        <v>5</v>
      </c>
      <c r="M236">
        <v>3</v>
      </c>
      <c r="N236">
        <v>2</v>
      </c>
      <c r="O236">
        <v>3</v>
      </c>
      <c r="P236">
        <v>9</v>
      </c>
      <c r="Q236">
        <v>9</v>
      </c>
      <c r="R236">
        <v>5</v>
      </c>
      <c r="S236" t="s">
        <v>2027</v>
      </c>
      <c r="T236" t="s">
        <v>2027</v>
      </c>
      <c r="U236" t="s">
        <v>2027</v>
      </c>
      <c r="V236" t="s">
        <v>2027</v>
      </c>
      <c r="W236" t="s">
        <v>2027</v>
      </c>
      <c r="X236">
        <v>5</v>
      </c>
      <c r="Y236">
        <v>1</v>
      </c>
      <c r="Z236">
        <v>1</v>
      </c>
      <c r="AA236">
        <v>3</v>
      </c>
      <c r="AB236">
        <v>1</v>
      </c>
      <c r="AC236">
        <v>5</v>
      </c>
    </row>
    <row r="237" spans="1:29">
      <c r="A237" t="str">
        <f t="shared" si="3"/>
        <v>CFCornell Bradford21</v>
      </c>
      <c r="B237">
        <v>3094</v>
      </c>
      <c r="C237">
        <v>41</v>
      </c>
      <c r="D237" t="s">
        <v>299</v>
      </c>
      <c r="E237" t="s">
        <v>1836</v>
      </c>
      <c r="F237">
        <v>0</v>
      </c>
      <c r="G237" s="10">
        <v>35285</v>
      </c>
      <c r="H237">
        <v>21</v>
      </c>
      <c r="I237" t="s">
        <v>2079</v>
      </c>
      <c r="J237" t="s">
        <v>1824</v>
      </c>
      <c r="K237">
        <v>4</v>
      </c>
      <c r="L237">
        <v>7</v>
      </c>
      <c r="M237">
        <v>2</v>
      </c>
      <c r="N237">
        <v>8</v>
      </c>
      <c r="O237">
        <v>7</v>
      </c>
      <c r="P237">
        <v>7</v>
      </c>
      <c r="Q237">
        <v>6</v>
      </c>
      <c r="R237">
        <v>7</v>
      </c>
      <c r="S237" t="s">
        <v>2027</v>
      </c>
      <c r="T237" t="s">
        <v>2027</v>
      </c>
      <c r="U237" t="s">
        <v>2027</v>
      </c>
      <c r="V237" t="s">
        <v>2027</v>
      </c>
      <c r="W237" t="s">
        <v>2027</v>
      </c>
      <c r="X237">
        <v>3</v>
      </c>
      <c r="Y237">
        <v>5</v>
      </c>
      <c r="Z237">
        <v>5</v>
      </c>
      <c r="AA237">
        <v>1</v>
      </c>
      <c r="AB237">
        <v>1</v>
      </c>
      <c r="AC237">
        <v>8</v>
      </c>
    </row>
    <row r="238" spans="1:29">
      <c r="A238" t="str">
        <f t="shared" si="3"/>
        <v>C-Michael Carter18</v>
      </c>
      <c r="B238">
        <v>1388</v>
      </c>
      <c r="C238">
        <v>399</v>
      </c>
      <c r="D238" t="s">
        <v>1841</v>
      </c>
      <c r="E238" t="s">
        <v>1880</v>
      </c>
      <c r="F238">
        <v>0</v>
      </c>
      <c r="G238" s="10">
        <v>36555</v>
      </c>
      <c r="H238">
        <v>18</v>
      </c>
      <c r="I238" t="s">
        <v>2091</v>
      </c>
      <c r="J238" t="s">
        <v>1824</v>
      </c>
      <c r="K238">
        <v>4</v>
      </c>
      <c r="L238">
        <v>3</v>
      </c>
      <c r="M238">
        <v>2</v>
      </c>
      <c r="N238">
        <v>7</v>
      </c>
      <c r="O238">
        <v>8</v>
      </c>
      <c r="P238">
        <v>2</v>
      </c>
      <c r="Q238">
        <v>4</v>
      </c>
      <c r="R238">
        <v>3</v>
      </c>
      <c r="S238">
        <v>2</v>
      </c>
      <c r="T238" t="s">
        <v>2027</v>
      </c>
      <c r="U238" t="s">
        <v>2027</v>
      </c>
      <c r="V238" t="s">
        <v>2027</v>
      </c>
      <c r="W238" t="s">
        <v>2027</v>
      </c>
      <c r="X238" t="s">
        <v>2027</v>
      </c>
      <c r="Y238" t="s">
        <v>2027</v>
      </c>
      <c r="Z238" t="s">
        <v>2027</v>
      </c>
      <c r="AA238">
        <v>6</v>
      </c>
      <c r="AB238">
        <v>4</v>
      </c>
      <c r="AC238">
        <v>8</v>
      </c>
    </row>
    <row r="239" spans="1:29">
      <c r="A239" t="str">
        <f t="shared" si="3"/>
        <v>LFCarlos MacÌas21</v>
      </c>
      <c r="B239">
        <v>3117</v>
      </c>
      <c r="C239">
        <v>374</v>
      </c>
      <c r="D239" t="s">
        <v>1974</v>
      </c>
      <c r="E239" t="s">
        <v>146</v>
      </c>
      <c r="F239">
        <v>0</v>
      </c>
      <c r="G239" s="10">
        <v>35549</v>
      </c>
      <c r="H239">
        <v>21</v>
      </c>
      <c r="I239" t="s">
        <v>2035</v>
      </c>
      <c r="J239" t="s">
        <v>1824</v>
      </c>
      <c r="K239">
        <v>4</v>
      </c>
      <c r="L239">
        <v>5</v>
      </c>
      <c r="M239">
        <v>2</v>
      </c>
      <c r="N239">
        <v>7</v>
      </c>
      <c r="O239">
        <v>6</v>
      </c>
      <c r="P239">
        <v>10</v>
      </c>
      <c r="Q239">
        <v>10</v>
      </c>
      <c r="R239">
        <v>10</v>
      </c>
      <c r="S239" t="s">
        <v>2027</v>
      </c>
      <c r="T239" t="s">
        <v>2027</v>
      </c>
      <c r="U239" t="s">
        <v>2027</v>
      </c>
      <c r="V239" t="s">
        <v>2027</v>
      </c>
      <c r="W239" t="s">
        <v>2027</v>
      </c>
      <c r="X239">
        <v>4</v>
      </c>
      <c r="Y239" t="s">
        <v>2027</v>
      </c>
      <c r="Z239">
        <v>7</v>
      </c>
      <c r="AA239">
        <v>2</v>
      </c>
      <c r="AB239">
        <v>1</v>
      </c>
      <c r="AC239">
        <v>8</v>
      </c>
    </row>
    <row r="240" spans="1:29">
      <c r="A240" t="str">
        <f t="shared" si="3"/>
        <v>3BScott Coleman21</v>
      </c>
      <c r="B240">
        <v>6555</v>
      </c>
      <c r="C240">
        <v>444</v>
      </c>
      <c r="D240" t="s">
        <v>1874</v>
      </c>
      <c r="E240" t="s">
        <v>534</v>
      </c>
      <c r="F240">
        <v>0</v>
      </c>
      <c r="G240" s="10">
        <v>35523</v>
      </c>
      <c r="H240">
        <v>21</v>
      </c>
      <c r="I240" t="s">
        <v>2061</v>
      </c>
      <c r="J240" t="s">
        <v>1824</v>
      </c>
      <c r="K240">
        <v>4</v>
      </c>
      <c r="L240">
        <v>5</v>
      </c>
      <c r="M240">
        <v>2</v>
      </c>
      <c r="N240">
        <v>6</v>
      </c>
      <c r="O240">
        <v>4</v>
      </c>
      <c r="P240">
        <v>5</v>
      </c>
      <c r="Q240">
        <v>9</v>
      </c>
      <c r="R240">
        <v>8</v>
      </c>
      <c r="S240" t="s">
        <v>2027</v>
      </c>
      <c r="T240" t="s">
        <v>2027</v>
      </c>
      <c r="U240">
        <v>3</v>
      </c>
      <c r="V240">
        <v>7</v>
      </c>
      <c r="W240">
        <v>4</v>
      </c>
      <c r="X240" t="s">
        <v>2027</v>
      </c>
      <c r="Y240" t="s">
        <v>2027</v>
      </c>
      <c r="Z240" t="s">
        <v>2027</v>
      </c>
      <c r="AA240">
        <v>1</v>
      </c>
      <c r="AB240">
        <v>5</v>
      </c>
      <c r="AC240">
        <v>1</v>
      </c>
    </row>
    <row r="241" spans="1:29">
      <c r="A241" t="str">
        <f t="shared" si="3"/>
        <v>CFAlejandro Fierro21</v>
      </c>
      <c r="B241">
        <v>6169</v>
      </c>
      <c r="C241">
        <v>364</v>
      </c>
      <c r="D241" t="s">
        <v>1876</v>
      </c>
      <c r="E241" t="s">
        <v>549</v>
      </c>
      <c r="F241">
        <v>0</v>
      </c>
      <c r="G241" s="10">
        <v>35232</v>
      </c>
      <c r="H241">
        <v>21</v>
      </c>
      <c r="I241" t="s">
        <v>2079</v>
      </c>
      <c r="J241" t="s">
        <v>1824</v>
      </c>
      <c r="K241">
        <v>4</v>
      </c>
      <c r="L241">
        <v>8</v>
      </c>
      <c r="M241">
        <v>2</v>
      </c>
      <c r="N241">
        <v>6</v>
      </c>
      <c r="O241">
        <v>5</v>
      </c>
      <c r="P241">
        <v>7</v>
      </c>
      <c r="Q241">
        <v>9</v>
      </c>
      <c r="R241">
        <v>10</v>
      </c>
      <c r="S241" t="s">
        <v>2027</v>
      </c>
      <c r="T241" t="s">
        <v>2027</v>
      </c>
      <c r="U241" t="s">
        <v>2027</v>
      </c>
      <c r="V241" t="s">
        <v>2027</v>
      </c>
      <c r="W241" t="s">
        <v>2027</v>
      </c>
      <c r="X241">
        <v>6</v>
      </c>
      <c r="Y241">
        <v>3</v>
      </c>
      <c r="Z241">
        <v>6</v>
      </c>
      <c r="AA241">
        <v>2</v>
      </c>
      <c r="AB241">
        <v>1</v>
      </c>
      <c r="AC241">
        <v>4</v>
      </c>
    </row>
    <row r="242" spans="1:29">
      <c r="A242" t="str">
        <f t="shared" si="3"/>
        <v>LFSean Greene21</v>
      </c>
      <c r="B242">
        <v>3456</v>
      </c>
      <c r="C242">
        <v>273</v>
      </c>
      <c r="D242" t="s">
        <v>1687</v>
      </c>
      <c r="E242" t="s">
        <v>343</v>
      </c>
      <c r="F242">
        <v>0</v>
      </c>
      <c r="G242" s="10">
        <v>35313</v>
      </c>
      <c r="H242">
        <v>21</v>
      </c>
      <c r="I242" t="s">
        <v>2035</v>
      </c>
      <c r="J242" t="s">
        <v>2021</v>
      </c>
      <c r="K242">
        <v>4</v>
      </c>
      <c r="L242">
        <v>4</v>
      </c>
      <c r="M242">
        <v>2</v>
      </c>
      <c r="N242">
        <v>6</v>
      </c>
      <c r="O242">
        <v>6</v>
      </c>
      <c r="P242">
        <v>5</v>
      </c>
      <c r="Q242">
        <v>1</v>
      </c>
      <c r="R242">
        <v>1</v>
      </c>
      <c r="S242" t="s">
        <v>2027</v>
      </c>
      <c r="T242">
        <v>3</v>
      </c>
      <c r="U242" t="s">
        <v>2027</v>
      </c>
      <c r="V242" t="s">
        <v>2027</v>
      </c>
      <c r="W242" t="s">
        <v>2027</v>
      </c>
      <c r="X242">
        <v>5</v>
      </c>
      <c r="Y242">
        <v>1</v>
      </c>
      <c r="Z242">
        <v>3</v>
      </c>
      <c r="AA242">
        <v>2</v>
      </c>
      <c r="AB242">
        <v>3</v>
      </c>
      <c r="AC242">
        <v>5</v>
      </c>
    </row>
    <row r="243" spans="1:29">
      <c r="A243" t="str">
        <f t="shared" si="3"/>
        <v>2BErrol Walker20</v>
      </c>
      <c r="B243">
        <v>7303</v>
      </c>
      <c r="C243">
        <v>408</v>
      </c>
      <c r="D243" t="s">
        <v>356</v>
      </c>
      <c r="E243" t="s">
        <v>1952</v>
      </c>
      <c r="F243">
        <v>0</v>
      </c>
      <c r="G243" s="10">
        <v>35582</v>
      </c>
      <c r="H243">
        <v>20</v>
      </c>
      <c r="I243" t="s">
        <v>2069</v>
      </c>
      <c r="J243" t="s">
        <v>1824</v>
      </c>
      <c r="K243">
        <v>4</v>
      </c>
      <c r="L243">
        <v>8</v>
      </c>
      <c r="M243">
        <v>2</v>
      </c>
      <c r="N243">
        <v>6</v>
      </c>
      <c r="O243">
        <v>6</v>
      </c>
      <c r="P243">
        <v>7</v>
      </c>
      <c r="Q243">
        <v>4</v>
      </c>
      <c r="R243">
        <v>8</v>
      </c>
      <c r="S243" t="s">
        <v>2027</v>
      </c>
      <c r="T243" t="s">
        <v>2027</v>
      </c>
      <c r="U243">
        <v>7</v>
      </c>
      <c r="V243" t="s">
        <v>2027</v>
      </c>
      <c r="W243" t="s">
        <v>2027</v>
      </c>
      <c r="X243" t="s">
        <v>2027</v>
      </c>
      <c r="Y243" t="s">
        <v>2027</v>
      </c>
      <c r="Z243" t="s">
        <v>2027</v>
      </c>
      <c r="AA243">
        <v>2</v>
      </c>
      <c r="AB243">
        <v>3</v>
      </c>
      <c r="AC243">
        <v>4</v>
      </c>
    </row>
    <row r="244" spans="1:29">
      <c r="A244" t="str">
        <f t="shared" si="3"/>
        <v>3BHenry Williams18</v>
      </c>
      <c r="B244">
        <v>13815</v>
      </c>
      <c r="C244">
        <v>504</v>
      </c>
      <c r="D244" t="s">
        <v>1847</v>
      </c>
      <c r="E244" t="s">
        <v>1905</v>
      </c>
      <c r="F244">
        <v>0</v>
      </c>
      <c r="G244" s="10">
        <v>36615</v>
      </c>
      <c r="H244">
        <v>18</v>
      </c>
      <c r="I244" t="s">
        <v>2061</v>
      </c>
      <c r="J244" t="s">
        <v>1824</v>
      </c>
      <c r="K244">
        <v>4</v>
      </c>
      <c r="L244">
        <v>4</v>
      </c>
      <c r="M244">
        <v>2</v>
      </c>
      <c r="N244">
        <v>6</v>
      </c>
      <c r="O244">
        <v>7</v>
      </c>
      <c r="P244">
        <v>5</v>
      </c>
      <c r="Q244">
        <v>3</v>
      </c>
      <c r="R244">
        <v>3</v>
      </c>
      <c r="S244" t="s">
        <v>2027</v>
      </c>
      <c r="T244" t="s">
        <v>2027</v>
      </c>
      <c r="U244">
        <v>1</v>
      </c>
      <c r="V244">
        <v>3</v>
      </c>
      <c r="W244">
        <v>5</v>
      </c>
      <c r="X244" t="s">
        <v>2027</v>
      </c>
      <c r="Y244" t="s">
        <v>2027</v>
      </c>
      <c r="Z244" t="s">
        <v>2027</v>
      </c>
      <c r="AA244">
        <v>1</v>
      </c>
      <c r="AB244">
        <v>8</v>
      </c>
      <c r="AC244">
        <v>5</v>
      </c>
    </row>
    <row r="245" spans="1:29">
      <c r="A245" t="str">
        <f t="shared" si="3"/>
        <v>2BDennis Normand18</v>
      </c>
      <c r="B245">
        <v>13833</v>
      </c>
      <c r="C245">
        <v>484</v>
      </c>
      <c r="D245" t="s">
        <v>1930</v>
      </c>
      <c r="E245" t="s">
        <v>481</v>
      </c>
      <c r="F245">
        <v>0</v>
      </c>
      <c r="G245" s="10">
        <v>36617</v>
      </c>
      <c r="H245">
        <v>18</v>
      </c>
      <c r="I245" t="s">
        <v>2069</v>
      </c>
      <c r="J245" t="s">
        <v>1824</v>
      </c>
      <c r="K245">
        <v>4</v>
      </c>
      <c r="L245">
        <v>5</v>
      </c>
      <c r="M245">
        <v>2</v>
      </c>
      <c r="N245">
        <v>5</v>
      </c>
      <c r="O245">
        <v>7</v>
      </c>
      <c r="P245">
        <v>10</v>
      </c>
      <c r="Q245">
        <v>8</v>
      </c>
      <c r="R245">
        <v>9</v>
      </c>
      <c r="S245" t="s">
        <v>2027</v>
      </c>
      <c r="T245">
        <v>1</v>
      </c>
      <c r="U245">
        <v>3</v>
      </c>
      <c r="V245" t="s">
        <v>2027</v>
      </c>
      <c r="W245" t="s">
        <v>2027</v>
      </c>
      <c r="X245" t="s">
        <v>2027</v>
      </c>
      <c r="Y245" t="s">
        <v>2027</v>
      </c>
      <c r="Z245" t="s">
        <v>2027</v>
      </c>
      <c r="AA245">
        <v>1</v>
      </c>
      <c r="AB245">
        <v>2</v>
      </c>
      <c r="AC245">
        <v>5</v>
      </c>
    </row>
    <row r="246" spans="1:29">
      <c r="A246" t="str">
        <f t="shared" si="3"/>
        <v>LFSalvador Vel·squez18</v>
      </c>
      <c r="B246">
        <v>610</v>
      </c>
      <c r="C246">
        <v>473</v>
      </c>
      <c r="D246" t="s">
        <v>1682</v>
      </c>
      <c r="E246" t="s">
        <v>147</v>
      </c>
      <c r="F246">
        <v>0</v>
      </c>
      <c r="G246" s="10">
        <v>36354</v>
      </c>
      <c r="H246">
        <v>18</v>
      </c>
      <c r="I246" t="s">
        <v>2035</v>
      </c>
      <c r="J246" t="s">
        <v>1824</v>
      </c>
      <c r="K246">
        <v>4</v>
      </c>
      <c r="L246">
        <v>5</v>
      </c>
      <c r="M246">
        <v>2</v>
      </c>
      <c r="N246">
        <v>5</v>
      </c>
      <c r="O246">
        <v>4</v>
      </c>
      <c r="P246">
        <v>10</v>
      </c>
      <c r="Q246">
        <v>8</v>
      </c>
      <c r="R246">
        <v>10</v>
      </c>
      <c r="S246" t="s">
        <v>2027</v>
      </c>
      <c r="T246" t="s">
        <v>2027</v>
      </c>
      <c r="U246" t="s">
        <v>2027</v>
      </c>
      <c r="V246" t="s">
        <v>2027</v>
      </c>
      <c r="W246" t="s">
        <v>2027</v>
      </c>
      <c r="X246">
        <v>2</v>
      </c>
      <c r="Y246" t="s">
        <v>2027</v>
      </c>
      <c r="Z246">
        <v>3</v>
      </c>
      <c r="AA246">
        <v>1</v>
      </c>
      <c r="AB246">
        <v>1</v>
      </c>
      <c r="AC246">
        <v>5</v>
      </c>
    </row>
    <row r="247" spans="1:29">
      <c r="A247" t="str">
        <f t="shared" si="3"/>
        <v>2BEduardo Murillo18</v>
      </c>
      <c r="B247">
        <v>13846</v>
      </c>
      <c r="C247">
        <v>447</v>
      </c>
      <c r="D247" t="s">
        <v>1899</v>
      </c>
      <c r="E247" t="s">
        <v>458</v>
      </c>
      <c r="F247">
        <v>0</v>
      </c>
      <c r="G247" s="10">
        <v>36574</v>
      </c>
      <c r="H247">
        <v>18</v>
      </c>
      <c r="I247" t="s">
        <v>2069</v>
      </c>
      <c r="J247" t="s">
        <v>1824</v>
      </c>
      <c r="K247">
        <v>4</v>
      </c>
      <c r="L247">
        <v>5</v>
      </c>
      <c r="M247">
        <v>2</v>
      </c>
      <c r="N247">
        <v>4</v>
      </c>
      <c r="O247">
        <v>8</v>
      </c>
      <c r="P247">
        <v>8</v>
      </c>
      <c r="Q247">
        <v>9</v>
      </c>
      <c r="R247">
        <v>7</v>
      </c>
      <c r="S247" t="s">
        <v>2027</v>
      </c>
      <c r="T247" t="s">
        <v>2027</v>
      </c>
      <c r="U247">
        <v>2</v>
      </c>
      <c r="V247">
        <v>3</v>
      </c>
      <c r="W247">
        <v>5</v>
      </c>
      <c r="X247" t="s">
        <v>2027</v>
      </c>
      <c r="Y247" t="s">
        <v>2027</v>
      </c>
      <c r="Z247" t="s">
        <v>2027</v>
      </c>
      <c r="AA247">
        <v>1</v>
      </c>
      <c r="AB247">
        <v>4</v>
      </c>
      <c r="AC247">
        <v>7</v>
      </c>
    </row>
    <row r="248" spans="1:29">
      <c r="A248" t="str">
        <f t="shared" si="3"/>
        <v>3BCharlie O'Neill21</v>
      </c>
      <c r="B248">
        <v>2328</v>
      </c>
      <c r="C248">
        <v>507</v>
      </c>
      <c r="D248" t="s">
        <v>1756</v>
      </c>
      <c r="E248" t="s">
        <v>310</v>
      </c>
      <c r="F248">
        <v>0</v>
      </c>
      <c r="G248" s="10">
        <v>35294</v>
      </c>
      <c r="H248">
        <v>21</v>
      </c>
      <c r="I248" t="s">
        <v>2061</v>
      </c>
      <c r="J248" t="s">
        <v>1824</v>
      </c>
      <c r="K248">
        <v>4</v>
      </c>
      <c r="L248">
        <v>3</v>
      </c>
      <c r="M248">
        <v>2</v>
      </c>
      <c r="N248">
        <v>4</v>
      </c>
      <c r="O248">
        <v>4</v>
      </c>
      <c r="P248">
        <v>5</v>
      </c>
      <c r="Q248">
        <v>2</v>
      </c>
      <c r="R248">
        <v>2</v>
      </c>
      <c r="S248" t="s">
        <v>2027</v>
      </c>
      <c r="T248" t="s">
        <v>2027</v>
      </c>
      <c r="U248" t="s">
        <v>2027</v>
      </c>
      <c r="V248">
        <v>7</v>
      </c>
      <c r="W248">
        <v>2</v>
      </c>
      <c r="X248" t="s">
        <v>2027</v>
      </c>
      <c r="Y248" t="s">
        <v>2027</v>
      </c>
      <c r="Z248" t="s">
        <v>2027</v>
      </c>
      <c r="AA248">
        <v>2</v>
      </c>
      <c r="AB248">
        <v>5</v>
      </c>
      <c r="AC248">
        <v>1</v>
      </c>
    </row>
    <row r="249" spans="1:29">
      <c r="A249" t="str">
        <f t="shared" si="3"/>
        <v>C-Luis Ortega21</v>
      </c>
      <c r="B249">
        <v>8261</v>
      </c>
      <c r="C249">
        <v>505</v>
      </c>
      <c r="D249" t="s">
        <v>1826</v>
      </c>
      <c r="E249" t="s">
        <v>1948</v>
      </c>
      <c r="F249">
        <v>0</v>
      </c>
      <c r="G249" s="10">
        <v>35515</v>
      </c>
      <c r="H249">
        <v>21</v>
      </c>
      <c r="I249" t="s">
        <v>2091</v>
      </c>
      <c r="J249" t="s">
        <v>1824</v>
      </c>
      <c r="K249">
        <v>4</v>
      </c>
      <c r="L249">
        <v>4</v>
      </c>
      <c r="M249">
        <v>2</v>
      </c>
      <c r="N249">
        <v>4</v>
      </c>
      <c r="O249">
        <v>7</v>
      </c>
      <c r="P249">
        <v>1</v>
      </c>
      <c r="Q249">
        <v>1</v>
      </c>
      <c r="R249">
        <v>1</v>
      </c>
      <c r="S249">
        <v>4</v>
      </c>
      <c r="T249" t="s">
        <v>2027</v>
      </c>
      <c r="U249" t="s">
        <v>2027</v>
      </c>
      <c r="V249" t="s">
        <v>2027</v>
      </c>
      <c r="W249" t="s">
        <v>2027</v>
      </c>
      <c r="X249" t="s">
        <v>2027</v>
      </c>
      <c r="Y249" t="s">
        <v>2027</v>
      </c>
      <c r="Z249" t="s">
        <v>2027</v>
      </c>
      <c r="AA249">
        <v>5</v>
      </c>
      <c r="AB249">
        <v>4</v>
      </c>
      <c r="AC249">
        <v>6</v>
      </c>
    </row>
    <row r="250" spans="1:29">
      <c r="A250" t="str">
        <f t="shared" si="3"/>
        <v>2BEdgar OrtÌz21</v>
      </c>
      <c r="B250">
        <v>3687</v>
      </c>
      <c r="C250">
        <v>467</v>
      </c>
      <c r="D250" t="s">
        <v>1737</v>
      </c>
      <c r="E250" t="s">
        <v>134</v>
      </c>
      <c r="F250">
        <v>0</v>
      </c>
      <c r="G250" s="10">
        <v>35272</v>
      </c>
      <c r="H250">
        <v>21</v>
      </c>
      <c r="I250" t="s">
        <v>2069</v>
      </c>
      <c r="J250" t="s">
        <v>1824</v>
      </c>
      <c r="K250">
        <v>4</v>
      </c>
      <c r="L250">
        <v>2</v>
      </c>
      <c r="M250">
        <v>2</v>
      </c>
      <c r="N250">
        <v>4</v>
      </c>
      <c r="O250">
        <v>7</v>
      </c>
      <c r="P250">
        <v>9</v>
      </c>
      <c r="Q250">
        <v>7</v>
      </c>
      <c r="R250">
        <v>5</v>
      </c>
      <c r="S250" t="s">
        <v>2027</v>
      </c>
      <c r="T250" t="s">
        <v>2027</v>
      </c>
      <c r="U250">
        <v>3</v>
      </c>
      <c r="V250">
        <v>2</v>
      </c>
      <c r="W250" t="s">
        <v>2027</v>
      </c>
      <c r="X250" t="s">
        <v>2027</v>
      </c>
      <c r="Y250" t="s">
        <v>2027</v>
      </c>
      <c r="Z250" t="s">
        <v>2027</v>
      </c>
      <c r="AA250">
        <v>2</v>
      </c>
      <c r="AB250">
        <v>4</v>
      </c>
      <c r="AC250">
        <v>7</v>
      </c>
    </row>
    <row r="251" spans="1:29">
      <c r="A251" t="str">
        <f t="shared" si="3"/>
        <v>3BRoberto Villegas18</v>
      </c>
      <c r="B251">
        <v>13825</v>
      </c>
      <c r="C251">
        <v>485</v>
      </c>
      <c r="D251" t="s">
        <v>471</v>
      </c>
      <c r="E251" t="s">
        <v>472</v>
      </c>
      <c r="F251">
        <v>0</v>
      </c>
      <c r="G251" s="10">
        <v>36665</v>
      </c>
      <c r="H251">
        <v>18</v>
      </c>
      <c r="I251" t="s">
        <v>2061</v>
      </c>
      <c r="J251" t="s">
        <v>1824</v>
      </c>
      <c r="K251">
        <v>4</v>
      </c>
      <c r="L251">
        <v>6</v>
      </c>
      <c r="M251">
        <v>2</v>
      </c>
      <c r="N251">
        <v>4</v>
      </c>
      <c r="O251">
        <v>7</v>
      </c>
      <c r="P251">
        <v>3</v>
      </c>
      <c r="Q251">
        <v>4</v>
      </c>
      <c r="R251">
        <v>3</v>
      </c>
      <c r="S251" t="s">
        <v>2027</v>
      </c>
      <c r="T251" t="s">
        <v>2027</v>
      </c>
      <c r="U251" t="s">
        <v>2027</v>
      </c>
      <c r="V251">
        <v>4</v>
      </c>
      <c r="W251" t="s">
        <v>2027</v>
      </c>
      <c r="X251" t="s">
        <v>2027</v>
      </c>
      <c r="Y251" t="s">
        <v>2027</v>
      </c>
      <c r="Z251" t="s">
        <v>2027</v>
      </c>
      <c r="AA251">
        <v>2</v>
      </c>
      <c r="AB251">
        <v>7</v>
      </c>
      <c r="AC251">
        <v>5</v>
      </c>
    </row>
    <row r="252" spans="1:29">
      <c r="A252" t="str">
        <f t="shared" si="3"/>
        <v>CFPhillip McDonald18</v>
      </c>
      <c r="B252">
        <v>13800</v>
      </c>
      <c r="C252">
        <v>511</v>
      </c>
      <c r="D252" t="s">
        <v>322</v>
      </c>
      <c r="E252" t="s">
        <v>303</v>
      </c>
      <c r="F252">
        <v>0</v>
      </c>
      <c r="G252" s="10">
        <v>36607</v>
      </c>
      <c r="H252">
        <v>18</v>
      </c>
      <c r="I252" t="s">
        <v>2079</v>
      </c>
      <c r="J252" t="s">
        <v>1824</v>
      </c>
      <c r="K252">
        <v>4</v>
      </c>
      <c r="L252">
        <v>4</v>
      </c>
      <c r="M252">
        <v>2</v>
      </c>
      <c r="N252">
        <v>3</v>
      </c>
      <c r="O252">
        <v>6</v>
      </c>
      <c r="P252">
        <v>6</v>
      </c>
      <c r="Q252">
        <v>7</v>
      </c>
      <c r="R252">
        <v>5</v>
      </c>
      <c r="S252" t="s">
        <v>2027</v>
      </c>
      <c r="T252">
        <v>1</v>
      </c>
      <c r="U252" t="s">
        <v>2027</v>
      </c>
      <c r="V252" t="s">
        <v>2027</v>
      </c>
      <c r="W252" t="s">
        <v>2027</v>
      </c>
      <c r="X252">
        <v>1</v>
      </c>
      <c r="Y252">
        <v>1</v>
      </c>
      <c r="Z252">
        <v>2</v>
      </c>
      <c r="AA252">
        <v>1</v>
      </c>
      <c r="AB252">
        <v>1</v>
      </c>
      <c r="AC252">
        <v>9</v>
      </c>
    </row>
    <row r="253" spans="1:29">
      <c r="A253" t="str">
        <f t="shared" si="3"/>
        <v>2BNick Preston18</v>
      </c>
      <c r="B253">
        <v>13819</v>
      </c>
      <c r="C253">
        <v>491</v>
      </c>
      <c r="D253" t="s">
        <v>1713</v>
      </c>
      <c r="E253" t="s">
        <v>342</v>
      </c>
      <c r="F253">
        <v>0</v>
      </c>
      <c r="G253" s="10">
        <v>36527</v>
      </c>
      <c r="H253">
        <v>18</v>
      </c>
      <c r="I253" t="s">
        <v>2069</v>
      </c>
      <c r="J253" t="s">
        <v>1824</v>
      </c>
      <c r="K253">
        <v>4</v>
      </c>
      <c r="L253">
        <v>4</v>
      </c>
      <c r="M253">
        <v>2</v>
      </c>
      <c r="N253">
        <v>3</v>
      </c>
      <c r="O253">
        <v>7</v>
      </c>
      <c r="P253">
        <v>6</v>
      </c>
      <c r="Q253">
        <v>5</v>
      </c>
      <c r="R253">
        <v>3</v>
      </c>
      <c r="S253" t="s">
        <v>2027</v>
      </c>
      <c r="T253" t="s">
        <v>2027</v>
      </c>
      <c r="U253">
        <v>2</v>
      </c>
      <c r="V253" t="s">
        <v>2027</v>
      </c>
      <c r="W253" t="s">
        <v>2027</v>
      </c>
      <c r="X253" t="s">
        <v>2027</v>
      </c>
      <c r="Y253" t="s">
        <v>2027</v>
      </c>
      <c r="Z253" t="s">
        <v>2027</v>
      </c>
      <c r="AA253">
        <v>1</v>
      </c>
      <c r="AB253">
        <v>3</v>
      </c>
      <c r="AC253">
        <v>6</v>
      </c>
    </row>
    <row r="254" spans="1:29">
      <c r="A254" t="str">
        <f t="shared" si="3"/>
        <v>LFNoritoshi Rin21</v>
      </c>
      <c r="B254">
        <v>3521</v>
      </c>
      <c r="C254">
        <v>451</v>
      </c>
      <c r="D254" t="s">
        <v>290</v>
      </c>
      <c r="E254" t="s">
        <v>291</v>
      </c>
      <c r="F254">
        <v>0</v>
      </c>
      <c r="G254" s="10">
        <v>35423</v>
      </c>
      <c r="H254">
        <v>21</v>
      </c>
      <c r="I254" t="s">
        <v>2035</v>
      </c>
      <c r="J254" t="s">
        <v>1824</v>
      </c>
      <c r="K254">
        <v>4</v>
      </c>
      <c r="L254">
        <v>7</v>
      </c>
      <c r="M254">
        <v>2</v>
      </c>
      <c r="N254">
        <v>2</v>
      </c>
      <c r="O254">
        <v>6</v>
      </c>
      <c r="P254">
        <v>5</v>
      </c>
      <c r="Q254">
        <v>9</v>
      </c>
      <c r="R254">
        <v>7</v>
      </c>
      <c r="S254" t="s">
        <v>2027</v>
      </c>
      <c r="T254">
        <v>1</v>
      </c>
      <c r="U254" t="s">
        <v>2027</v>
      </c>
      <c r="V254" t="s">
        <v>2027</v>
      </c>
      <c r="W254" t="s">
        <v>2027</v>
      </c>
      <c r="X254">
        <v>5</v>
      </c>
      <c r="Y254">
        <v>1</v>
      </c>
      <c r="Z254">
        <v>4</v>
      </c>
      <c r="AA254">
        <v>1</v>
      </c>
      <c r="AB254">
        <v>1</v>
      </c>
      <c r="AC254">
        <v>8</v>
      </c>
    </row>
    <row r="255" spans="1:29">
      <c r="A255" t="str">
        <f t="shared" si="3"/>
        <v>C-Wu-han Khoo21</v>
      </c>
      <c r="B255">
        <v>3109</v>
      </c>
      <c r="C255">
        <v>474</v>
      </c>
      <c r="D255" t="s">
        <v>522</v>
      </c>
      <c r="E255" t="s">
        <v>523</v>
      </c>
      <c r="F255">
        <v>0</v>
      </c>
      <c r="G255" s="10">
        <v>35303</v>
      </c>
      <c r="H255">
        <v>21</v>
      </c>
      <c r="I255" t="s">
        <v>2091</v>
      </c>
      <c r="J255" t="s">
        <v>1824</v>
      </c>
      <c r="K255">
        <v>4</v>
      </c>
      <c r="L255">
        <v>5</v>
      </c>
      <c r="M255">
        <v>1</v>
      </c>
      <c r="N255">
        <v>7</v>
      </c>
      <c r="O255">
        <v>6</v>
      </c>
      <c r="P255">
        <v>2</v>
      </c>
      <c r="Q255">
        <v>4</v>
      </c>
      <c r="R255">
        <v>5</v>
      </c>
      <c r="S255">
        <v>4</v>
      </c>
      <c r="T255" t="s">
        <v>2027</v>
      </c>
      <c r="U255" t="s">
        <v>2027</v>
      </c>
      <c r="V255" t="s">
        <v>2027</v>
      </c>
      <c r="W255" t="s">
        <v>2027</v>
      </c>
      <c r="X255" t="s">
        <v>2027</v>
      </c>
      <c r="Y255" t="s">
        <v>2027</v>
      </c>
      <c r="Z255" t="s">
        <v>2027</v>
      </c>
      <c r="AA255">
        <v>4</v>
      </c>
      <c r="AB255">
        <v>2</v>
      </c>
      <c r="AC255">
        <v>4</v>
      </c>
    </row>
    <row r="256" spans="1:29">
      <c r="A256" t="str">
        <f t="shared" si="3"/>
        <v>CFZdenek Bucek21</v>
      </c>
      <c r="B256">
        <v>6919</v>
      </c>
      <c r="C256">
        <v>34</v>
      </c>
      <c r="D256" t="s">
        <v>482</v>
      </c>
      <c r="E256" t="s">
        <v>483</v>
      </c>
      <c r="F256">
        <v>0</v>
      </c>
      <c r="G256" s="10">
        <v>35424</v>
      </c>
      <c r="H256">
        <v>21</v>
      </c>
      <c r="I256" t="s">
        <v>2079</v>
      </c>
      <c r="J256" t="s">
        <v>1824</v>
      </c>
      <c r="K256">
        <v>4</v>
      </c>
      <c r="L256">
        <v>6</v>
      </c>
      <c r="M256">
        <v>1</v>
      </c>
      <c r="N256">
        <v>6</v>
      </c>
      <c r="O256">
        <v>7</v>
      </c>
      <c r="P256">
        <v>6</v>
      </c>
      <c r="Q256">
        <v>7</v>
      </c>
      <c r="R256">
        <v>7</v>
      </c>
      <c r="S256" t="s">
        <v>2027</v>
      </c>
      <c r="T256" t="s">
        <v>2027</v>
      </c>
      <c r="U256" t="s">
        <v>2027</v>
      </c>
      <c r="V256" t="s">
        <v>2027</v>
      </c>
      <c r="W256" t="s">
        <v>2027</v>
      </c>
      <c r="X256">
        <v>8</v>
      </c>
      <c r="Y256">
        <v>10</v>
      </c>
      <c r="Z256">
        <v>2</v>
      </c>
      <c r="AA256">
        <v>1</v>
      </c>
      <c r="AB256">
        <v>1</v>
      </c>
      <c r="AC256">
        <v>8</v>
      </c>
    </row>
    <row r="257" spans="1:29">
      <c r="A257" t="str">
        <f t="shared" si="3"/>
        <v>LFMario Gonz·les21</v>
      </c>
      <c r="B257">
        <v>2374</v>
      </c>
      <c r="C257">
        <v>456</v>
      </c>
      <c r="D257" t="s">
        <v>1925</v>
      </c>
      <c r="E257" t="s">
        <v>133</v>
      </c>
      <c r="F257">
        <v>0</v>
      </c>
      <c r="G257" s="10">
        <v>35400</v>
      </c>
      <c r="H257">
        <v>21</v>
      </c>
      <c r="I257" t="s">
        <v>2035</v>
      </c>
      <c r="J257" t="s">
        <v>1824</v>
      </c>
      <c r="K257">
        <v>4</v>
      </c>
      <c r="L257">
        <v>6</v>
      </c>
      <c r="M257">
        <v>1</v>
      </c>
      <c r="N257">
        <v>6</v>
      </c>
      <c r="O257">
        <v>5</v>
      </c>
      <c r="P257">
        <v>5</v>
      </c>
      <c r="Q257">
        <v>9</v>
      </c>
      <c r="R257">
        <v>7</v>
      </c>
      <c r="S257" t="s">
        <v>2027</v>
      </c>
      <c r="T257" t="s">
        <v>2027</v>
      </c>
      <c r="U257" t="s">
        <v>2027</v>
      </c>
      <c r="V257" t="s">
        <v>2027</v>
      </c>
      <c r="W257" t="s">
        <v>2027</v>
      </c>
      <c r="X257">
        <v>3</v>
      </c>
      <c r="Y257">
        <v>3</v>
      </c>
      <c r="Z257">
        <v>4</v>
      </c>
      <c r="AA257">
        <v>1</v>
      </c>
      <c r="AB257">
        <v>1</v>
      </c>
      <c r="AC257">
        <v>5</v>
      </c>
    </row>
    <row r="258" spans="1:29">
      <c r="A258" t="str">
        <f t="shared" si="3"/>
        <v>RFWill Smith18</v>
      </c>
      <c r="B258">
        <v>270</v>
      </c>
      <c r="C258">
        <v>482</v>
      </c>
      <c r="D258" t="s">
        <v>544</v>
      </c>
      <c r="E258" t="s">
        <v>1891</v>
      </c>
      <c r="F258">
        <v>0</v>
      </c>
      <c r="G258" s="10">
        <v>36518</v>
      </c>
      <c r="H258">
        <v>18</v>
      </c>
      <c r="I258" t="s">
        <v>2057</v>
      </c>
      <c r="J258" t="s">
        <v>1824</v>
      </c>
      <c r="K258">
        <v>4</v>
      </c>
      <c r="L258">
        <v>3</v>
      </c>
      <c r="M258">
        <v>1</v>
      </c>
      <c r="N258">
        <v>6</v>
      </c>
      <c r="O258">
        <v>5</v>
      </c>
      <c r="P258">
        <v>10</v>
      </c>
      <c r="Q258">
        <v>10</v>
      </c>
      <c r="R258">
        <v>7</v>
      </c>
      <c r="S258" t="s">
        <v>2027</v>
      </c>
      <c r="T258" t="s">
        <v>2027</v>
      </c>
      <c r="U258" t="s">
        <v>2027</v>
      </c>
      <c r="V258" t="s">
        <v>2027</v>
      </c>
      <c r="W258" t="s">
        <v>2027</v>
      </c>
      <c r="X258">
        <v>1</v>
      </c>
      <c r="Y258">
        <v>1</v>
      </c>
      <c r="Z258">
        <v>2</v>
      </c>
      <c r="AA258">
        <v>1</v>
      </c>
      <c r="AB258">
        <v>1</v>
      </c>
      <c r="AC258">
        <v>5</v>
      </c>
    </row>
    <row r="259" spans="1:29">
      <c r="A259" t="str">
        <f t="shared" ref="A259:A288" si="4">IF(I259="C","C-",I259)&amp;D259&amp;" "&amp;E259&amp;H259</f>
        <v>2BMario Zavala21</v>
      </c>
      <c r="B259">
        <v>2719</v>
      </c>
      <c r="C259">
        <v>242</v>
      </c>
      <c r="D259" t="s">
        <v>1925</v>
      </c>
      <c r="E259" t="s">
        <v>515</v>
      </c>
      <c r="F259">
        <v>0</v>
      </c>
      <c r="G259" s="10">
        <v>35279</v>
      </c>
      <c r="H259">
        <v>21</v>
      </c>
      <c r="I259" t="s">
        <v>2069</v>
      </c>
      <c r="J259" t="s">
        <v>2032</v>
      </c>
      <c r="K259">
        <v>4</v>
      </c>
      <c r="L259">
        <v>10</v>
      </c>
      <c r="M259">
        <v>1</v>
      </c>
      <c r="N259">
        <v>6</v>
      </c>
      <c r="O259">
        <v>7</v>
      </c>
      <c r="P259">
        <v>7</v>
      </c>
      <c r="Q259">
        <v>7</v>
      </c>
      <c r="R259">
        <v>10</v>
      </c>
      <c r="S259" t="s">
        <v>2027</v>
      </c>
      <c r="T259" t="s">
        <v>2027</v>
      </c>
      <c r="U259">
        <v>8</v>
      </c>
      <c r="V259">
        <v>6</v>
      </c>
      <c r="W259" t="s">
        <v>2027</v>
      </c>
      <c r="X259" t="s">
        <v>2027</v>
      </c>
      <c r="Y259" t="s">
        <v>2027</v>
      </c>
      <c r="Z259" t="s">
        <v>2027</v>
      </c>
      <c r="AA259">
        <v>1</v>
      </c>
      <c r="AB259">
        <v>3</v>
      </c>
      <c r="AC259">
        <v>5</v>
      </c>
    </row>
    <row r="260" spans="1:29">
      <c r="A260" t="str">
        <f t="shared" si="4"/>
        <v>2BAlfredo Ch·vez18</v>
      </c>
      <c r="B260">
        <v>13814</v>
      </c>
      <c r="C260">
        <v>503</v>
      </c>
      <c r="D260" t="s">
        <v>461</v>
      </c>
      <c r="E260" t="s">
        <v>148</v>
      </c>
      <c r="F260">
        <v>0</v>
      </c>
      <c r="G260" s="10">
        <v>36518</v>
      </c>
      <c r="H260">
        <v>18</v>
      </c>
      <c r="I260" t="s">
        <v>2069</v>
      </c>
      <c r="J260" t="s">
        <v>1824</v>
      </c>
      <c r="K260">
        <v>4</v>
      </c>
      <c r="L260">
        <v>6</v>
      </c>
      <c r="M260">
        <v>1</v>
      </c>
      <c r="N260">
        <v>4</v>
      </c>
      <c r="O260">
        <v>8</v>
      </c>
      <c r="P260">
        <v>3</v>
      </c>
      <c r="Q260">
        <v>5</v>
      </c>
      <c r="R260">
        <v>3</v>
      </c>
      <c r="S260" t="s">
        <v>2027</v>
      </c>
      <c r="T260">
        <v>2</v>
      </c>
      <c r="U260">
        <v>3</v>
      </c>
      <c r="V260">
        <v>2</v>
      </c>
      <c r="W260">
        <v>5</v>
      </c>
      <c r="X260" t="s">
        <v>2027</v>
      </c>
      <c r="Y260" t="s">
        <v>2027</v>
      </c>
      <c r="Z260" t="s">
        <v>2027</v>
      </c>
      <c r="AA260">
        <v>1</v>
      </c>
      <c r="AB260">
        <v>7</v>
      </c>
      <c r="AC260">
        <v>5</v>
      </c>
    </row>
    <row r="261" spans="1:29">
      <c r="A261" t="str">
        <f t="shared" si="4"/>
        <v>C-Lawrence Weston21</v>
      </c>
      <c r="B261">
        <v>5817</v>
      </c>
      <c r="C261">
        <v>518</v>
      </c>
      <c r="D261" t="s">
        <v>1748</v>
      </c>
      <c r="E261" t="s">
        <v>553</v>
      </c>
      <c r="F261">
        <v>0</v>
      </c>
      <c r="G261" s="10">
        <v>35291</v>
      </c>
      <c r="H261">
        <v>21</v>
      </c>
      <c r="I261" t="s">
        <v>2091</v>
      </c>
      <c r="J261" t="s">
        <v>1824</v>
      </c>
      <c r="K261">
        <v>4</v>
      </c>
      <c r="L261">
        <v>4</v>
      </c>
      <c r="M261">
        <v>1</v>
      </c>
      <c r="N261">
        <v>4</v>
      </c>
      <c r="O261">
        <v>5</v>
      </c>
      <c r="P261">
        <v>1</v>
      </c>
      <c r="Q261">
        <v>1</v>
      </c>
      <c r="R261">
        <v>1</v>
      </c>
      <c r="S261">
        <v>6</v>
      </c>
      <c r="T261">
        <v>1</v>
      </c>
      <c r="U261" t="s">
        <v>2027</v>
      </c>
      <c r="V261" t="s">
        <v>2027</v>
      </c>
      <c r="W261" t="s">
        <v>2027</v>
      </c>
      <c r="X261" t="s">
        <v>2027</v>
      </c>
      <c r="Y261" t="s">
        <v>2027</v>
      </c>
      <c r="Z261" t="s">
        <v>2027</v>
      </c>
      <c r="AA261">
        <v>7</v>
      </c>
      <c r="AB261">
        <v>5</v>
      </c>
      <c r="AC261">
        <v>6</v>
      </c>
    </row>
    <row r="262" spans="1:29">
      <c r="A262" t="str">
        <f t="shared" si="4"/>
        <v>CFIv·n Cruz18</v>
      </c>
      <c r="B262">
        <v>13786</v>
      </c>
      <c r="C262">
        <v>515</v>
      </c>
      <c r="D262" t="s">
        <v>149</v>
      </c>
      <c r="E262" t="s">
        <v>1755</v>
      </c>
      <c r="F262">
        <v>0</v>
      </c>
      <c r="G262" s="10">
        <v>36615</v>
      </c>
      <c r="H262">
        <v>18</v>
      </c>
      <c r="I262" t="s">
        <v>2079</v>
      </c>
      <c r="J262" t="s">
        <v>1824</v>
      </c>
      <c r="K262">
        <v>4</v>
      </c>
      <c r="L262">
        <v>4</v>
      </c>
      <c r="M262">
        <v>1</v>
      </c>
      <c r="N262">
        <v>3</v>
      </c>
      <c r="O262">
        <v>7</v>
      </c>
      <c r="P262">
        <v>4</v>
      </c>
      <c r="Q262">
        <v>4</v>
      </c>
      <c r="R262">
        <v>3</v>
      </c>
      <c r="S262" t="s">
        <v>2027</v>
      </c>
      <c r="T262" t="s">
        <v>2027</v>
      </c>
      <c r="U262" t="s">
        <v>2027</v>
      </c>
      <c r="V262" t="s">
        <v>2027</v>
      </c>
      <c r="W262" t="s">
        <v>2027</v>
      </c>
      <c r="X262">
        <v>2</v>
      </c>
      <c r="Y262">
        <v>3</v>
      </c>
      <c r="Z262">
        <v>2</v>
      </c>
      <c r="AA262">
        <v>1</v>
      </c>
      <c r="AB262">
        <v>1</v>
      </c>
      <c r="AC262">
        <v>10</v>
      </c>
    </row>
    <row r="263" spans="1:29">
      <c r="A263" t="str">
        <f t="shared" si="4"/>
        <v>2BWill Ellis18</v>
      </c>
      <c r="B263">
        <v>34</v>
      </c>
      <c r="C263">
        <v>520</v>
      </c>
      <c r="D263" t="s">
        <v>544</v>
      </c>
      <c r="E263" t="s">
        <v>545</v>
      </c>
      <c r="F263">
        <v>0</v>
      </c>
      <c r="G263" s="10">
        <v>36589</v>
      </c>
      <c r="H263">
        <v>18</v>
      </c>
      <c r="I263" t="s">
        <v>2069</v>
      </c>
      <c r="J263" t="s">
        <v>1824</v>
      </c>
      <c r="K263">
        <v>4</v>
      </c>
      <c r="L263">
        <v>4</v>
      </c>
      <c r="M263">
        <v>1</v>
      </c>
      <c r="N263">
        <v>3</v>
      </c>
      <c r="O263">
        <v>3</v>
      </c>
      <c r="P263">
        <v>7</v>
      </c>
      <c r="Q263">
        <v>6</v>
      </c>
      <c r="R263">
        <v>7</v>
      </c>
      <c r="S263" t="s">
        <v>2027</v>
      </c>
      <c r="T263" t="s">
        <v>2027</v>
      </c>
      <c r="U263">
        <v>3</v>
      </c>
      <c r="V263" t="s">
        <v>2027</v>
      </c>
      <c r="W263" t="s">
        <v>2027</v>
      </c>
      <c r="X263" t="s">
        <v>2027</v>
      </c>
      <c r="Y263" t="s">
        <v>2027</v>
      </c>
      <c r="Z263" t="s">
        <v>2027</v>
      </c>
      <c r="AA263">
        <v>1</v>
      </c>
      <c r="AB263">
        <v>1</v>
      </c>
      <c r="AC263">
        <v>1</v>
      </c>
    </row>
    <row r="264" spans="1:29">
      <c r="A264" t="str">
        <f t="shared" si="4"/>
        <v>CFMike Stewart18</v>
      </c>
      <c r="B264">
        <v>1751</v>
      </c>
      <c r="C264">
        <v>495</v>
      </c>
      <c r="D264" t="s">
        <v>1863</v>
      </c>
      <c r="E264" t="s">
        <v>1669</v>
      </c>
      <c r="F264">
        <v>0</v>
      </c>
      <c r="G264" s="10">
        <v>36555</v>
      </c>
      <c r="H264">
        <v>18</v>
      </c>
      <c r="I264" t="s">
        <v>2079</v>
      </c>
      <c r="J264" t="s">
        <v>1824</v>
      </c>
      <c r="K264">
        <v>4</v>
      </c>
      <c r="L264">
        <v>7</v>
      </c>
      <c r="M264">
        <v>1</v>
      </c>
      <c r="N264">
        <v>2</v>
      </c>
      <c r="O264">
        <v>7</v>
      </c>
      <c r="P264">
        <v>9</v>
      </c>
      <c r="Q264">
        <v>8</v>
      </c>
      <c r="R264">
        <v>10</v>
      </c>
      <c r="S264" t="s">
        <v>2027</v>
      </c>
      <c r="T264" t="s">
        <v>2027</v>
      </c>
      <c r="U264" t="s">
        <v>2027</v>
      </c>
      <c r="V264" t="s">
        <v>2027</v>
      </c>
      <c r="W264" t="s">
        <v>2027</v>
      </c>
      <c r="X264">
        <v>1</v>
      </c>
      <c r="Y264">
        <v>1</v>
      </c>
      <c r="Z264">
        <v>4</v>
      </c>
      <c r="AA264">
        <v>1</v>
      </c>
      <c r="AB264">
        <v>1</v>
      </c>
      <c r="AC264">
        <v>6</v>
      </c>
    </row>
    <row r="265" spans="1:29">
      <c r="A265" t="str">
        <f t="shared" si="4"/>
        <v>LFJerry Wicklund21</v>
      </c>
      <c r="B265">
        <v>2533</v>
      </c>
      <c r="C265">
        <v>525</v>
      </c>
      <c r="D265" t="s">
        <v>1712</v>
      </c>
      <c r="E265" t="s">
        <v>360</v>
      </c>
      <c r="F265">
        <v>0</v>
      </c>
      <c r="G265" s="10">
        <v>35474</v>
      </c>
      <c r="H265">
        <v>21</v>
      </c>
      <c r="I265" t="s">
        <v>2035</v>
      </c>
      <c r="J265" t="s">
        <v>1824</v>
      </c>
      <c r="K265">
        <v>4</v>
      </c>
      <c r="L265">
        <v>2</v>
      </c>
      <c r="M265">
        <v>1</v>
      </c>
      <c r="N265">
        <v>2</v>
      </c>
      <c r="O265">
        <v>5</v>
      </c>
      <c r="P265">
        <v>6</v>
      </c>
      <c r="Q265">
        <v>8</v>
      </c>
      <c r="R265">
        <v>7</v>
      </c>
      <c r="S265" t="s">
        <v>2027</v>
      </c>
      <c r="T265" t="s">
        <v>2027</v>
      </c>
      <c r="U265" t="s">
        <v>2027</v>
      </c>
      <c r="V265" t="s">
        <v>2027</v>
      </c>
      <c r="W265" t="s">
        <v>2027</v>
      </c>
      <c r="X265">
        <v>2</v>
      </c>
      <c r="Y265" t="s">
        <v>2027</v>
      </c>
      <c r="Z265">
        <v>3</v>
      </c>
      <c r="AA265">
        <v>1</v>
      </c>
      <c r="AB265">
        <v>1</v>
      </c>
      <c r="AC265">
        <v>6</v>
      </c>
    </row>
    <row r="266" spans="1:29">
      <c r="A266" t="str">
        <f t="shared" si="4"/>
        <v>RFLen Knight21</v>
      </c>
      <c r="B266">
        <v>7348</v>
      </c>
      <c r="C266">
        <v>508</v>
      </c>
      <c r="D266" t="s">
        <v>1407</v>
      </c>
      <c r="E266" t="s">
        <v>293</v>
      </c>
      <c r="F266">
        <v>0</v>
      </c>
      <c r="G266" s="10">
        <v>35322</v>
      </c>
      <c r="H266">
        <v>21</v>
      </c>
      <c r="I266" t="s">
        <v>2057</v>
      </c>
      <c r="J266" t="s">
        <v>1824</v>
      </c>
      <c r="K266">
        <v>4</v>
      </c>
      <c r="L266">
        <v>5</v>
      </c>
      <c r="M266">
        <v>1</v>
      </c>
      <c r="N266">
        <v>1</v>
      </c>
      <c r="O266">
        <v>6</v>
      </c>
      <c r="P266">
        <v>5</v>
      </c>
      <c r="Q266">
        <v>7</v>
      </c>
      <c r="R266">
        <v>4</v>
      </c>
      <c r="S266" t="s">
        <v>2027</v>
      </c>
      <c r="T266">
        <v>8</v>
      </c>
      <c r="U266" t="s">
        <v>2027</v>
      </c>
      <c r="V266">
        <v>3</v>
      </c>
      <c r="W266" t="s">
        <v>2027</v>
      </c>
      <c r="X266">
        <v>3</v>
      </c>
      <c r="Y266">
        <v>2</v>
      </c>
      <c r="Z266">
        <v>3</v>
      </c>
      <c r="AA266">
        <v>1</v>
      </c>
      <c r="AB266">
        <v>7</v>
      </c>
      <c r="AC266">
        <v>9</v>
      </c>
    </row>
    <row r="267" spans="1:29">
      <c r="A267" t="str">
        <f t="shared" si="4"/>
        <v>3BArchie Green18</v>
      </c>
      <c r="B267">
        <v>13755</v>
      </c>
      <c r="C267">
        <v>497</v>
      </c>
      <c r="D267" t="s">
        <v>513</v>
      </c>
      <c r="E267" t="s">
        <v>1920</v>
      </c>
      <c r="F267">
        <v>0</v>
      </c>
      <c r="G267" s="10">
        <v>36450</v>
      </c>
      <c r="H267">
        <v>18</v>
      </c>
      <c r="I267" t="s">
        <v>2061</v>
      </c>
      <c r="J267" t="s">
        <v>1824</v>
      </c>
      <c r="K267">
        <v>3</v>
      </c>
      <c r="L267">
        <v>3</v>
      </c>
      <c r="M267">
        <v>4</v>
      </c>
      <c r="N267">
        <v>3</v>
      </c>
      <c r="O267">
        <v>6</v>
      </c>
      <c r="P267">
        <v>6</v>
      </c>
      <c r="Q267">
        <v>2</v>
      </c>
      <c r="R267">
        <v>3</v>
      </c>
      <c r="S267" t="s">
        <v>2027</v>
      </c>
      <c r="T267">
        <v>1</v>
      </c>
      <c r="U267">
        <v>1</v>
      </c>
      <c r="V267">
        <v>4</v>
      </c>
      <c r="W267">
        <v>4</v>
      </c>
      <c r="X267">
        <v>4</v>
      </c>
      <c r="Y267" t="s">
        <v>2027</v>
      </c>
      <c r="Z267" t="s">
        <v>2027</v>
      </c>
      <c r="AA267">
        <v>3</v>
      </c>
      <c r="AB267">
        <v>6</v>
      </c>
      <c r="AC267">
        <v>5</v>
      </c>
    </row>
    <row r="268" spans="1:29">
      <c r="A268" t="str">
        <f t="shared" si="4"/>
        <v>RFDouglas Moon18</v>
      </c>
      <c r="B268">
        <v>13752</v>
      </c>
      <c r="C268">
        <v>500</v>
      </c>
      <c r="D268" t="s">
        <v>297</v>
      </c>
      <c r="E268" t="s">
        <v>298</v>
      </c>
      <c r="F268">
        <v>0</v>
      </c>
      <c r="G268" s="10">
        <v>36669</v>
      </c>
      <c r="H268">
        <v>18</v>
      </c>
      <c r="I268" t="s">
        <v>2057</v>
      </c>
      <c r="J268" t="s">
        <v>1824</v>
      </c>
      <c r="K268">
        <v>3</v>
      </c>
      <c r="L268">
        <v>4</v>
      </c>
      <c r="M268">
        <v>3</v>
      </c>
      <c r="N268">
        <v>3</v>
      </c>
      <c r="O268">
        <v>6</v>
      </c>
      <c r="P268">
        <v>9</v>
      </c>
      <c r="Q268">
        <v>6</v>
      </c>
      <c r="R268">
        <v>5</v>
      </c>
      <c r="S268" t="s">
        <v>2027</v>
      </c>
      <c r="T268" t="s">
        <v>2027</v>
      </c>
      <c r="U268" t="s">
        <v>2027</v>
      </c>
      <c r="V268">
        <v>1</v>
      </c>
      <c r="W268" t="s">
        <v>2027</v>
      </c>
      <c r="X268">
        <v>4</v>
      </c>
      <c r="Y268">
        <v>1</v>
      </c>
      <c r="Z268">
        <v>1</v>
      </c>
      <c r="AA268">
        <v>3</v>
      </c>
      <c r="AB268">
        <v>3</v>
      </c>
      <c r="AC268">
        <v>7</v>
      </c>
    </row>
    <row r="269" spans="1:29">
      <c r="A269" t="str">
        <f t="shared" si="4"/>
        <v>SSBobby O'Brien18</v>
      </c>
      <c r="B269">
        <v>13754</v>
      </c>
      <c r="C269">
        <v>494</v>
      </c>
      <c r="D269" t="s">
        <v>1779</v>
      </c>
      <c r="E269" t="s">
        <v>478</v>
      </c>
      <c r="F269">
        <v>0</v>
      </c>
      <c r="G269" s="10">
        <v>36481</v>
      </c>
      <c r="H269">
        <v>18</v>
      </c>
      <c r="I269" t="s">
        <v>2074</v>
      </c>
      <c r="J269" t="s">
        <v>1824</v>
      </c>
      <c r="K269">
        <v>3</v>
      </c>
      <c r="L269">
        <v>3</v>
      </c>
      <c r="M269">
        <v>3</v>
      </c>
      <c r="N269">
        <v>3</v>
      </c>
      <c r="O269">
        <v>6</v>
      </c>
      <c r="P269">
        <v>6</v>
      </c>
      <c r="Q269">
        <v>1</v>
      </c>
      <c r="R269">
        <v>1</v>
      </c>
      <c r="S269" t="s">
        <v>2027</v>
      </c>
      <c r="T269" t="s">
        <v>2027</v>
      </c>
      <c r="U269">
        <v>1</v>
      </c>
      <c r="V269">
        <v>1</v>
      </c>
      <c r="W269">
        <v>5</v>
      </c>
      <c r="X269" t="s">
        <v>2027</v>
      </c>
      <c r="Y269" t="s">
        <v>2027</v>
      </c>
      <c r="Z269" t="s">
        <v>2027</v>
      </c>
      <c r="AA269">
        <v>3</v>
      </c>
      <c r="AB269">
        <v>5</v>
      </c>
      <c r="AC269">
        <v>5</v>
      </c>
    </row>
    <row r="270" spans="1:29">
      <c r="A270" t="str">
        <f t="shared" si="4"/>
        <v>SSJoe Lane21</v>
      </c>
      <c r="B270">
        <v>3080</v>
      </c>
      <c r="C270">
        <v>463</v>
      </c>
      <c r="D270" t="s">
        <v>1937</v>
      </c>
      <c r="E270" t="s">
        <v>531</v>
      </c>
      <c r="F270">
        <v>0</v>
      </c>
      <c r="G270" s="10">
        <v>35379</v>
      </c>
      <c r="H270">
        <v>21</v>
      </c>
      <c r="I270" t="s">
        <v>2074</v>
      </c>
      <c r="J270" t="s">
        <v>1824</v>
      </c>
      <c r="K270">
        <v>3</v>
      </c>
      <c r="L270">
        <v>5</v>
      </c>
      <c r="M270">
        <v>2</v>
      </c>
      <c r="N270">
        <v>7</v>
      </c>
      <c r="O270">
        <v>6</v>
      </c>
      <c r="P270">
        <v>5</v>
      </c>
      <c r="Q270">
        <v>5</v>
      </c>
      <c r="R270">
        <v>4</v>
      </c>
      <c r="S270" t="s">
        <v>2027</v>
      </c>
      <c r="T270">
        <v>5</v>
      </c>
      <c r="U270">
        <v>7</v>
      </c>
      <c r="V270">
        <v>6</v>
      </c>
      <c r="W270">
        <v>5</v>
      </c>
      <c r="X270" t="s">
        <v>2027</v>
      </c>
      <c r="Y270" t="s">
        <v>2027</v>
      </c>
      <c r="Z270">
        <v>2</v>
      </c>
      <c r="AA270">
        <v>1</v>
      </c>
      <c r="AB270">
        <v>3</v>
      </c>
      <c r="AC270">
        <v>4</v>
      </c>
    </row>
    <row r="271" spans="1:29">
      <c r="A271" t="str">
        <f t="shared" si="4"/>
        <v>2BJeff Mack21</v>
      </c>
      <c r="B271">
        <v>7278</v>
      </c>
      <c r="C271">
        <v>481</v>
      </c>
      <c r="D271" t="s">
        <v>1839</v>
      </c>
      <c r="E271" t="s">
        <v>537</v>
      </c>
      <c r="F271">
        <v>0</v>
      </c>
      <c r="G271" s="10">
        <v>35343</v>
      </c>
      <c r="H271">
        <v>21</v>
      </c>
      <c r="I271" t="s">
        <v>2069</v>
      </c>
      <c r="J271" t="s">
        <v>1824</v>
      </c>
      <c r="K271">
        <v>3</v>
      </c>
      <c r="L271">
        <v>6</v>
      </c>
      <c r="M271">
        <v>2</v>
      </c>
      <c r="N271">
        <v>7</v>
      </c>
      <c r="O271">
        <v>6</v>
      </c>
      <c r="P271">
        <v>7</v>
      </c>
      <c r="Q271">
        <v>7</v>
      </c>
      <c r="R271">
        <v>10</v>
      </c>
      <c r="S271" t="s">
        <v>2027</v>
      </c>
      <c r="T271" t="s">
        <v>2027</v>
      </c>
      <c r="U271">
        <v>7</v>
      </c>
      <c r="V271">
        <v>6</v>
      </c>
      <c r="W271">
        <v>7</v>
      </c>
      <c r="X271" t="s">
        <v>2027</v>
      </c>
      <c r="Y271" t="s">
        <v>2027</v>
      </c>
      <c r="Z271" t="s">
        <v>2027</v>
      </c>
      <c r="AA271">
        <v>1</v>
      </c>
      <c r="AB271">
        <v>5</v>
      </c>
      <c r="AC271">
        <v>3</v>
      </c>
    </row>
    <row r="272" spans="1:29">
      <c r="A272" t="str">
        <f t="shared" si="4"/>
        <v>LFStan Gates21</v>
      </c>
      <c r="B272">
        <v>2508</v>
      </c>
      <c r="C272">
        <v>462</v>
      </c>
      <c r="D272" t="s">
        <v>1972</v>
      </c>
      <c r="E272" t="s">
        <v>351</v>
      </c>
      <c r="F272">
        <v>0</v>
      </c>
      <c r="G272" s="10">
        <v>35248</v>
      </c>
      <c r="H272">
        <v>21</v>
      </c>
      <c r="I272" t="s">
        <v>2035</v>
      </c>
      <c r="J272" t="s">
        <v>1824</v>
      </c>
      <c r="K272">
        <v>3</v>
      </c>
      <c r="L272">
        <v>7</v>
      </c>
      <c r="M272">
        <v>2</v>
      </c>
      <c r="N272">
        <v>6</v>
      </c>
      <c r="O272">
        <v>4</v>
      </c>
      <c r="P272">
        <v>6</v>
      </c>
      <c r="Q272">
        <v>7</v>
      </c>
      <c r="R272">
        <v>10</v>
      </c>
      <c r="S272" t="s">
        <v>2027</v>
      </c>
      <c r="T272" t="s">
        <v>2027</v>
      </c>
      <c r="U272" t="s">
        <v>2027</v>
      </c>
      <c r="V272" t="s">
        <v>2027</v>
      </c>
      <c r="W272" t="s">
        <v>2027</v>
      </c>
      <c r="X272">
        <v>6</v>
      </c>
      <c r="Y272" t="s">
        <v>2027</v>
      </c>
      <c r="Z272">
        <v>6</v>
      </c>
      <c r="AA272">
        <v>1</v>
      </c>
      <c r="AB272">
        <v>1</v>
      </c>
      <c r="AC272">
        <v>5</v>
      </c>
    </row>
    <row r="273" spans="1:29">
      <c r="A273" t="str">
        <f t="shared" si="4"/>
        <v>1BTravis Johnstone21</v>
      </c>
      <c r="B273">
        <v>3635</v>
      </c>
      <c r="C273">
        <v>479</v>
      </c>
      <c r="D273" t="s">
        <v>535</v>
      </c>
      <c r="E273" t="s">
        <v>536</v>
      </c>
      <c r="F273">
        <v>0</v>
      </c>
      <c r="G273" s="10">
        <v>35257</v>
      </c>
      <c r="H273">
        <v>21</v>
      </c>
      <c r="I273" t="s">
        <v>2092</v>
      </c>
      <c r="J273" t="s">
        <v>1824</v>
      </c>
      <c r="K273">
        <v>3</v>
      </c>
      <c r="L273">
        <v>6</v>
      </c>
      <c r="M273">
        <v>2</v>
      </c>
      <c r="N273">
        <v>6</v>
      </c>
      <c r="O273">
        <v>7</v>
      </c>
      <c r="P273">
        <v>6</v>
      </c>
      <c r="Q273">
        <v>3</v>
      </c>
      <c r="R273">
        <v>8</v>
      </c>
      <c r="S273" t="s">
        <v>2027</v>
      </c>
      <c r="T273">
        <v>6</v>
      </c>
      <c r="U273">
        <v>6</v>
      </c>
      <c r="V273">
        <v>5</v>
      </c>
      <c r="W273">
        <v>7</v>
      </c>
      <c r="X273" t="s">
        <v>2027</v>
      </c>
      <c r="Y273" t="s">
        <v>2027</v>
      </c>
      <c r="Z273" t="s">
        <v>2027</v>
      </c>
      <c r="AA273">
        <v>1</v>
      </c>
      <c r="AB273">
        <v>4</v>
      </c>
      <c r="AC273">
        <v>8</v>
      </c>
    </row>
    <row r="274" spans="1:29">
      <c r="A274" t="str">
        <f t="shared" si="4"/>
        <v>3BRamÛn DÌaz18</v>
      </c>
      <c r="B274">
        <v>964</v>
      </c>
      <c r="C274">
        <v>522</v>
      </c>
      <c r="D274" t="s">
        <v>150</v>
      </c>
      <c r="E274" t="s">
        <v>143</v>
      </c>
      <c r="F274">
        <v>0</v>
      </c>
      <c r="G274" s="10">
        <v>36669</v>
      </c>
      <c r="H274">
        <v>18</v>
      </c>
      <c r="I274" t="s">
        <v>2061</v>
      </c>
      <c r="J274" t="s">
        <v>1824</v>
      </c>
      <c r="K274">
        <v>3</v>
      </c>
      <c r="L274">
        <v>3</v>
      </c>
      <c r="M274">
        <v>2</v>
      </c>
      <c r="N274">
        <v>4</v>
      </c>
      <c r="O274">
        <v>4</v>
      </c>
      <c r="P274">
        <v>5</v>
      </c>
      <c r="Q274">
        <v>3</v>
      </c>
      <c r="R274">
        <v>3</v>
      </c>
      <c r="S274" t="s">
        <v>2027</v>
      </c>
      <c r="T274" t="s">
        <v>2027</v>
      </c>
      <c r="U274">
        <v>1</v>
      </c>
      <c r="V274">
        <v>4</v>
      </c>
      <c r="W274">
        <v>1</v>
      </c>
      <c r="X274" t="s">
        <v>2027</v>
      </c>
      <c r="Y274" t="s">
        <v>2027</v>
      </c>
      <c r="Z274" t="s">
        <v>2027</v>
      </c>
      <c r="AA274">
        <v>1</v>
      </c>
      <c r="AB274">
        <v>6</v>
      </c>
      <c r="AC274">
        <v>2</v>
      </c>
    </row>
    <row r="275" spans="1:29">
      <c r="A275" t="str">
        <f t="shared" si="4"/>
        <v>RFBob Stephens18</v>
      </c>
      <c r="B275">
        <v>13787</v>
      </c>
      <c r="C275">
        <v>519</v>
      </c>
      <c r="D275" t="s">
        <v>1913</v>
      </c>
      <c r="E275" t="s">
        <v>1714</v>
      </c>
      <c r="F275">
        <v>0</v>
      </c>
      <c r="G275" s="10">
        <v>36440</v>
      </c>
      <c r="H275">
        <v>18</v>
      </c>
      <c r="I275" t="s">
        <v>2057</v>
      </c>
      <c r="J275" t="s">
        <v>1824</v>
      </c>
      <c r="K275">
        <v>3</v>
      </c>
      <c r="L275">
        <v>4</v>
      </c>
      <c r="M275">
        <v>2</v>
      </c>
      <c r="N275">
        <v>4</v>
      </c>
      <c r="O275">
        <v>6</v>
      </c>
      <c r="P275">
        <v>5</v>
      </c>
      <c r="Q275">
        <v>6</v>
      </c>
      <c r="R275">
        <v>7</v>
      </c>
      <c r="S275" t="s">
        <v>2027</v>
      </c>
      <c r="T275" t="s">
        <v>2027</v>
      </c>
      <c r="U275" t="s">
        <v>2027</v>
      </c>
      <c r="V275" t="s">
        <v>2027</v>
      </c>
      <c r="W275" t="s">
        <v>2027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9</v>
      </c>
    </row>
    <row r="276" spans="1:29">
      <c r="A276" t="str">
        <f t="shared" si="4"/>
        <v>2BPhil Myers21</v>
      </c>
      <c r="B276">
        <v>7835</v>
      </c>
      <c r="C276">
        <v>501</v>
      </c>
      <c r="D276" t="s">
        <v>1729</v>
      </c>
      <c r="E276" t="s">
        <v>499</v>
      </c>
      <c r="F276">
        <v>0</v>
      </c>
      <c r="G276" s="10">
        <v>35285</v>
      </c>
      <c r="H276">
        <v>21</v>
      </c>
      <c r="I276" t="s">
        <v>2069</v>
      </c>
      <c r="J276" t="s">
        <v>1824</v>
      </c>
      <c r="K276">
        <v>3</v>
      </c>
      <c r="L276">
        <v>5</v>
      </c>
      <c r="M276">
        <v>2</v>
      </c>
      <c r="N276">
        <v>3</v>
      </c>
      <c r="O276">
        <v>7</v>
      </c>
      <c r="P276">
        <v>5</v>
      </c>
      <c r="Q276">
        <v>3</v>
      </c>
      <c r="R276">
        <v>3</v>
      </c>
      <c r="S276" t="s">
        <v>2027</v>
      </c>
      <c r="T276">
        <v>4</v>
      </c>
      <c r="U276">
        <v>3</v>
      </c>
      <c r="V276" t="s">
        <v>2027</v>
      </c>
      <c r="W276">
        <v>5</v>
      </c>
      <c r="X276" t="s">
        <v>2027</v>
      </c>
      <c r="Y276" t="s">
        <v>2027</v>
      </c>
      <c r="Z276" t="s">
        <v>2027</v>
      </c>
      <c r="AA276">
        <v>1</v>
      </c>
      <c r="AB276">
        <v>3</v>
      </c>
      <c r="AC276">
        <v>7</v>
      </c>
    </row>
    <row r="277" spans="1:29">
      <c r="A277" t="str">
        <f t="shared" si="4"/>
        <v>2BChris Evans21</v>
      </c>
      <c r="B277">
        <v>4014</v>
      </c>
      <c r="C277">
        <v>521</v>
      </c>
      <c r="D277" t="s">
        <v>1942</v>
      </c>
      <c r="E277" t="s">
        <v>1740</v>
      </c>
      <c r="F277">
        <v>0</v>
      </c>
      <c r="G277" s="10">
        <v>35487</v>
      </c>
      <c r="H277">
        <v>21</v>
      </c>
      <c r="I277" t="s">
        <v>2069</v>
      </c>
      <c r="J277" t="s">
        <v>1824</v>
      </c>
      <c r="K277">
        <v>3</v>
      </c>
      <c r="L277">
        <v>3</v>
      </c>
      <c r="M277">
        <v>2</v>
      </c>
      <c r="N277">
        <v>2</v>
      </c>
      <c r="O277">
        <v>6</v>
      </c>
      <c r="P277">
        <v>8</v>
      </c>
      <c r="Q277">
        <v>6</v>
      </c>
      <c r="R277">
        <v>9</v>
      </c>
      <c r="S277" t="s">
        <v>2027</v>
      </c>
      <c r="T277" t="s">
        <v>2027</v>
      </c>
      <c r="U277">
        <v>6</v>
      </c>
      <c r="V277">
        <v>1</v>
      </c>
      <c r="W277">
        <v>4</v>
      </c>
      <c r="X277" t="s">
        <v>2027</v>
      </c>
      <c r="Y277" t="s">
        <v>2027</v>
      </c>
      <c r="Z277" t="s">
        <v>2027</v>
      </c>
      <c r="AA277">
        <v>1</v>
      </c>
      <c r="AB277">
        <v>4</v>
      </c>
      <c r="AC277">
        <v>4</v>
      </c>
    </row>
    <row r="278" spans="1:29">
      <c r="A278" t="str">
        <f t="shared" si="4"/>
        <v>C-Louis-…mile Martineau18</v>
      </c>
      <c r="B278">
        <v>13791</v>
      </c>
      <c r="C278">
        <v>514</v>
      </c>
      <c r="D278" t="s">
        <v>151</v>
      </c>
      <c r="E278" t="s">
        <v>365</v>
      </c>
      <c r="F278">
        <v>0</v>
      </c>
      <c r="G278" s="10">
        <v>36451</v>
      </c>
      <c r="H278">
        <v>18</v>
      </c>
      <c r="I278" t="s">
        <v>2091</v>
      </c>
      <c r="J278" t="s">
        <v>1824</v>
      </c>
      <c r="K278">
        <v>3</v>
      </c>
      <c r="L278">
        <v>3</v>
      </c>
      <c r="M278">
        <v>2</v>
      </c>
      <c r="N278">
        <v>2</v>
      </c>
      <c r="O278">
        <v>7</v>
      </c>
      <c r="P278">
        <v>1</v>
      </c>
      <c r="Q278">
        <v>3</v>
      </c>
      <c r="R278">
        <v>4</v>
      </c>
      <c r="S278" t="s">
        <v>2027</v>
      </c>
      <c r="T278" t="s">
        <v>2027</v>
      </c>
      <c r="U278" t="s">
        <v>2027</v>
      </c>
      <c r="V278" t="s">
        <v>2027</v>
      </c>
      <c r="W278" t="s">
        <v>2027</v>
      </c>
      <c r="X278" t="s">
        <v>2027</v>
      </c>
      <c r="Y278" t="s">
        <v>2027</v>
      </c>
      <c r="Z278" t="s">
        <v>2027</v>
      </c>
      <c r="AA278">
        <v>3</v>
      </c>
      <c r="AB278">
        <v>2</v>
      </c>
      <c r="AC278">
        <v>5</v>
      </c>
    </row>
    <row r="279" spans="1:29">
      <c r="A279" t="str">
        <f t="shared" si="4"/>
        <v>C-Jim Reese21</v>
      </c>
      <c r="B279">
        <v>8025</v>
      </c>
      <c r="C279">
        <v>517</v>
      </c>
      <c r="D279" t="s">
        <v>1777</v>
      </c>
      <c r="E279" t="s">
        <v>292</v>
      </c>
      <c r="F279">
        <v>0</v>
      </c>
      <c r="G279" s="10">
        <v>35389</v>
      </c>
      <c r="H279">
        <v>21</v>
      </c>
      <c r="I279" t="s">
        <v>2091</v>
      </c>
      <c r="J279" t="s">
        <v>1824</v>
      </c>
      <c r="K279">
        <v>3</v>
      </c>
      <c r="L279">
        <v>3</v>
      </c>
      <c r="M279">
        <v>1</v>
      </c>
      <c r="N279">
        <v>7</v>
      </c>
      <c r="O279">
        <v>6</v>
      </c>
      <c r="P279">
        <v>2</v>
      </c>
      <c r="Q279">
        <v>2</v>
      </c>
      <c r="R279">
        <v>2</v>
      </c>
      <c r="S279">
        <v>4</v>
      </c>
      <c r="T279" t="s">
        <v>2027</v>
      </c>
      <c r="U279" t="s">
        <v>2027</v>
      </c>
      <c r="V279" t="s">
        <v>2027</v>
      </c>
      <c r="W279" t="s">
        <v>2027</v>
      </c>
      <c r="X279" t="s">
        <v>2027</v>
      </c>
      <c r="Y279" t="s">
        <v>2027</v>
      </c>
      <c r="Z279" t="s">
        <v>2027</v>
      </c>
      <c r="AA279">
        <v>6</v>
      </c>
      <c r="AB279">
        <v>4</v>
      </c>
      <c r="AC279">
        <v>5</v>
      </c>
    </row>
    <row r="280" spans="1:29">
      <c r="A280" t="str">
        <f t="shared" si="4"/>
        <v>SSDale Kelly21</v>
      </c>
      <c r="B280">
        <v>2513</v>
      </c>
      <c r="C280">
        <v>466</v>
      </c>
      <c r="D280" t="s">
        <v>548</v>
      </c>
      <c r="E280" t="s">
        <v>1966</v>
      </c>
      <c r="F280">
        <v>0</v>
      </c>
      <c r="G280" s="10">
        <v>35382</v>
      </c>
      <c r="H280">
        <v>21</v>
      </c>
      <c r="I280" t="s">
        <v>2074</v>
      </c>
      <c r="J280" t="s">
        <v>1824</v>
      </c>
      <c r="K280">
        <v>3</v>
      </c>
      <c r="L280">
        <v>7</v>
      </c>
      <c r="M280">
        <v>1</v>
      </c>
      <c r="N280">
        <v>6</v>
      </c>
      <c r="O280">
        <v>4</v>
      </c>
      <c r="P280">
        <v>6</v>
      </c>
      <c r="Q280">
        <v>8</v>
      </c>
      <c r="R280">
        <v>10</v>
      </c>
      <c r="S280" t="s">
        <v>2027</v>
      </c>
      <c r="T280" t="s">
        <v>2027</v>
      </c>
      <c r="U280" t="s">
        <v>2027</v>
      </c>
      <c r="V280" t="s">
        <v>2027</v>
      </c>
      <c r="W280">
        <v>6</v>
      </c>
      <c r="X280" t="s">
        <v>2027</v>
      </c>
      <c r="Y280" t="s">
        <v>2027</v>
      </c>
      <c r="Z280" t="s">
        <v>2027</v>
      </c>
      <c r="AA280">
        <v>1</v>
      </c>
      <c r="AB280">
        <v>6</v>
      </c>
      <c r="AC280">
        <v>1</v>
      </c>
    </row>
    <row r="281" spans="1:29">
      <c r="A281" t="str">
        <f t="shared" si="4"/>
        <v>3BTony Hern·ndez21</v>
      </c>
      <c r="B281">
        <v>2296</v>
      </c>
      <c r="C281">
        <v>498</v>
      </c>
      <c r="D281" t="s">
        <v>1860</v>
      </c>
      <c r="E281" t="s">
        <v>122</v>
      </c>
      <c r="F281">
        <v>0</v>
      </c>
      <c r="G281" s="10">
        <v>35414</v>
      </c>
      <c r="H281">
        <v>21</v>
      </c>
      <c r="I281" t="s">
        <v>2061</v>
      </c>
      <c r="J281" t="s">
        <v>1824</v>
      </c>
      <c r="K281">
        <v>3</v>
      </c>
      <c r="L281">
        <v>5</v>
      </c>
      <c r="M281">
        <v>1</v>
      </c>
      <c r="N281">
        <v>5</v>
      </c>
      <c r="O281">
        <v>7</v>
      </c>
      <c r="P281">
        <v>7</v>
      </c>
      <c r="Q281">
        <v>5</v>
      </c>
      <c r="R281">
        <v>3</v>
      </c>
      <c r="S281" t="s">
        <v>2027</v>
      </c>
      <c r="T281" t="s">
        <v>2027</v>
      </c>
      <c r="U281" t="s">
        <v>2027</v>
      </c>
      <c r="V281">
        <v>7</v>
      </c>
      <c r="W281">
        <v>7</v>
      </c>
      <c r="X281" t="s">
        <v>2027</v>
      </c>
      <c r="Y281" t="s">
        <v>2027</v>
      </c>
      <c r="Z281" t="s">
        <v>2027</v>
      </c>
      <c r="AA281">
        <v>1</v>
      </c>
      <c r="AB281">
        <v>5</v>
      </c>
      <c r="AC281">
        <v>6</v>
      </c>
    </row>
    <row r="282" spans="1:29">
      <c r="A282" t="str">
        <f t="shared" si="4"/>
        <v>RFBrian Snider21</v>
      </c>
      <c r="B282">
        <v>6114</v>
      </c>
      <c r="C282">
        <v>502</v>
      </c>
      <c r="D282" t="s">
        <v>1957</v>
      </c>
      <c r="E282" t="s">
        <v>530</v>
      </c>
      <c r="F282">
        <v>0</v>
      </c>
      <c r="G282" s="10">
        <v>35448</v>
      </c>
      <c r="H282">
        <v>21</v>
      </c>
      <c r="I282" t="s">
        <v>2057</v>
      </c>
      <c r="J282" t="s">
        <v>1824</v>
      </c>
      <c r="K282">
        <v>3</v>
      </c>
      <c r="L282">
        <v>7</v>
      </c>
      <c r="M282">
        <v>1</v>
      </c>
      <c r="N282">
        <v>5</v>
      </c>
      <c r="O282">
        <v>3</v>
      </c>
      <c r="P282">
        <v>5</v>
      </c>
      <c r="Q282">
        <v>6</v>
      </c>
      <c r="R282">
        <v>10</v>
      </c>
      <c r="S282" t="s">
        <v>2027</v>
      </c>
      <c r="T282">
        <v>1</v>
      </c>
      <c r="U282" t="s">
        <v>2027</v>
      </c>
      <c r="V282" t="s">
        <v>2027</v>
      </c>
      <c r="W282" t="s">
        <v>2027</v>
      </c>
      <c r="X282">
        <v>2</v>
      </c>
      <c r="Y282" t="s">
        <v>2027</v>
      </c>
      <c r="Z282">
        <v>7</v>
      </c>
      <c r="AA282">
        <v>1</v>
      </c>
      <c r="AB282">
        <v>1</v>
      </c>
      <c r="AC282">
        <v>5</v>
      </c>
    </row>
    <row r="283" spans="1:29">
      <c r="A283" t="str">
        <f t="shared" si="4"/>
        <v>1BBob Wright18</v>
      </c>
      <c r="B283">
        <v>13792</v>
      </c>
      <c r="C283">
        <v>513</v>
      </c>
      <c r="D283" t="s">
        <v>1913</v>
      </c>
      <c r="E283" t="s">
        <v>1780</v>
      </c>
      <c r="F283">
        <v>0</v>
      </c>
      <c r="G283" s="10">
        <v>36361</v>
      </c>
      <c r="H283">
        <v>18</v>
      </c>
      <c r="I283" t="s">
        <v>2092</v>
      </c>
      <c r="J283" t="s">
        <v>1824</v>
      </c>
      <c r="K283">
        <v>3</v>
      </c>
      <c r="L283">
        <v>5</v>
      </c>
      <c r="M283">
        <v>1</v>
      </c>
      <c r="N283">
        <v>5</v>
      </c>
      <c r="O283">
        <v>6</v>
      </c>
      <c r="P283">
        <v>5</v>
      </c>
      <c r="Q283">
        <v>5</v>
      </c>
      <c r="R283">
        <v>3</v>
      </c>
      <c r="S283" t="s">
        <v>2027</v>
      </c>
      <c r="T283">
        <v>4</v>
      </c>
      <c r="U283">
        <v>1</v>
      </c>
      <c r="V283">
        <v>1</v>
      </c>
      <c r="W283">
        <v>4</v>
      </c>
      <c r="X283" t="s">
        <v>2027</v>
      </c>
      <c r="Y283" t="s">
        <v>2027</v>
      </c>
      <c r="Z283" t="s">
        <v>2027</v>
      </c>
      <c r="AA283">
        <v>1</v>
      </c>
      <c r="AB283">
        <v>4</v>
      </c>
      <c r="AC283">
        <v>4</v>
      </c>
    </row>
    <row r="284" spans="1:29">
      <c r="A284" t="str">
        <f t="shared" si="4"/>
        <v>LFDan Hartwig18</v>
      </c>
      <c r="B284">
        <v>383</v>
      </c>
      <c r="C284">
        <v>487</v>
      </c>
      <c r="D284" t="s">
        <v>1939</v>
      </c>
      <c r="E284" t="s">
        <v>473</v>
      </c>
      <c r="F284">
        <v>0</v>
      </c>
      <c r="G284" s="10">
        <v>36380</v>
      </c>
      <c r="H284">
        <v>18</v>
      </c>
      <c r="I284" t="s">
        <v>2035</v>
      </c>
      <c r="J284" t="s">
        <v>1824</v>
      </c>
      <c r="K284">
        <v>3</v>
      </c>
      <c r="L284">
        <v>6</v>
      </c>
      <c r="M284">
        <v>1</v>
      </c>
      <c r="N284">
        <v>3</v>
      </c>
      <c r="O284">
        <v>7</v>
      </c>
      <c r="P284">
        <v>10</v>
      </c>
      <c r="Q284">
        <v>6</v>
      </c>
      <c r="R284">
        <v>10</v>
      </c>
      <c r="S284" t="s">
        <v>2027</v>
      </c>
      <c r="T284" t="s">
        <v>2027</v>
      </c>
      <c r="U284" t="s">
        <v>2027</v>
      </c>
      <c r="V284" t="s">
        <v>2027</v>
      </c>
      <c r="W284" t="s">
        <v>2027</v>
      </c>
      <c r="X284">
        <v>3</v>
      </c>
      <c r="Y284">
        <v>1</v>
      </c>
      <c r="Z284">
        <v>3</v>
      </c>
      <c r="AA284">
        <v>1</v>
      </c>
      <c r="AB284">
        <v>1</v>
      </c>
      <c r="AC284">
        <v>10</v>
      </c>
    </row>
    <row r="285" spans="1:29">
      <c r="A285" t="str">
        <f t="shared" si="4"/>
        <v>3BGabe Kelly21</v>
      </c>
      <c r="B285">
        <v>4212</v>
      </c>
      <c r="C285">
        <v>523</v>
      </c>
      <c r="D285" t="s">
        <v>557</v>
      </c>
      <c r="E285" t="s">
        <v>1966</v>
      </c>
      <c r="F285">
        <v>0</v>
      </c>
      <c r="G285" s="10">
        <v>35536</v>
      </c>
      <c r="H285">
        <v>21</v>
      </c>
      <c r="I285" t="s">
        <v>2061</v>
      </c>
      <c r="J285" t="s">
        <v>1824</v>
      </c>
      <c r="K285">
        <v>3</v>
      </c>
      <c r="L285">
        <v>5</v>
      </c>
      <c r="M285">
        <v>1</v>
      </c>
      <c r="N285">
        <v>3</v>
      </c>
      <c r="O285">
        <v>3</v>
      </c>
      <c r="P285">
        <v>5</v>
      </c>
      <c r="Q285">
        <v>6</v>
      </c>
      <c r="R285">
        <v>9</v>
      </c>
      <c r="S285" t="s">
        <v>2027</v>
      </c>
      <c r="T285" t="s">
        <v>2027</v>
      </c>
      <c r="U285">
        <v>2</v>
      </c>
      <c r="V285">
        <v>3</v>
      </c>
      <c r="W285">
        <v>4</v>
      </c>
      <c r="X285" t="s">
        <v>2027</v>
      </c>
      <c r="Y285" t="s">
        <v>2027</v>
      </c>
      <c r="Z285" t="s">
        <v>2027</v>
      </c>
      <c r="AA285">
        <v>1</v>
      </c>
      <c r="AB285">
        <v>4</v>
      </c>
      <c r="AC285">
        <v>1</v>
      </c>
    </row>
    <row r="286" spans="1:29">
      <c r="A286" t="str">
        <f t="shared" si="4"/>
        <v>SSJosÈ QuiÒones21</v>
      </c>
      <c r="B286">
        <v>7459</v>
      </c>
      <c r="C286">
        <v>524</v>
      </c>
      <c r="D286" t="s">
        <v>116</v>
      </c>
      <c r="E286" t="s">
        <v>152</v>
      </c>
      <c r="F286">
        <v>0</v>
      </c>
      <c r="G286" s="10">
        <v>35237</v>
      </c>
      <c r="H286">
        <v>21</v>
      </c>
      <c r="I286" t="s">
        <v>2074</v>
      </c>
      <c r="J286" t="s">
        <v>1824</v>
      </c>
      <c r="K286">
        <v>3</v>
      </c>
      <c r="L286">
        <v>5</v>
      </c>
      <c r="M286">
        <v>1</v>
      </c>
      <c r="N286">
        <v>3</v>
      </c>
      <c r="O286">
        <v>3</v>
      </c>
      <c r="P286">
        <v>5</v>
      </c>
      <c r="Q286">
        <v>5</v>
      </c>
      <c r="R286">
        <v>6</v>
      </c>
      <c r="S286" t="s">
        <v>2027</v>
      </c>
      <c r="T286" t="s">
        <v>2027</v>
      </c>
      <c r="U286" t="s">
        <v>2027</v>
      </c>
      <c r="V286" t="s">
        <v>2027</v>
      </c>
      <c r="W286">
        <v>6</v>
      </c>
      <c r="X286" t="s">
        <v>2027</v>
      </c>
      <c r="Y286" t="s">
        <v>2027</v>
      </c>
      <c r="Z286" t="s">
        <v>2027</v>
      </c>
      <c r="AA286">
        <v>1</v>
      </c>
      <c r="AB286">
        <v>5</v>
      </c>
      <c r="AC286">
        <v>1</v>
      </c>
    </row>
    <row r="287" spans="1:29">
      <c r="A287" t="str">
        <f t="shared" si="4"/>
        <v>2BPepe SolÌs18</v>
      </c>
      <c r="B287">
        <v>13796</v>
      </c>
      <c r="C287">
        <v>510</v>
      </c>
      <c r="D287" t="s">
        <v>1965</v>
      </c>
      <c r="E287" t="s">
        <v>153</v>
      </c>
      <c r="F287">
        <v>0</v>
      </c>
      <c r="G287" s="10">
        <v>36441</v>
      </c>
      <c r="H287">
        <v>18</v>
      </c>
      <c r="I287" t="s">
        <v>2069</v>
      </c>
      <c r="J287" t="s">
        <v>1824</v>
      </c>
      <c r="K287">
        <v>3</v>
      </c>
      <c r="L287">
        <v>2</v>
      </c>
      <c r="M287">
        <v>1</v>
      </c>
      <c r="N287">
        <v>2</v>
      </c>
      <c r="O287">
        <v>7</v>
      </c>
      <c r="P287">
        <v>5</v>
      </c>
      <c r="Q287">
        <v>5</v>
      </c>
      <c r="R287">
        <v>4</v>
      </c>
      <c r="S287" t="s">
        <v>2027</v>
      </c>
      <c r="T287">
        <v>4</v>
      </c>
      <c r="U287">
        <v>2</v>
      </c>
      <c r="V287">
        <v>1</v>
      </c>
      <c r="W287">
        <v>5</v>
      </c>
      <c r="X287" t="s">
        <v>2027</v>
      </c>
      <c r="Y287" t="s">
        <v>2027</v>
      </c>
      <c r="Z287" t="s">
        <v>2027</v>
      </c>
      <c r="AA287">
        <v>1</v>
      </c>
      <c r="AB287">
        <v>5</v>
      </c>
      <c r="AC287">
        <v>5</v>
      </c>
    </row>
    <row r="288" spans="1:29">
      <c r="A288" t="str">
        <f t="shared" si="4"/>
        <v>CFBrian Vincent18</v>
      </c>
      <c r="B288">
        <v>32</v>
      </c>
      <c r="C288">
        <v>526</v>
      </c>
      <c r="D288" t="s">
        <v>1957</v>
      </c>
      <c r="E288" t="s">
        <v>1888</v>
      </c>
      <c r="F288">
        <v>0</v>
      </c>
      <c r="G288" s="10">
        <v>36481</v>
      </c>
      <c r="H288">
        <v>18</v>
      </c>
      <c r="I288" t="s">
        <v>2079</v>
      </c>
      <c r="J288" t="s">
        <v>1824</v>
      </c>
      <c r="K288">
        <v>3</v>
      </c>
      <c r="L288">
        <v>3</v>
      </c>
      <c r="M288">
        <v>1</v>
      </c>
      <c r="N288">
        <v>1</v>
      </c>
      <c r="O288">
        <v>3</v>
      </c>
      <c r="P288">
        <v>7</v>
      </c>
      <c r="Q288">
        <v>6</v>
      </c>
      <c r="R288">
        <v>7</v>
      </c>
      <c r="S288" t="s">
        <v>2027</v>
      </c>
      <c r="T288" t="s">
        <v>2027</v>
      </c>
      <c r="U288" t="s">
        <v>2027</v>
      </c>
      <c r="V288" t="s">
        <v>2027</v>
      </c>
      <c r="W288" t="s">
        <v>2027</v>
      </c>
      <c r="X288">
        <v>1</v>
      </c>
      <c r="Y288">
        <v>2</v>
      </c>
      <c r="Z288">
        <v>1</v>
      </c>
      <c r="AA288">
        <v>1</v>
      </c>
      <c r="AB288">
        <v>1</v>
      </c>
      <c r="AC288">
        <v>4</v>
      </c>
    </row>
    <row r="289" spans="7:7">
      <c r="G289" s="10"/>
    </row>
    <row r="290" spans="7:7">
      <c r="G290" s="10"/>
    </row>
    <row r="291" spans="7:7">
      <c r="G291" s="10"/>
    </row>
    <row r="292" spans="7:7">
      <c r="G292" s="10"/>
    </row>
    <row r="293" spans="7:7">
      <c r="G293" s="10"/>
    </row>
    <row r="294" spans="7:7">
      <c r="G294" s="10"/>
    </row>
    <row r="295" spans="7:7">
      <c r="G295" s="10"/>
    </row>
    <row r="296" spans="7:7">
      <c r="G296" s="10"/>
    </row>
    <row r="297" spans="7:7">
      <c r="G297" s="10"/>
    </row>
    <row r="298" spans="7:7">
      <c r="G298" s="10"/>
    </row>
    <row r="299" spans="7:7">
      <c r="G299" s="10"/>
    </row>
    <row r="300" spans="7:7">
      <c r="G300" s="10"/>
    </row>
    <row r="301" spans="7:7">
      <c r="G301" s="10"/>
    </row>
    <row r="302" spans="7:7">
      <c r="G302" s="10"/>
    </row>
    <row r="303" spans="7:7">
      <c r="G303" s="10"/>
    </row>
    <row r="304" spans="7:7">
      <c r="G304" s="10"/>
    </row>
    <row r="305" spans="7:7">
      <c r="G305" s="10"/>
    </row>
    <row r="306" spans="7:7">
      <c r="G306" s="10"/>
    </row>
    <row r="307" spans="7:7">
      <c r="G307" s="10"/>
    </row>
    <row r="308" spans="7:7">
      <c r="G308" s="10"/>
    </row>
    <row r="309" spans="7:7">
      <c r="G309" s="10"/>
    </row>
    <row r="310" spans="7:7">
      <c r="G310" s="10"/>
    </row>
    <row r="311" spans="7:7">
      <c r="G311" s="10"/>
    </row>
    <row r="312" spans="7:7">
      <c r="G312" s="10"/>
    </row>
    <row r="313" spans="7:7">
      <c r="G313" s="10"/>
    </row>
    <row r="314" spans="7:7">
      <c r="G314" s="10"/>
    </row>
    <row r="315" spans="7:7">
      <c r="G315" s="10"/>
    </row>
    <row r="316" spans="7:7">
      <c r="G316" s="10"/>
    </row>
    <row r="317" spans="7:7">
      <c r="G317" s="10"/>
    </row>
    <row r="318" spans="7:7">
      <c r="G318" s="10"/>
    </row>
    <row r="319" spans="7:7">
      <c r="G319" s="10"/>
    </row>
    <row r="320" spans="7:7">
      <c r="G320" s="10"/>
    </row>
    <row r="321" spans="7:7">
      <c r="G321" s="10"/>
    </row>
    <row r="322" spans="7:7">
      <c r="G322" s="10"/>
    </row>
    <row r="323" spans="7:7">
      <c r="G323" s="10"/>
    </row>
    <row r="324" spans="7:7">
      <c r="G324" s="10"/>
    </row>
  </sheetData>
  <sheetCalcPr fullCalcOnLoad="1"/>
  <phoneticPr fontId="1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B258"/>
  <sheetViews>
    <sheetView topLeftCell="A226" workbookViewId="0">
      <selection activeCell="B243" sqref="B243"/>
    </sheetView>
  </sheetViews>
  <sheetFormatPr baseColWidth="10" defaultColWidth="8.83203125" defaultRowHeight="14"/>
  <cols>
    <col min="2" max="2" width="18.1640625" bestFit="1" customWidth="1"/>
    <col min="3" max="3" width="4" bestFit="1" customWidth="1"/>
    <col min="4" max="4" width="10.5" bestFit="1" customWidth="1"/>
    <col min="5" max="5" width="12.5" bestFit="1" customWidth="1"/>
    <col min="6" max="6" width="12.33203125" bestFit="1" customWidth="1"/>
    <col min="7" max="7" width="12.1640625" bestFit="1" customWidth="1"/>
    <col min="8" max="8" width="4.5" bestFit="1" customWidth="1"/>
    <col min="9" max="9" width="8.33203125" bestFit="1" customWidth="1"/>
    <col min="10" max="10" width="5" bestFit="1" customWidth="1"/>
    <col min="11" max="28" width="7.1640625" customWidth="1"/>
  </cols>
  <sheetData>
    <row r="1" spans="1:28">
      <c r="A1" t="s">
        <v>1809</v>
      </c>
      <c r="B1" t="s">
        <v>1710</v>
      </c>
      <c r="C1" t="s">
        <v>2113</v>
      </c>
      <c r="D1" t="s">
        <v>1709</v>
      </c>
      <c r="E1" t="s">
        <v>1708</v>
      </c>
      <c r="F1" t="s">
        <v>1707</v>
      </c>
      <c r="G1" t="s">
        <v>1706</v>
      </c>
      <c r="H1" t="s">
        <v>1980</v>
      </c>
      <c r="I1" t="s">
        <v>1705</v>
      </c>
      <c r="J1" t="s">
        <v>2111</v>
      </c>
      <c r="K1" t="s">
        <v>1807</v>
      </c>
      <c r="L1" t="s">
        <v>2038</v>
      </c>
      <c r="M1" t="s">
        <v>1806</v>
      </c>
      <c r="N1" t="s">
        <v>1805</v>
      </c>
      <c r="O1" t="s">
        <v>1804</v>
      </c>
      <c r="P1" t="s">
        <v>1803</v>
      </c>
      <c r="Q1" t="s">
        <v>1704</v>
      </c>
      <c r="R1" t="s">
        <v>1802</v>
      </c>
      <c r="S1" t="s">
        <v>1801</v>
      </c>
      <c r="T1" t="s">
        <v>2121</v>
      </c>
      <c r="U1" t="s">
        <v>2022</v>
      </c>
      <c r="V1" t="s">
        <v>1800</v>
      </c>
      <c r="W1" t="s">
        <v>1702</v>
      </c>
      <c r="X1" t="s">
        <v>1700</v>
      </c>
      <c r="Y1" t="s">
        <v>1699</v>
      </c>
      <c r="Z1" t="s">
        <v>1799</v>
      </c>
      <c r="AA1" t="s">
        <v>1798</v>
      </c>
      <c r="AB1" t="s">
        <v>1797</v>
      </c>
    </row>
    <row r="2" spans="1:28">
      <c r="A2" t="str">
        <f>J2&amp;D2&amp;" "&amp;E2&amp;H2</f>
        <v>SPEric Jordan22</v>
      </c>
      <c r="B2">
        <v>12049</v>
      </c>
      <c r="C2">
        <v>377</v>
      </c>
      <c r="D2" t="s">
        <v>1968</v>
      </c>
      <c r="E2" t="s">
        <v>1785</v>
      </c>
      <c r="F2">
        <v>0</v>
      </c>
      <c r="G2" s="10">
        <v>34973</v>
      </c>
      <c r="H2">
        <v>22</v>
      </c>
      <c r="I2" t="s">
        <v>1711</v>
      </c>
      <c r="J2" t="s">
        <v>2003</v>
      </c>
      <c r="K2">
        <v>16</v>
      </c>
      <c r="L2">
        <v>29</v>
      </c>
      <c r="M2">
        <v>0</v>
      </c>
      <c r="N2">
        <v>0</v>
      </c>
      <c r="O2">
        <v>0</v>
      </c>
      <c r="P2" s="8">
        <v>5.66</v>
      </c>
      <c r="Q2">
        <v>73</v>
      </c>
      <c r="R2">
        <v>73</v>
      </c>
      <c r="S2">
        <v>381.7</v>
      </c>
      <c r="T2">
        <v>475</v>
      </c>
      <c r="U2">
        <v>281</v>
      </c>
      <c r="V2">
        <v>240</v>
      </c>
      <c r="W2">
        <v>36</v>
      </c>
      <c r="X2">
        <v>211</v>
      </c>
      <c r="Y2">
        <v>359</v>
      </c>
      <c r="Z2" s="8">
        <v>1.8</v>
      </c>
      <c r="AA2" s="9">
        <v>0.30199999999999999</v>
      </c>
      <c r="AB2" s="9">
        <v>0.36799999999999999</v>
      </c>
    </row>
    <row r="3" spans="1:28">
      <c r="A3" t="str">
        <f t="shared" ref="A3:A66" si="0">J3&amp;D3&amp;" "&amp;E3&amp;H3</f>
        <v>SPAndy Thompson23</v>
      </c>
      <c r="B3">
        <v>1838</v>
      </c>
      <c r="C3">
        <v>157</v>
      </c>
      <c r="D3" t="s">
        <v>1793</v>
      </c>
      <c r="E3" t="s">
        <v>1940</v>
      </c>
      <c r="F3">
        <v>0</v>
      </c>
      <c r="G3" s="10">
        <v>34651</v>
      </c>
      <c r="H3">
        <v>23</v>
      </c>
      <c r="I3" t="s">
        <v>1711</v>
      </c>
      <c r="J3" t="s">
        <v>2003</v>
      </c>
      <c r="K3">
        <v>19</v>
      </c>
      <c r="L3">
        <v>43</v>
      </c>
      <c r="M3">
        <v>0</v>
      </c>
      <c r="N3">
        <v>0</v>
      </c>
      <c r="O3">
        <v>0</v>
      </c>
      <c r="P3" s="8">
        <v>5.65</v>
      </c>
      <c r="Q3">
        <v>92</v>
      </c>
      <c r="R3">
        <v>92</v>
      </c>
      <c r="S3">
        <v>495</v>
      </c>
      <c r="T3">
        <v>630</v>
      </c>
      <c r="U3">
        <v>375</v>
      </c>
      <c r="V3">
        <v>311</v>
      </c>
      <c r="W3">
        <v>61</v>
      </c>
      <c r="X3">
        <v>165</v>
      </c>
      <c r="Y3">
        <v>340</v>
      </c>
      <c r="Z3" s="8">
        <v>1.61</v>
      </c>
      <c r="AA3" s="9">
        <v>0.30599999999999999</v>
      </c>
      <c r="AB3" s="9">
        <v>0.33800000000000002</v>
      </c>
    </row>
    <row r="4" spans="1:28">
      <c r="A4" t="str">
        <f t="shared" si="0"/>
        <v>SPBartolo Esquivel22</v>
      </c>
      <c r="B4">
        <v>2522</v>
      </c>
      <c r="C4">
        <v>68</v>
      </c>
      <c r="D4" t="s">
        <v>1866</v>
      </c>
      <c r="E4" t="s">
        <v>1792</v>
      </c>
      <c r="F4">
        <v>0</v>
      </c>
      <c r="G4" s="10">
        <v>35075</v>
      </c>
      <c r="H4">
        <v>22</v>
      </c>
      <c r="I4" t="s">
        <v>1711</v>
      </c>
      <c r="J4" t="s">
        <v>2003</v>
      </c>
      <c r="K4">
        <v>21</v>
      </c>
      <c r="L4">
        <v>15</v>
      </c>
      <c r="M4">
        <v>0</v>
      </c>
      <c r="N4">
        <v>1</v>
      </c>
      <c r="O4">
        <v>1</v>
      </c>
      <c r="P4" s="8">
        <v>3.7</v>
      </c>
      <c r="Q4">
        <v>48</v>
      </c>
      <c r="R4">
        <v>48</v>
      </c>
      <c r="S4">
        <v>319</v>
      </c>
      <c r="T4">
        <v>302</v>
      </c>
      <c r="U4">
        <v>144</v>
      </c>
      <c r="V4">
        <v>131</v>
      </c>
      <c r="W4">
        <v>29</v>
      </c>
      <c r="X4">
        <v>101</v>
      </c>
      <c r="Y4">
        <v>326</v>
      </c>
      <c r="Z4" s="8">
        <v>1.26</v>
      </c>
      <c r="AA4" s="9">
        <v>0.247</v>
      </c>
      <c r="AB4" s="9">
        <v>0.311</v>
      </c>
    </row>
    <row r="5" spans="1:28">
      <c r="A5" t="str">
        <f t="shared" si="0"/>
        <v>SPMatt Allison21</v>
      </c>
      <c r="B5">
        <v>3076</v>
      </c>
      <c r="C5">
        <v>24</v>
      </c>
      <c r="D5" t="s">
        <v>1848</v>
      </c>
      <c r="E5" t="s">
        <v>374</v>
      </c>
      <c r="F5">
        <v>0</v>
      </c>
      <c r="G5" s="10">
        <v>35412</v>
      </c>
      <c r="H5">
        <v>21</v>
      </c>
      <c r="I5" t="s">
        <v>1711</v>
      </c>
      <c r="J5" t="s">
        <v>2003</v>
      </c>
      <c r="K5">
        <v>14</v>
      </c>
      <c r="L5">
        <v>22</v>
      </c>
      <c r="M5">
        <v>0</v>
      </c>
      <c r="N5">
        <v>2</v>
      </c>
      <c r="O5">
        <v>1</v>
      </c>
      <c r="P5" s="8">
        <v>4.08</v>
      </c>
      <c r="Q5">
        <v>50</v>
      </c>
      <c r="R5">
        <v>49</v>
      </c>
      <c r="S5">
        <v>315.7</v>
      </c>
      <c r="T5">
        <v>307</v>
      </c>
      <c r="U5">
        <v>168</v>
      </c>
      <c r="V5">
        <v>143</v>
      </c>
      <c r="W5">
        <v>36</v>
      </c>
      <c r="X5">
        <v>80</v>
      </c>
      <c r="Y5">
        <v>318</v>
      </c>
      <c r="Z5" s="8">
        <v>1.23</v>
      </c>
      <c r="AA5" s="9">
        <v>0.251</v>
      </c>
      <c r="AB5" s="9">
        <v>0.309</v>
      </c>
    </row>
    <row r="6" spans="1:28">
      <c r="A6" t="str">
        <f t="shared" si="0"/>
        <v>SPMichael Vincent18</v>
      </c>
      <c r="B6">
        <v>13818</v>
      </c>
      <c r="C6">
        <v>60</v>
      </c>
      <c r="D6" t="s">
        <v>1841</v>
      </c>
      <c r="E6" t="s">
        <v>1888</v>
      </c>
      <c r="F6">
        <v>0</v>
      </c>
      <c r="G6" s="10">
        <v>36523</v>
      </c>
      <c r="H6">
        <v>18</v>
      </c>
      <c r="I6" t="s">
        <v>1711</v>
      </c>
      <c r="J6" t="s">
        <v>2003</v>
      </c>
      <c r="K6">
        <v>15</v>
      </c>
      <c r="L6">
        <v>9</v>
      </c>
      <c r="M6">
        <v>0</v>
      </c>
      <c r="N6">
        <v>0</v>
      </c>
      <c r="O6">
        <v>0</v>
      </c>
      <c r="P6" s="8">
        <v>3.05</v>
      </c>
      <c r="Q6">
        <v>46</v>
      </c>
      <c r="R6">
        <v>45</v>
      </c>
      <c r="S6">
        <v>239</v>
      </c>
      <c r="T6">
        <v>206</v>
      </c>
      <c r="U6">
        <v>104</v>
      </c>
      <c r="V6">
        <v>81</v>
      </c>
      <c r="W6">
        <v>15</v>
      </c>
      <c r="X6">
        <v>128</v>
      </c>
      <c r="Y6">
        <v>309</v>
      </c>
      <c r="Z6" s="8">
        <v>1.4</v>
      </c>
      <c r="AA6" s="9">
        <v>0.22600000000000001</v>
      </c>
      <c r="AB6" s="9">
        <v>0.32400000000000001</v>
      </c>
    </row>
    <row r="7" spans="1:28">
      <c r="A7" t="str">
        <f t="shared" si="0"/>
        <v>SPJoshua Hall18</v>
      </c>
      <c r="B7">
        <v>1627</v>
      </c>
      <c r="C7">
        <v>84</v>
      </c>
      <c r="D7" t="s">
        <v>375</v>
      </c>
      <c r="E7" t="s">
        <v>1958</v>
      </c>
      <c r="F7">
        <v>0</v>
      </c>
      <c r="G7" s="10">
        <v>36601</v>
      </c>
      <c r="H7">
        <v>18</v>
      </c>
      <c r="I7" t="s">
        <v>1711</v>
      </c>
      <c r="J7" t="s">
        <v>2003</v>
      </c>
      <c r="K7">
        <v>19</v>
      </c>
      <c r="L7">
        <v>15</v>
      </c>
      <c r="M7">
        <v>0</v>
      </c>
      <c r="N7">
        <v>1</v>
      </c>
      <c r="O7">
        <v>1</v>
      </c>
      <c r="P7" s="8">
        <v>3.92</v>
      </c>
      <c r="Q7">
        <v>48</v>
      </c>
      <c r="R7">
        <v>46</v>
      </c>
      <c r="S7">
        <v>282.7</v>
      </c>
      <c r="T7">
        <v>273</v>
      </c>
      <c r="U7">
        <v>142</v>
      </c>
      <c r="V7">
        <v>123</v>
      </c>
      <c r="W7">
        <v>11</v>
      </c>
      <c r="X7">
        <v>94</v>
      </c>
      <c r="Y7">
        <v>302</v>
      </c>
      <c r="Z7" s="8">
        <v>1.3</v>
      </c>
      <c r="AA7" s="9">
        <v>0.246</v>
      </c>
      <c r="AB7" s="9">
        <v>0.32800000000000001</v>
      </c>
    </row>
    <row r="8" spans="1:28">
      <c r="A8" t="str">
        <f t="shared" si="0"/>
        <v>SPEd Boerboom22</v>
      </c>
      <c r="B8">
        <v>11978</v>
      </c>
      <c r="C8">
        <v>76</v>
      </c>
      <c r="D8" t="s">
        <v>1873</v>
      </c>
      <c r="E8" t="s">
        <v>1791</v>
      </c>
      <c r="F8">
        <v>0</v>
      </c>
      <c r="G8" s="10">
        <v>35122</v>
      </c>
      <c r="H8">
        <v>22</v>
      </c>
      <c r="I8" t="s">
        <v>1711</v>
      </c>
      <c r="J8" t="s">
        <v>2003</v>
      </c>
      <c r="K8">
        <v>22</v>
      </c>
      <c r="L8">
        <v>22</v>
      </c>
      <c r="M8">
        <v>3</v>
      </c>
      <c r="N8">
        <v>1</v>
      </c>
      <c r="O8">
        <v>0</v>
      </c>
      <c r="P8" s="8">
        <v>6.73</v>
      </c>
      <c r="Q8">
        <v>118</v>
      </c>
      <c r="R8">
        <v>50</v>
      </c>
      <c r="S8">
        <v>345</v>
      </c>
      <c r="T8">
        <v>451</v>
      </c>
      <c r="U8">
        <v>295</v>
      </c>
      <c r="V8">
        <v>258</v>
      </c>
      <c r="W8">
        <v>49</v>
      </c>
      <c r="X8">
        <v>198</v>
      </c>
      <c r="Y8">
        <v>299</v>
      </c>
      <c r="Z8" s="8">
        <v>1.88</v>
      </c>
      <c r="AA8" s="9">
        <v>0.31</v>
      </c>
      <c r="AB8" s="9">
        <v>0.35899999999999999</v>
      </c>
    </row>
    <row r="9" spans="1:28">
      <c r="A9" t="str">
        <f t="shared" si="0"/>
        <v>SPJin-hyun Chon21</v>
      </c>
      <c r="B9">
        <v>9224</v>
      </c>
      <c r="C9">
        <v>17</v>
      </c>
      <c r="D9" t="s">
        <v>376</v>
      </c>
      <c r="E9" t="s">
        <v>377</v>
      </c>
      <c r="F9">
        <v>0</v>
      </c>
      <c r="G9" s="10">
        <v>35466</v>
      </c>
      <c r="H9">
        <v>21</v>
      </c>
      <c r="I9" t="s">
        <v>1711</v>
      </c>
      <c r="J9" t="s">
        <v>2003</v>
      </c>
      <c r="K9">
        <v>10</v>
      </c>
      <c r="L9">
        <v>12</v>
      </c>
      <c r="M9">
        <v>0</v>
      </c>
      <c r="N9">
        <v>1</v>
      </c>
      <c r="O9">
        <v>0</v>
      </c>
      <c r="P9" s="8">
        <v>4.43</v>
      </c>
      <c r="Q9">
        <v>51</v>
      </c>
      <c r="R9">
        <v>30</v>
      </c>
      <c r="S9">
        <v>203</v>
      </c>
      <c r="T9">
        <v>187</v>
      </c>
      <c r="U9">
        <v>107</v>
      </c>
      <c r="V9">
        <v>100</v>
      </c>
      <c r="W9">
        <v>27</v>
      </c>
      <c r="X9">
        <v>82</v>
      </c>
      <c r="Y9">
        <v>290</v>
      </c>
      <c r="Z9" s="8">
        <v>1.33</v>
      </c>
      <c r="AA9" s="9">
        <v>0.24099999999999999</v>
      </c>
      <c r="AB9" s="9">
        <v>0.34399999999999997</v>
      </c>
    </row>
    <row r="10" spans="1:28">
      <c r="A10" t="str">
        <f t="shared" si="0"/>
        <v>SPDan Boorman18</v>
      </c>
      <c r="B10">
        <v>13777</v>
      </c>
      <c r="C10">
        <v>43</v>
      </c>
      <c r="D10" t="s">
        <v>1939</v>
      </c>
      <c r="E10" t="s">
        <v>378</v>
      </c>
      <c r="F10">
        <v>0</v>
      </c>
      <c r="G10" s="10">
        <v>36435</v>
      </c>
      <c r="H10">
        <v>18</v>
      </c>
      <c r="I10" t="s">
        <v>1711</v>
      </c>
      <c r="J10" t="s">
        <v>2003</v>
      </c>
      <c r="K10">
        <v>16</v>
      </c>
      <c r="L10">
        <v>18</v>
      </c>
      <c r="M10">
        <v>0</v>
      </c>
      <c r="N10">
        <v>0</v>
      </c>
      <c r="O10">
        <v>0</v>
      </c>
      <c r="P10" s="8">
        <v>4.12</v>
      </c>
      <c r="Q10">
        <v>50</v>
      </c>
      <c r="R10">
        <v>50</v>
      </c>
      <c r="S10">
        <v>284</v>
      </c>
      <c r="T10">
        <v>309</v>
      </c>
      <c r="U10">
        <v>158</v>
      </c>
      <c r="V10">
        <v>130</v>
      </c>
      <c r="W10">
        <v>20</v>
      </c>
      <c r="X10">
        <v>108</v>
      </c>
      <c r="Y10">
        <v>287</v>
      </c>
      <c r="Z10" s="8">
        <v>1.47</v>
      </c>
      <c r="AA10" s="9">
        <v>0.26800000000000002</v>
      </c>
      <c r="AB10" s="9">
        <v>0.34</v>
      </c>
    </row>
    <row r="11" spans="1:28">
      <c r="A11" t="str">
        <f t="shared" si="0"/>
        <v>SPQuinton Field22</v>
      </c>
      <c r="B11">
        <v>1316</v>
      </c>
      <c r="C11">
        <v>8</v>
      </c>
      <c r="D11" t="s">
        <v>1790</v>
      </c>
      <c r="E11" t="s">
        <v>1789</v>
      </c>
      <c r="F11">
        <v>0</v>
      </c>
      <c r="G11" s="10">
        <v>34945</v>
      </c>
      <c r="H11">
        <v>22</v>
      </c>
      <c r="I11" t="s">
        <v>1711</v>
      </c>
      <c r="J11" t="s">
        <v>2003</v>
      </c>
      <c r="K11">
        <v>15</v>
      </c>
      <c r="L11">
        <v>15</v>
      </c>
      <c r="M11">
        <v>0</v>
      </c>
      <c r="N11">
        <v>1</v>
      </c>
      <c r="O11">
        <v>0</v>
      </c>
      <c r="P11" s="8">
        <v>6.32</v>
      </c>
      <c r="Q11">
        <v>52</v>
      </c>
      <c r="R11">
        <v>50</v>
      </c>
      <c r="S11">
        <v>275</v>
      </c>
      <c r="T11">
        <v>371</v>
      </c>
      <c r="U11">
        <v>210</v>
      </c>
      <c r="V11">
        <v>193</v>
      </c>
      <c r="W11">
        <v>38</v>
      </c>
      <c r="X11">
        <v>113</v>
      </c>
      <c r="Y11">
        <v>285</v>
      </c>
      <c r="Z11" s="8">
        <v>1.76</v>
      </c>
      <c r="AA11" s="9">
        <v>0.32</v>
      </c>
      <c r="AB11" s="9">
        <v>0.39200000000000002</v>
      </c>
    </row>
    <row r="12" spans="1:28">
      <c r="A12" t="str">
        <f t="shared" si="0"/>
        <v>SPLuis Reyes18</v>
      </c>
      <c r="B12">
        <v>13798</v>
      </c>
      <c r="C12">
        <v>89</v>
      </c>
      <c r="D12" t="s">
        <v>1826</v>
      </c>
      <c r="E12" t="s">
        <v>1903</v>
      </c>
      <c r="F12">
        <v>0</v>
      </c>
      <c r="G12" s="10">
        <v>36426</v>
      </c>
      <c r="H12">
        <v>18</v>
      </c>
      <c r="I12" t="s">
        <v>1711</v>
      </c>
      <c r="J12" t="s">
        <v>2003</v>
      </c>
      <c r="K12">
        <v>23</v>
      </c>
      <c r="L12">
        <v>10</v>
      </c>
      <c r="M12">
        <v>0</v>
      </c>
      <c r="N12">
        <v>1</v>
      </c>
      <c r="O12">
        <v>1</v>
      </c>
      <c r="P12" s="8">
        <v>3.79</v>
      </c>
      <c r="Q12">
        <v>47</v>
      </c>
      <c r="R12">
        <v>47</v>
      </c>
      <c r="S12">
        <v>290</v>
      </c>
      <c r="T12">
        <v>317</v>
      </c>
      <c r="U12">
        <v>152</v>
      </c>
      <c r="V12">
        <v>122</v>
      </c>
      <c r="W12">
        <v>21</v>
      </c>
      <c r="X12">
        <v>69</v>
      </c>
      <c r="Y12">
        <v>257</v>
      </c>
      <c r="Z12" s="8">
        <v>1.33</v>
      </c>
      <c r="AA12" s="9">
        <v>0.26600000000000001</v>
      </c>
      <c r="AB12" s="9">
        <v>0.32200000000000001</v>
      </c>
    </row>
    <row r="13" spans="1:28">
      <c r="A13" t="str">
        <f t="shared" si="0"/>
        <v>SPFred Washington18</v>
      </c>
      <c r="B13">
        <v>176</v>
      </c>
      <c r="C13">
        <v>51</v>
      </c>
      <c r="D13" t="s">
        <v>1774</v>
      </c>
      <c r="E13" t="s">
        <v>1736</v>
      </c>
      <c r="F13">
        <v>0</v>
      </c>
      <c r="G13" s="10">
        <v>36656</v>
      </c>
      <c r="H13">
        <v>18</v>
      </c>
      <c r="I13" t="s">
        <v>1711</v>
      </c>
      <c r="J13" t="s">
        <v>2003</v>
      </c>
      <c r="K13">
        <v>15</v>
      </c>
      <c r="L13">
        <v>16</v>
      </c>
      <c r="M13">
        <v>0</v>
      </c>
      <c r="N13">
        <v>0</v>
      </c>
      <c r="O13">
        <v>0</v>
      </c>
      <c r="P13" s="8">
        <v>4.5999999999999996</v>
      </c>
      <c r="Q13">
        <v>47</v>
      </c>
      <c r="R13">
        <v>46</v>
      </c>
      <c r="S13">
        <v>250.7</v>
      </c>
      <c r="T13">
        <v>277</v>
      </c>
      <c r="U13">
        <v>153</v>
      </c>
      <c r="V13">
        <v>128</v>
      </c>
      <c r="W13">
        <v>25</v>
      </c>
      <c r="X13">
        <v>122</v>
      </c>
      <c r="Y13">
        <v>246</v>
      </c>
      <c r="Z13" s="8">
        <v>1.59</v>
      </c>
      <c r="AA13" s="9">
        <v>0.27500000000000002</v>
      </c>
      <c r="AB13" s="9">
        <v>0.34</v>
      </c>
    </row>
    <row r="14" spans="1:28">
      <c r="A14" t="str">
        <f t="shared" si="0"/>
        <v>SPAdam Payne21</v>
      </c>
      <c r="B14">
        <v>4372</v>
      </c>
      <c r="C14">
        <v>55</v>
      </c>
      <c r="D14" t="s">
        <v>332</v>
      </c>
      <c r="E14" t="s">
        <v>1746</v>
      </c>
      <c r="F14">
        <v>0</v>
      </c>
      <c r="G14" s="10">
        <v>35395</v>
      </c>
      <c r="H14">
        <v>21</v>
      </c>
      <c r="I14" t="s">
        <v>1711</v>
      </c>
      <c r="J14" t="s">
        <v>2003</v>
      </c>
      <c r="K14">
        <v>13</v>
      </c>
      <c r="L14">
        <v>23</v>
      </c>
      <c r="M14">
        <v>0</v>
      </c>
      <c r="N14">
        <v>2</v>
      </c>
      <c r="O14">
        <v>0</v>
      </c>
      <c r="P14" s="8">
        <v>5.39</v>
      </c>
      <c r="Q14">
        <v>47</v>
      </c>
      <c r="R14">
        <v>47</v>
      </c>
      <c r="S14">
        <v>259</v>
      </c>
      <c r="T14">
        <v>295</v>
      </c>
      <c r="U14">
        <v>172</v>
      </c>
      <c r="V14">
        <v>155</v>
      </c>
      <c r="W14">
        <v>23</v>
      </c>
      <c r="X14">
        <v>147</v>
      </c>
      <c r="Y14">
        <v>246</v>
      </c>
      <c r="Z14" s="8">
        <v>1.71</v>
      </c>
      <c r="AA14" s="9">
        <v>0.28599999999999998</v>
      </c>
      <c r="AB14" s="9">
        <v>0.35099999999999998</v>
      </c>
    </row>
    <row r="15" spans="1:28">
      <c r="A15" t="str">
        <f t="shared" si="0"/>
        <v>SPOtto Coleman18</v>
      </c>
      <c r="B15">
        <v>13742</v>
      </c>
      <c r="C15">
        <v>27</v>
      </c>
      <c r="D15" t="s">
        <v>379</v>
      </c>
      <c r="E15" t="s">
        <v>534</v>
      </c>
      <c r="F15">
        <v>0</v>
      </c>
      <c r="G15" s="10">
        <v>36482</v>
      </c>
      <c r="H15">
        <v>18</v>
      </c>
      <c r="I15" t="s">
        <v>1711</v>
      </c>
      <c r="J15" t="s">
        <v>2003</v>
      </c>
      <c r="K15">
        <v>22</v>
      </c>
      <c r="L15">
        <v>6</v>
      </c>
      <c r="M15">
        <v>0</v>
      </c>
      <c r="N15">
        <v>1</v>
      </c>
      <c r="O15">
        <v>0</v>
      </c>
      <c r="P15" s="8">
        <v>4.29</v>
      </c>
      <c r="Q15">
        <v>48</v>
      </c>
      <c r="R15">
        <v>48</v>
      </c>
      <c r="S15">
        <v>294</v>
      </c>
      <c r="T15">
        <v>374</v>
      </c>
      <c r="U15">
        <v>179</v>
      </c>
      <c r="V15">
        <v>140</v>
      </c>
      <c r="W15">
        <v>27</v>
      </c>
      <c r="X15">
        <v>60</v>
      </c>
      <c r="Y15">
        <v>244</v>
      </c>
      <c r="Z15" s="8">
        <v>1.48</v>
      </c>
      <c r="AA15" s="9">
        <v>0.30299999999999999</v>
      </c>
      <c r="AB15" s="9">
        <v>0.35799999999999998</v>
      </c>
    </row>
    <row r="16" spans="1:28">
      <c r="A16" t="str">
        <f t="shared" si="0"/>
        <v>SPMiguel Franco22</v>
      </c>
      <c r="B16">
        <v>2392</v>
      </c>
      <c r="C16">
        <v>176</v>
      </c>
      <c r="D16" t="s">
        <v>1977</v>
      </c>
      <c r="E16" t="s">
        <v>1764</v>
      </c>
      <c r="F16">
        <v>0</v>
      </c>
      <c r="G16" s="10">
        <v>35057</v>
      </c>
      <c r="H16">
        <v>22</v>
      </c>
      <c r="I16" t="s">
        <v>1711</v>
      </c>
      <c r="J16" t="s">
        <v>2003</v>
      </c>
      <c r="K16">
        <v>20</v>
      </c>
      <c r="L16">
        <v>16</v>
      </c>
      <c r="M16">
        <v>0</v>
      </c>
      <c r="N16">
        <v>1</v>
      </c>
      <c r="O16">
        <v>0</v>
      </c>
      <c r="P16" s="8">
        <v>3.47</v>
      </c>
      <c r="Q16">
        <v>47</v>
      </c>
      <c r="R16">
        <v>47</v>
      </c>
      <c r="S16">
        <v>298.7</v>
      </c>
      <c r="T16">
        <v>285</v>
      </c>
      <c r="U16">
        <v>139</v>
      </c>
      <c r="V16">
        <v>115</v>
      </c>
      <c r="W16">
        <v>32</v>
      </c>
      <c r="X16">
        <v>82</v>
      </c>
      <c r="Y16">
        <v>240</v>
      </c>
      <c r="Z16" s="8">
        <v>1.23</v>
      </c>
      <c r="AA16" s="9">
        <v>0.245</v>
      </c>
      <c r="AB16" s="9">
        <v>0.28100000000000003</v>
      </c>
    </row>
    <row r="17" spans="1:28">
      <c r="A17" t="str">
        <f t="shared" si="0"/>
        <v>SPMiguel Angel Romero21</v>
      </c>
      <c r="B17">
        <v>2478</v>
      </c>
      <c r="C17">
        <v>11</v>
      </c>
      <c r="D17" t="s">
        <v>380</v>
      </c>
      <c r="E17" t="s">
        <v>1745</v>
      </c>
      <c r="F17">
        <v>0</v>
      </c>
      <c r="G17" s="10">
        <v>35301</v>
      </c>
      <c r="H17">
        <v>21</v>
      </c>
      <c r="I17" t="s">
        <v>1711</v>
      </c>
      <c r="J17" t="s">
        <v>2003</v>
      </c>
      <c r="K17">
        <v>24</v>
      </c>
      <c r="L17">
        <v>15</v>
      </c>
      <c r="M17">
        <v>0</v>
      </c>
      <c r="N17">
        <v>7</v>
      </c>
      <c r="O17">
        <v>1</v>
      </c>
      <c r="P17" s="8">
        <v>3.97</v>
      </c>
      <c r="Q17">
        <v>52</v>
      </c>
      <c r="R17">
        <v>52</v>
      </c>
      <c r="S17">
        <v>340.3</v>
      </c>
      <c r="T17">
        <v>382</v>
      </c>
      <c r="U17">
        <v>171</v>
      </c>
      <c r="V17">
        <v>150</v>
      </c>
      <c r="W17">
        <v>20</v>
      </c>
      <c r="X17">
        <v>68</v>
      </c>
      <c r="Y17">
        <v>239</v>
      </c>
      <c r="Z17" s="8">
        <v>1.32</v>
      </c>
      <c r="AA17" s="9">
        <v>0.28000000000000003</v>
      </c>
      <c r="AB17" s="9">
        <v>0.32400000000000001</v>
      </c>
    </row>
    <row r="18" spans="1:28">
      <c r="A18" t="str">
        <f t="shared" si="0"/>
        <v>SPRaymond Wilson21</v>
      </c>
      <c r="B18">
        <v>8688</v>
      </c>
      <c r="C18">
        <v>6</v>
      </c>
      <c r="D18" t="s">
        <v>295</v>
      </c>
      <c r="E18" t="s">
        <v>1884</v>
      </c>
      <c r="F18">
        <v>0</v>
      </c>
      <c r="G18" s="10">
        <v>35388</v>
      </c>
      <c r="H18">
        <v>21</v>
      </c>
      <c r="I18" t="s">
        <v>1711</v>
      </c>
      <c r="J18" t="s">
        <v>2003</v>
      </c>
      <c r="K18">
        <v>14</v>
      </c>
      <c r="L18">
        <v>24</v>
      </c>
      <c r="M18">
        <v>0</v>
      </c>
      <c r="N18">
        <v>0</v>
      </c>
      <c r="O18">
        <v>0</v>
      </c>
      <c r="P18" s="8">
        <v>4.3600000000000003</v>
      </c>
      <c r="Q18">
        <v>50</v>
      </c>
      <c r="R18">
        <v>50</v>
      </c>
      <c r="S18">
        <v>274.7</v>
      </c>
      <c r="T18">
        <v>285</v>
      </c>
      <c r="U18">
        <v>152</v>
      </c>
      <c r="V18">
        <v>133</v>
      </c>
      <c r="W18">
        <v>23</v>
      </c>
      <c r="X18">
        <v>111</v>
      </c>
      <c r="Y18">
        <v>233</v>
      </c>
      <c r="Z18" s="8">
        <v>1.44</v>
      </c>
      <c r="AA18" s="9">
        <v>0.26300000000000001</v>
      </c>
      <c r="AB18" s="9">
        <v>0.313</v>
      </c>
    </row>
    <row r="19" spans="1:28">
      <c r="A19" t="str">
        <f t="shared" si="0"/>
        <v>MRRoy Benson21</v>
      </c>
      <c r="B19">
        <v>7511</v>
      </c>
      <c r="C19">
        <v>140</v>
      </c>
      <c r="D19" t="s">
        <v>488</v>
      </c>
      <c r="E19" t="s">
        <v>381</v>
      </c>
      <c r="F19">
        <v>0</v>
      </c>
      <c r="G19" s="10">
        <v>35568</v>
      </c>
      <c r="H19">
        <v>21</v>
      </c>
      <c r="I19" t="s">
        <v>1711</v>
      </c>
      <c r="J19" t="s">
        <v>2021</v>
      </c>
      <c r="K19">
        <v>11</v>
      </c>
      <c r="L19">
        <v>6</v>
      </c>
      <c r="M19">
        <v>12</v>
      </c>
      <c r="N19">
        <v>0</v>
      </c>
      <c r="O19">
        <v>0</v>
      </c>
      <c r="P19" s="8">
        <v>5.15</v>
      </c>
      <c r="Q19">
        <v>116</v>
      </c>
      <c r="R19">
        <v>2</v>
      </c>
      <c r="S19">
        <v>148.69999999999999</v>
      </c>
      <c r="T19">
        <v>142</v>
      </c>
      <c r="U19">
        <v>92</v>
      </c>
      <c r="V19">
        <v>85</v>
      </c>
      <c r="W19">
        <v>18</v>
      </c>
      <c r="X19">
        <v>87</v>
      </c>
      <c r="Y19">
        <v>231</v>
      </c>
      <c r="Z19" s="8">
        <v>1.54</v>
      </c>
      <c r="AA19" s="9">
        <v>0.247</v>
      </c>
      <c r="AB19" s="9">
        <v>0.376</v>
      </c>
    </row>
    <row r="20" spans="1:28">
      <c r="A20" t="str">
        <f t="shared" si="0"/>
        <v>SPManuel Pacheco20</v>
      </c>
      <c r="B20">
        <v>6033</v>
      </c>
      <c r="C20">
        <v>110</v>
      </c>
      <c r="D20" t="s">
        <v>1862</v>
      </c>
      <c r="E20" t="s">
        <v>1859</v>
      </c>
      <c r="F20">
        <v>0</v>
      </c>
      <c r="G20" s="10">
        <v>35583</v>
      </c>
      <c r="H20">
        <v>20</v>
      </c>
      <c r="I20" t="s">
        <v>1711</v>
      </c>
      <c r="J20" t="s">
        <v>2003</v>
      </c>
      <c r="K20">
        <v>15</v>
      </c>
      <c r="L20">
        <v>7</v>
      </c>
      <c r="M20">
        <v>0</v>
      </c>
      <c r="N20">
        <v>1</v>
      </c>
      <c r="O20">
        <v>0</v>
      </c>
      <c r="P20" s="8">
        <v>3.62</v>
      </c>
      <c r="Q20">
        <v>35</v>
      </c>
      <c r="R20">
        <v>35</v>
      </c>
      <c r="S20">
        <v>216.3</v>
      </c>
      <c r="T20">
        <v>204</v>
      </c>
      <c r="U20">
        <v>95</v>
      </c>
      <c r="V20">
        <v>87</v>
      </c>
      <c r="W20">
        <v>6</v>
      </c>
      <c r="X20">
        <v>49</v>
      </c>
      <c r="Y20">
        <v>228</v>
      </c>
      <c r="Z20" s="8">
        <v>1.17</v>
      </c>
      <c r="AA20" s="9">
        <v>0.24199999999999999</v>
      </c>
      <c r="AB20" s="9">
        <v>0.32300000000000001</v>
      </c>
    </row>
    <row r="21" spans="1:28">
      <c r="A21" t="str">
        <f t="shared" si="0"/>
        <v>SPGabriel Sandoval23</v>
      </c>
      <c r="B21">
        <v>11035</v>
      </c>
      <c r="C21">
        <v>111</v>
      </c>
      <c r="D21" t="s">
        <v>1727</v>
      </c>
      <c r="E21" t="s">
        <v>1853</v>
      </c>
      <c r="F21">
        <v>0</v>
      </c>
      <c r="G21" s="10">
        <v>34760</v>
      </c>
      <c r="H21">
        <v>23</v>
      </c>
      <c r="I21" t="s">
        <v>1711</v>
      </c>
      <c r="J21" t="s">
        <v>2003</v>
      </c>
      <c r="K21">
        <v>11</v>
      </c>
      <c r="L21">
        <v>16</v>
      </c>
      <c r="M21">
        <v>9</v>
      </c>
      <c r="N21">
        <v>0</v>
      </c>
      <c r="O21">
        <v>0</v>
      </c>
      <c r="P21" s="8">
        <v>5.24</v>
      </c>
      <c r="Q21">
        <v>92</v>
      </c>
      <c r="R21">
        <v>46</v>
      </c>
      <c r="S21">
        <v>254</v>
      </c>
      <c r="T21">
        <v>282</v>
      </c>
      <c r="U21">
        <v>173</v>
      </c>
      <c r="V21">
        <v>148</v>
      </c>
      <c r="W21">
        <v>17</v>
      </c>
      <c r="X21">
        <v>154</v>
      </c>
      <c r="Y21">
        <v>224</v>
      </c>
      <c r="Z21" s="8">
        <v>1.72</v>
      </c>
      <c r="AA21" s="9">
        <v>0.27900000000000003</v>
      </c>
      <c r="AB21" s="9">
        <v>0.34200000000000003</v>
      </c>
    </row>
    <row r="22" spans="1:28">
      <c r="A22" t="str">
        <f t="shared" si="0"/>
        <v>SPDale Cameron18</v>
      </c>
      <c r="B22">
        <v>1499</v>
      </c>
      <c r="C22">
        <v>314</v>
      </c>
      <c r="D22" t="s">
        <v>548</v>
      </c>
      <c r="E22" t="s">
        <v>1762</v>
      </c>
      <c r="F22">
        <v>0</v>
      </c>
      <c r="G22" s="10">
        <v>36388</v>
      </c>
      <c r="H22">
        <v>18</v>
      </c>
      <c r="I22" t="s">
        <v>1711</v>
      </c>
      <c r="J22" t="s">
        <v>2003</v>
      </c>
      <c r="K22">
        <v>12</v>
      </c>
      <c r="L22">
        <v>6</v>
      </c>
      <c r="M22">
        <v>0</v>
      </c>
      <c r="N22">
        <v>0</v>
      </c>
      <c r="O22">
        <v>0</v>
      </c>
      <c r="P22" s="8">
        <v>4.5</v>
      </c>
      <c r="Q22">
        <v>43</v>
      </c>
      <c r="R22">
        <v>43</v>
      </c>
      <c r="S22">
        <v>234</v>
      </c>
      <c r="T22">
        <v>260</v>
      </c>
      <c r="U22">
        <v>139</v>
      </c>
      <c r="V22">
        <v>117</v>
      </c>
      <c r="W22">
        <v>18</v>
      </c>
      <c r="X22">
        <v>64</v>
      </c>
      <c r="Y22">
        <v>220</v>
      </c>
      <c r="Z22" s="8">
        <v>1.38</v>
      </c>
      <c r="AA22" s="9">
        <v>0.27300000000000002</v>
      </c>
      <c r="AB22" s="9">
        <v>0.33500000000000002</v>
      </c>
    </row>
    <row r="23" spans="1:28">
      <c r="A23" t="str">
        <f t="shared" si="0"/>
        <v>CLEric Castle21</v>
      </c>
      <c r="B23">
        <v>6007</v>
      </c>
      <c r="C23">
        <v>66</v>
      </c>
      <c r="D23" t="s">
        <v>1968</v>
      </c>
      <c r="E23" t="s">
        <v>382</v>
      </c>
      <c r="F23">
        <v>0</v>
      </c>
      <c r="G23" s="10">
        <v>35294</v>
      </c>
      <c r="H23">
        <v>21</v>
      </c>
      <c r="I23" t="s">
        <v>1711</v>
      </c>
      <c r="J23" t="s">
        <v>2032</v>
      </c>
      <c r="K23">
        <v>15</v>
      </c>
      <c r="L23">
        <v>3</v>
      </c>
      <c r="M23">
        <v>12</v>
      </c>
      <c r="N23">
        <v>0</v>
      </c>
      <c r="O23">
        <v>0</v>
      </c>
      <c r="P23" s="8">
        <v>2.98</v>
      </c>
      <c r="Q23">
        <v>52</v>
      </c>
      <c r="R23">
        <v>29</v>
      </c>
      <c r="S23">
        <v>196</v>
      </c>
      <c r="T23">
        <v>183</v>
      </c>
      <c r="U23">
        <v>76</v>
      </c>
      <c r="V23">
        <v>65</v>
      </c>
      <c r="W23">
        <v>8</v>
      </c>
      <c r="X23">
        <v>62</v>
      </c>
      <c r="Y23">
        <v>217</v>
      </c>
      <c r="Z23" s="8">
        <v>1.25</v>
      </c>
      <c r="AA23" s="9">
        <v>0.24399999999999999</v>
      </c>
      <c r="AB23" s="9">
        <v>0.33</v>
      </c>
    </row>
    <row r="24" spans="1:28">
      <c r="A24" t="str">
        <f t="shared" si="0"/>
        <v>SPRafael García18</v>
      </c>
      <c r="B24">
        <v>13853</v>
      </c>
      <c r="C24">
        <v>70</v>
      </c>
      <c r="D24" t="s">
        <v>1882</v>
      </c>
      <c r="E24" t="s">
        <v>1831</v>
      </c>
      <c r="F24">
        <v>0</v>
      </c>
      <c r="G24" s="10">
        <v>36489</v>
      </c>
      <c r="H24">
        <v>18</v>
      </c>
      <c r="I24" t="s">
        <v>1711</v>
      </c>
      <c r="J24" t="s">
        <v>2003</v>
      </c>
      <c r="K24">
        <v>15</v>
      </c>
      <c r="L24">
        <v>12</v>
      </c>
      <c r="M24">
        <v>0</v>
      </c>
      <c r="N24">
        <v>0</v>
      </c>
      <c r="O24">
        <v>0</v>
      </c>
      <c r="P24" s="8">
        <v>4.76</v>
      </c>
      <c r="Q24">
        <v>48</v>
      </c>
      <c r="R24">
        <v>47</v>
      </c>
      <c r="S24">
        <v>257</v>
      </c>
      <c r="T24">
        <v>297</v>
      </c>
      <c r="U24">
        <v>171</v>
      </c>
      <c r="V24">
        <v>136</v>
      </c>
      <c r="W24">
        <v>23</v>
      </c>
      <c r="X24">
        <v>89</v>
      </c>
      <c r="Y24">
        <v>215</v>
      </c>
      <c r="Z24" s="8">
        <v>1.5</v>
      </c>
      <c r="AA24" s="9">
        <v>0.27800000000000002</v>
      </c>
      <c r="AB24" s="9">
        <v>0.32600000000000001</v>
      </c>
    </row>
    <row r="25" spans="1:28">
      <c r="A25" t="str">
        <f t="shared" si="0"/>
        <v>SPLuis Monsalve21</v>
      </c>
      <c r="B25">
        <v>7171</v>
      </c>
      <c r="C25">
        <v>173</v>
      </c>
      <c r="D25" t="s">
        <v>1826</v>
      </c>
      <c r="E25" t="s">
        <v>383</v>
      </c>
      <c r="F25">
        <v>0</v>
      </c>
      <c r="G25" s="10">
        <v>35481</v>
      </c>
      <c r="H25">
        <v>21</v>
      </c>
      <c r="I25" t="s">
        <v>1711</v>
      </c>
      <c r="J25" t="s">
        <v>2003</v>
      </c>
      <c r="K25">
        <v>13</v>
      </c>
      <c r="L25">
        <v>12</v>
      </c>
      <c r="M25">
        <v>0</v>
      </c>
      <c r="N25">
        <v>0</v>
      </c>
      <c r="O25">
        <v>0</v>
      </c>
      <c r="P25" s="8">
        <v>5.93</v>
      </c>
      <c r="Q25">
        <v>40</v>
      </c>
      <c r="R25">
        <v>40</v>
      </c>
      <c r="S25">
        <v>215.3</v>
      </c>
      <c r="T25">
        <v>274</v>
      </c>
      <c r="U25">
        <v>151</v>
      </c>
      <c r="V25">
        <v>142</v>
      </c>
      <c r="W25">
        <v>33</v>
      </c>
      <c r="X25">
        <v>101</v>
      </c>
      <c r="Y25">
        <v>212</v>
      </c>
      <c r="Z25" s="8">
        <v>1.74</v>
      </c>
      <c r="AA25" s="9">
        <v>0.307</v>
      </c>
      <c r="AB25" s="9">
        <v>0.36799999999999999</v>
      </c>
    </row>
    <row r="26" spans="1:28">
      <c r="A26" t="str">
        <f t="shared" si="0"/>
        <v>SPAaron Green18</v>
      </c>
      <c r="B26">
        <v>13801</v>
      </c>
      <c r="C26">
        <v>195</v>
      </c>
      <c r="D26" t="s">
        <v>1886</v>
      </c>
      <c r="E26" t="s">
        <v>1920</v>
      </c>
      <c r="F26">
        <v>0</v>
      </c>
      <c r="G26" s="10">
        <v>36441</v>
      </c>
      <c r="H26">
        <v>18</v>
      </c>
      <c r="I26" t="s">
        <v>1711</v>
      </c>
      <c r="J26" t="s">
        <v>2003</v>
      </c>
      <c r="K26">
        <v>15</v>
      </c>
      <c r="L26">
        <v>10</v>
      </c>
      <c r="M26">
        <v>0</v>
      </c>
      <c r="N26">
        <v>0</v>
      </c>
      <c r="O26">
        <v>0</v>
      </c>
      <c r="P26" s="8">
        <v>4.4800000000000004</v>
      </c>
      <c r="Q26">
        <v>46</v>
      </c>
      <c r="R26">
        <v>46</v>
      </c>
      <c r="S26">
        <v>251.3</v>
      </c>
      <c r="T26">
        <v>305</v>
      </c>
      <c r="U26">
        <v>157</v>
      </c>
      <c r="V26">
        <v>125</v>
      </c>
      <c r="W26">
        <v>23</v>
      </c>
      <c r="X26">
        <v>72</v>
      </c>
      <c r="Y26">
        <v>211</v>
      </c>
      <c r="Z26" s="8">
        <v>1.5</v>
      </c>
      <c r="AA26" s="9">
        <v>0.29199999999999998</v>
      </c>
      <c r="AB26" s="9">
        <v>0.34599999999999997</v>
      </c>
    </row>
    <row r="27" spans="1:28">
      <c r="A27" t="str">
        <f t="shared" si="0"/>
        <v>SPRaúl Díaz22</v>
      </c>
      <c r="B27">
        <v>3036</v>
      </c>
      <c r="C27">
        <v>52</v>
      </c>
      <c r="D27" t="s">
        <v>1685</v>
      </c>
      <c r="E27" t="s">
        <v>1906</v>
      </c>
      <c r="F27">
        <v>0</v>
      </c>
      <c r="G27" s="10">
        <v>34971</v>
      </c>
      <c r="H27">
        <v>22</v>
      </c>
      <c r="I27" t="s">
        <v>1711</v>
      </c>
      <c r="J27" t="s">
        <v>2003</v>
      </c>
      <c r="K27">
        <v>14</v>
      </c>
      <c r="L27">
        <v>25</v>
      </c>
      <c r="M27">
        <v>0</v>
      </c>
      <c r="N27">
        <v>2</v>
      </c>
      <c r="O27">
        <v>1</v>
      </c>
      <c r="P27" s="8">
        <v>5.41</v>
      </c>
      <c r="Q27">
        <v>50</v>
      </c>
      <c r="R27">
        <v>50</v>
      </c>
      <c r="S27">
        <v>293</v>
      </c>
      <c r="T27">
        <v>361</v>
      </c>
      <c r="U27">
        <v>202</v>
      </c>
      <c r="V27">
        <v>176</v>
      </c>
      <c r="W27">
        <v>37</v>
      </c>
      <c r="X27">
        <v>161</v>
      </c>
      <c r="Y27">
        <v>209</v>
      </c>
      <c r="Z27" s="8">
        <v>1.78</v>
      </c>
      <c r="AA27" s="9">
        <v>0.3</v>
      </c>
      <c r="AB27" s="9">
        <v>0.33600000000000002</v>
      </c>
    </row>
    <row r="28" spans="1:28">
      <c r="A28" t="str">
        <f t="shared" si="0"/>
        <v>SPJames Jordan22</v>
      </c>
      <c r="B28">
        <v>2198</v>
      </c>
      <c r="C28">
        <v>168</v>
      </c>
      <c r="D28" t="s">
        <v>1938</v>
      </c>
      <c r="E28" t="s">
        <v>1785</v>
      </c>
      <c r="F28">
        <v>0</v>
      </c>
      <c r="G28" s="10">
        <v>35122</v>
      </c>
      <c r="H28">
        <v>22</v>
      </c>
      <c r="I28" t="s">
        <v>1711</v>
      </c>
      <c r="J28" t="s">
        <v>2003</v>
      </c>
      <c r="K28">
        <v>11</v>
      </c>
      <c r="L28">
        <v>18</v>
      </c>
      <c r="M28">
        <v>0</v>
      </c>
      <c r="N28">
        <v>0</v>
      </c>
      <c r="O28">
        <v>0</v>
      </c>
      <c r="P28" s="8">
        <v>5.57</v>
      </c>
      <c r="Q28">
        <v>45</v>
      </c>
      <c r="R28">
        <v>45</v>
      </c>
      <c r="S28">
        <v>245.7</v>
      </c>
      <c r="T28">
        <v>292</v>
      </c>
      <c r="U28">
        <v>167</v>
      </c>
      <c r="V28">
        <v>152</v>
      </c>
      <c r="W28">
        <v>30</v>
      </c>
      <c r="X28">
        <v>99</v>
      </c>
      <c r="Y28">
        <v>209</v>
      </c>
      <c r="Z28" s="8">
        <v>1.59</v>
      </c>
      <c r="AA28" s="9">
        <v>0.29599999999999999</v>
      </c>
      <c r="AB28" s="9">
        <v>0.34200000000000003</v>
      </c>
    </row>
    <row r="29" spans="1:28">
      <c r="A29" t="str">
        <f t="shared" si="0"/>
        <v>SPRoberto Díaz21</v>
      </c>
      <c r="B29">
        <v>6017</v>
      </c>
      <c r="C29">
        <v>158</v>
      </c>
      <c r="D29" t="s">
        <v>471</v>
      </c>
      <c r="E29" t="s">
        <v>1906</v>
      </c>
      <c r="F29">
        <v>0</v>
      </c>
      <c r="G29" s="10">
        <v>35226</v>
      </c>
      <c r="H29">
        <v>21</v>
      </c>
      <c r="I29" t="s">
        <v>1711</v>
      </c>
      <c r="J29" t="s">
        <v>2003</v>
      </c>
      <c r="K29">
        <v>10</v>
      </c>
      <c r="L29">
        <v>10</v>
      </c>
      <c r="M29">
        <v>0</v>
      </c>
      <c r="N29">
        <v>0</v>
      </c>
      <c r="O29">
        <v>0</v>
      </c>
      <c r="P29" s="8">
        <v>4.8499999999999996</v>
      </c>
      <c r="Q29">
        <v>48</v>
      </c>
      <c r="R29">
        <v>48</v>
      </c>
      <c r="S29">
        <v>247</v>
      </c>
      <c r="T29">
        <v>291</v>
      </c>
      <c r="U29">
        <v>155</v>
      </c>
      <c r="V29">
        <v>133</v>
      </c>
      <c r="W29">
        <v>26</v>
      </c>
      <c r="X29">
        <v>109</v>
      </c>
      <c r="Y29">
        <v>202</v>
      </c>
      <c r="Z29" s="8">
        <v>1.62</v>
      </c>
      <c r="AA29" s="9">
        <v>0.29099999999999998</v>
      </c>
      <c r="AB29" s="9">
        <v>0.33800000000000002</v>
      </c>
    </row>
    <row r="30" spans="1:28">
      <c r="A30" t="str">
        <f t="shared" si="0"/>
        <v>SPThad Taylor22</v>
      </c>
      <c r="B30">
        <v>3190</v>
      </c>
      <c r="C30">
        <v>46</v>
      </c>
      <c r="D30" t="s">
        <v>1784</v>
      </c>
      <c r="E30" t="s">
        <v>1923</v>
      </c>
      <c r="F30">
        <v>0</v>
      </c>
      <c r="G30" s="10">
        <v>34953</v>
      </c>
      <c r="H30">
        <v>22</v>
      </c>
      <c r="I30" t="s">
        <v>1711</v>
      </c>
      <c r="J30" t="s">
        <v>2003</v>
      </c>
      <c r="K30">
        <v>17</v>
      </c>
      <c r="L30">
        <v>14</v>
      </c>
      <c r="M30">
        <v>0</v>
      </c>
      <c r="N30">
        <v>1</v>
      </c>
      <c r="O30">
        <v>0</v>
      </c>
      <c r="P30" s="8">
        <v>3.77</v>
      </c>
      <c r="Q30">
        <v>45</v>
      </c>
      <c r="R30">
        <v>45</v>
      </c>
      <c r="S30">
        <v>294</v>
      </c>
      <c r="T30">
        <v>308</v>
      </c>
      <c r="U30">
        <v>142</v>
      </c>
      <c r="V30">
        <v>123</v>
      </c>
      <c r="W30">
        <v>27</v>
      </c>
      <c r="X30">
        <v>106</v>
      </c>
      <c r="Y30">
        <v>201</v>
      </c>
      <c r="Z30" s="8">
        <v>1.41</v>
      </c>
      <c r="AA30" s="9">
        <v>0.27100000000000002</v>
      </c>
      <c r="AB30" s="9">
        <v>0.30399999999999999</v>
      </c>
    </row>
    <row r="31" spans="1:28">
      <c r="A31" t="str">
        <f t="shared" si="0"/>
        <v>SPMelvin McNeal18</v>
      </c>
      <c r="B31">
        <v>13743</v>
      </c>
      <c r="C31">
        <v>58</v>
      </c>
      <c r="D31" t="s">
        <v>1758</v>
      </c>
      <c r="E31" t="s">
        <v>384</v>
      </c>
      <c r="F31">
        <v>0</v>
      </c>
      <c r="G31" s="10">
        <v>36583</v>
      </c>
      <c r="H31">
        <v>18</v>
      </c>
      <c r="I31" t="s">
        <v>1711</v>
      </c>
      <c r="J31" t="s">
        <v>2003</v>
      </c>
      <c r="K31">
        <v>21</v>
      </c>
      <c r="L31">
        <v>8</v>
      </c>
      <c r="M31">
        <v>1</v>
      </c>
      <c r="N31">
        <v>1</v>
      </c>
      <c r="O31">
        <v>1</v>
      </c>
      <c r="P31" s="8">
        <v>4.58</v>
      </c>
      <c r="Q31">
        <v>55</v>
      </c>
      <c r="R31">
        <v>49</v>
      </c>
      <c r="S31">
        <v>283</v>
      </c>
      <c r="T31">
        <v>370</v>
      </c>
      <c r="U31">
        <v>186</v>
      </c>
      <c r="V31">
        <v>144</v>
      </c>
      <c r="W31">
        <v>6</v>
      </c>
      <c r="X31">
        <v>107</v>
      </c>
      <c r="Y31">
        <v>200</v>
      </c>
      <c r="Z31" s="8">
        <v>1.69</v>
      </c>
      <c r="AA31" s="9">
        <v>0.311</v>
      </c>
      <c r="AB31" s="9">
        <v>0.36499999999999999</v>
      </c>
    </row>
    <row r="32" spans="1:28">
      <c r="A32" t="str">
        <f t="shared" si="0"/>
        <v>SPDrake Sackett18</v>
      </c>
      <c r="B32">
        <v>13847</v>
      </c>
      <c r="C32">
        <v>64</v>
      </c>
      <c r="D32" t="s">
        <v>386</v>
      </c>
      <c r="E32" t="s">
        <v>387</v>
      </c>
      <c r="F32">
        <v>0</v>
      </c>
      <c r="G32" s="10">
        <v>36613</v>
      </c>
      <c r="H32">
        <v>18</v>
      </c>
      <c r="I32" t="s">
        <v>1711</v>
      </c>
      <c r="J32" t="s">
        <v>2003</v>
      </c>
      <c r="K32">
        <v>14</v>
      </c>
      <c r="L32">
        <v>8</v>
      </c>
      <c r="M32">
        <v>0</v>
      </c>
      <c r="N32">
        <v>0</v>
      </c>
      <c r="O32">
        <v>0</v>
      </c>
      <c r="P32" s="8">
        <v>5.84</v>
      </c>
      <c r="Q32">
        <v>38</v>
      </c>
      <c r="R32">
        <v>38</v>
      </c>
      <c r="S32">
        <v>226.7</v>
      </c>
      <c r="T32">
        <v>316</v>
      </c>
      <c r="U32">
        <v>175</v>
      </c>
      <c r="V32">
        <v>147</v>
      </c>
      <c r="W32">
        <v>26</v>
      </c>
      <c r="X32">
        <v>67</v>
      </c>
      <c r="Y32">
        <v>196</v>
      </c>
      <c r="Z32" s="8">
        <v>1.69</v>
      </c>
      <c r="AA32" s="9">
        <v>0.32600000000000001</v>
      </c>
      <c r="AB32" s="9">
        <v>0.38300000000000001</v>
      </c>
    </row>
    <row r="33" spans="1:28">
      <c r="A33" t="str">
        <f t="shared" si="0"/>
        <v>MRTony Wright22</v>
      </c>
      <c r="B33">
        <v>12034</v>
      </c>
      <c r="C33">
        <v>160</v>
      </c>
      <c r="D33" t="s">
        <v>1860</v>
      </c>
      <c r="E33" t="s">
        <v>1780</v>
      </c>
      <c r="F33">
        <v>0</v>
      </c>
      <c r="G33" s="10">
        <v>34866</v>
      </c>
      <c r="H33">
        <v>22</v>
      </c>
      <c r="I33" t="s">
        <v>1711</v>
      </c>
      <c r="J33" t="s">
        <v>2021</v>
      </c>
      <c r="K33">
        <v>18</v>
      </c>
      <c r="L33">
        <v>10</v>
      </c>
      <c r="M33">
        <v>19</v>
      </c>
      <c r="N33">
        <v>0</v>
      </c>
      <c r="O33">
        <v>0</v>
      </c>
      <c r="P33" s="8">
        <v>4.37</v>
      </c>
      <c r="Q33">
        <v>173</v>
      </c>
      <c r="R33">
        <v>2</v>
      </c>
      <c r="S33">
        <v>210</v>
      </c>
      <c r="T33">
        <v>224</v>
      </c>
      <c r="U33">
        <v>130</v>
      </c>
      <c r="V33">
        <v>102</v>
      </c>
      <c r="W33">
        <v>23</v>
      </c>
      <c r="X33">
        <v>120</v>
      </c>
      <c r="Y33">
        <v>195</v>
      </c>
      <c r="Z33" s="8">
        <v>1.64</v>
      </c>
      <c r="AA33" s="9">
        <v>0.27100000000000002</v>
      </c>
      <c r="AB33" s="9">
        <v>0.32500000000000001</v>
      </c>
    </row>
    <row r="34" spans="1:28">
      <c r="A34" t="str">
        <f t="shared" si="0"/>
        <v>SPCurt Mills21</v>
      </c>
      <c r="B34">
        <v>7297</v>
      </c>
      <c r="C34">
        <v>7</v>
      </c>
      <c r="D34" t="s">
        <v>1970</v>
      </c>
      <c r="E34" t="s">
        <v>331</v>
      </c>
      <c r="F34">
        <v>0</v>
      </c>
      <c r="G34" s="10">
        <v>35533</v>
      </c>
      <c r="H34">
        <v>21</v>
      </c>
      <c r="I34" t="s">
        <v>1711</v>
      </c>
      <c r="J34" t="s">
        <v>2003</v>
      </c>
      <c r="K34">
        <v>22</v>
      </c>
      <c r="L34">
        <v>19</v>
      </c>
      <c r="M34">
        <v>0</v>
      </c>
      <c r="N34">
        <v>6</v>
      </c>
      <c r="O34">
        <v>0</v>
      </c>
      <c r="P34" s="8">
        <v>4.6100000000000003</v>
      </c>
      <c r="Q34">
        <v>48</v>
      </c>
      <c r="R34">
        <v>48</v>
      </c>
      <c r="S34">
        <v>304.7</v>
      </c>
      <c r="T34">
        <v>338</v>
      </c>
      <c r="U34">
        <v>176</v>
      </c>
      <c r="V34">
        <v>156</v>
      </c>
      <c r="W34">
        <v>23</v>
      </c>
      <c r="X34">
        <v>87</v>
      </c>
      <c r="Y34">
        <v>195</v>
      </c>
      <c r="Z34" s="8">
        <v>1.4</v>
      </c>
      <c r="AA34" s="9">
        <v>0.28199999999999997</v>
      </c>
      <c r="AB34" s="9">
        <v>0.316</v>
      </c>
    </row>
    <row r="35" spans="1:28">
      <c r="A35" t="str">
        <f t="shared" si="0"/>
        <v>SPPaco Morales21</v>
      </c>
      <c r="B35">
        <v>5656</v>
      </c>
      <c r="C35">
        <v>300</v>
      </c>
      <c r="D35" t="s">
        <v>1944</v>
      </c>
      <c r="E35" t="s">
        <v>1919</v>
      </c>
      <c r="F35">
        <v>0</v>
      </c>
      <c r="G35" s="10">
        <v>35251</v>
      </c>
      <c r="H35">
        <v>21</v>
      </c>
      <c r="I35" t="s">
        <v>1711</v>
      </c>
      <c r="J35" t="s">
        <v>2003</v>
      </c>
      <c r="K35">
        <v>20</v>
      </c>
      <c r="L35">
        <v>12</v>
      </c>
      <c r="M35">
        <v>0</v>
      </c>
      <c r="N35">
        <v>2</v>
      </c>
      <c r="O35">
        <v>0</v>
      </c>
      <c r="P35" s="8">
        <v>4.8499999999999996</v>
      </c>
      <c r="Q35">
        <v>49</v>
      </c>
      <c r="R35">
        <v>49</v>
      </c>
      <c r="S35">
        <v>274.7</v>
      </c>
      <c r="T35">
        <v>298</v>
      </c>
      <c r="U35">
        <v>160</v>
      </c>
      <c r="V35">
        <v>148</v>
      </c>
      <c r="W35">
        <v>26</v>
      </c>
      <c r="X35">
        <v>98</v>
      </c>
      <c r="Y35">
        <v>193</v>
      </c>
      <c r="Z35" s="8">
        <v>1.44</v>
      </c>
      <c r="AA35" s="9">
        <v>0.27400000000000002</v>
      </c>
      <c r="AB35" s="9">
        <v>0.309</v>
      </c>
    </row>
    <row r="36" spans="1:28">
      <c r="A36" t="str">
        <f t="shared" si="0"/>
        <v>SPRich Phillips21</v>
      </c>
      <c r="B36">
        <v>8543</v>
      </c>
      <c r="C36">
        <v>128</v>
      </c>
      <c r="D36" t="s">
        <v>385</v>
      </c>
      <c r="E36" t="s">
        <v>1665</v>
      </c>
      <c r="F36">
        <v>0</v>
      </c>
      <c r="G36" s="10">
        <v>35340</v>
      </c>
      <c r="H36">
        <v>21</v>
      </c>
      <c r="I36" t="s">
        <v>1711</v>
      </c>
      <c r="J36" t="s">
        <v>2003</v>
      </c>
      <c r="K36">
        <v>17</v>
      </c>
      <c r="L36">
        <v>11</v>
      </c>
      <c r="M36">
        <v>0</v>
      </c>
      <c r="N36">
        <v>0</v>
      </c>
      <c r="O36">
        <v>0</v>
      </c>
      <c r="P36" s="8">
        <v>4.12</v>
      </c>
      <c r="Q36">
        <v>46</v>
      </c>
      <c r="R36">
        <v>46</v>
      </c>
      <c r="S36">
        <v>257.7</v>
      </c>
      <c r="T36">
        <v>278</v>
      </c>
      <c r="U36">
        <v>142</v>
      </c>
      <c r="V36">
        <v>118</v>
      </c>
      <c r="W36">
        <v>19</v>
      </c>
      <c r="X36">
        <v>62</v>
      </c>
      <c r="Y36">
        <v>190</v>
      </c>
      <c r="Z36" s="8">
        <v>1.32</v>
      </c>
      <c r="AA36" s="9">
        <v>0.27300000000000002</v>
      </c>
      <c r="AB36" s="9">
        <v>0.316</v>
      </c>
    </row>
    <row r="37" spans="1:28">
      <c r="A37" t="str">
        <f t="shared" si="0"/>
        <v>SPBill Martin21</v>
      </c>
      <c r="B37">
        <v>5504</v>
      </c>
      <c r="C37">
        <v>21</v>
      </c>
      <c r="D37" t="s">
        <v>1869</v>
      </c>
      <c r="E37" t="s">
        <v>1976</v>
      </c>
      <c r="F37">
        <v>0</v>
      </c>
      <c r="G37" s="10">
        <v>35540</v>
      </c>
      <c r="H37">
        <v>21</v>
      </c>
      <c r="I37" t="s">
        <v>1711</v>
      </c>
      <c r="J37" t="s">
        <v>2003</v>
      </c>
      <c r="K37">
        <v>10</v>
      </c>
      <c r="L37">
        <v>13</v>
      </c>
      <c r="M37">
        <v>0</v>
      </c>
      <c r="N37">
        <v>0</v>
      </c>
      <c r="O37">
        <v>0</v>
      </c>
      <c r="P37" s="8">
        <v>5.64</v>
      </c>
      <c r="Q37">
        <v>49</v>
      </c>
      <c r="R37">
        <v>46</v>
      </c>
      <c r="S37">
        <v>245.7</v>
      </c>
      <c r="T37">
        <v>299</v>
      </c>
      <c r="U37">
        <v>179</v>
      </c>
      <c r="V37">
        <v>154</v>
      </c>
      <c r="W37">
        <v>34</v>
      </c>
      <c r="X37">
        <v>101</v>
      </c>
      <c r="Y37">
        <v>189</v>
      </c>
      <c r="Z37" s="8">
        <v>1.63</v>
      </c>
      <c r="AA37" s="9">
        <v>0.29899999999999999</v>
      </c>
      <c r="AB37" s="9">
        <v>0.33600000000000002</v>
      </c>
    </row>
    <row r="38" spans="1:28">
      <c r="A38" t="str">
        <f t="shared" si="0"/>
        <v>SPEddy McBride21</v>
      </c>
      <c r="B38">
        <v>2620</v>
      </c>
      <c r="C38">
        <v>92</v>
      </c>
      <c r="D38" t="s">
        <v>1690</v>
      </c>
      <c r="E38" t="s">
        <v>526</v>
      </c>
      <c r="F38">
        <v>0</v>
      </c>
      <c r="G38" s="10">
        <v>35436</v>
      </c>
      <c r="H38">
        <v>21</v>
      </c>
      <c r="I38" t="s">
        <v>1711</v>
      </c>
      <c r="J38" t="s">
        <v>2003</v>
      </c>
      <c r="K38">
        <v>19</v>
      </c>
      <c r="L38">
        <v>15</v>
      </c>
      <c r="M38">
        <v>0</v>
      </c>
      <c r="N38">
        <v>3</v>
      </c>
      <c r="O38">
        <v>0</v>
      </c>
      <c r="P38" s="8">
        <v>3.34</v>
      </c>
      <c r="Q38">
        <v>48</v>
      </c>
      <c r="R38">
        <v>48</v>
      </c>
      <c r="S38">
        <v>296</v>
      </c>
      <c r="T38">
        <v>290</v>
      </c>
      <c r="U38">
        <v>150</v>
      </c>
      <c r="V38">
        <v>110</v>
      </c>
      <c r="W38">
        <v>22</v>
      </c>
      <c r="X38">
        <v>81</v>
      </c>
      <c r="Y38">
        <v>188</v>
      </c>
      <c r="Z38" s="8">
        <v>1.25</v>
      </c>
      <c r="AA38" s="9">
        <v>0.252</v>
      </c>
      <c r="AB38" s="9">
        <v>0.28100000000000003</v>
      </c>
    </row>
    <row r="39" spans="1:28">
      <c r="A39" t="str">
        <f t="shared" si="0"/>
        <v>SPTom Hill22</v>
      </c>
      <c r="B39">
        <v>3215</v>
      </c>
      <c r="C39">
        <v>82</v>
      </c>
      <c r="D39" t="s">
        <v>1875</v>
      </c>
      <c r="E39" t="s">
        <v>1778</v>
      </c>
      <c r="F39">
        <v>0</v>
      </c>
      <c r="G39" s="10">
        <v>35056</v>
      </c>
      <c r="H39">
        <v>22</v>
      </c>
      <c r="I39" t="s">
        <v>1711</v>
      </c>
      <c r="J39" t="s">
        <v>2003</v>
      </c>
      <c r="K39">
        <v>18</v>
      </c>
      <c r="L39">
        <v>13</v>
      </c>
      <c r="M39">
        <v>0</v>
      </c>
      <c r="N39">
        <v>0</v>
      </c>
      <c r="O39">
        <v>0</v>
      </c>
      <c r="P39" s="8">
        <v>3.94</v>
      </c>
      <c r="Q39">
        <v>48</v>
      </c>
      <c r="R39">
        <v>48</v>
      </c>
      <c r="S39">
        <v>288</v>
      </c>
      <c r="T39">
        <v>330</v>
      </c>
      <c r="U39">
        <v>150</v>
      </c>
      <c r="V39">
        <v>126</v>
      </c>
      <c r="W39">
        <v>23</v>
      </c>
      <c r="X39">
        <v>62</v>
      </c>
      <c r="Y39">
        <v>188</v>
      </c>
      <c r="Z39" s="8">
        <v>1.36</v>
      </c>
      <c r="AA39" s="9">
        <v>0.28399999999999997</v>
      </c>
      <c r="AB39" s="9">
        <v>0.31900000000000001</v>
      </c>
    </row>
    <row r="40" spans="1:28">
      <c r="A40" t="str">
        <f t="shared" si="0"/>
        <v>SPKeith Mays21</v>
      </c>
      <c r="B40">
        <v>8683</v>
      </c>
      <c r="C40">
        <v>16</v>
      </c>
      <c r="D40" t="s">
        <v>1961</v>
      </c>
      <c r="E40" t="s">
        <v>388</v>
      </c>
      <c r="F40">
        <v>0</v>
      </c>
      <c r="G40" s="10">
        <v>35573</v>
      </c>
      <c r="H40">
        <v>21</v>
      </c>
      <c r="I40" t="s">
        <v>1711</v>
      </c>
      <c r="J40" t="s">
        <v>2003</v>
      </c>
      <c r="K40">
        <v>7</v>
      </c>
      <c r="L40">
        <v>21</v>
      </c>
      <c r="M40">
        <v>0</v>
      </c>
      <c r="N40">
        <v>0</v>
      </c>
      <c r="O40">
        <v>0</v>
      </c>
      <c r="P40" s="8">
        <v>5.33</v>
      </c>
      <c r="Q40">
        <v>43</v>
      </c>
      <c r="R40">
        <v>43</v>
      </c>
      <c r="S40">
        <v>253.3</v>
      </c>
      <c r="T40">
        <v>279</v>
      </c>
      <c r="U40">
        <v>170</v>
      </c>
      <c r="V40">
        <v>150</v>
      </c>
      <c r="W40">
        <v>28</v>
      </c>
      <c r="X40">
        <v>125</v>
      </c>
      <c r="Y40">
        <v>188</v>
      </c>
      <c r="Z40" s="8">
        <v>1.59</v>
      </c>
      <c r="AA40" s="9">
        <v>0.27900000000000003</v>
      </c>
      <c r="AB40" s="9">
        <v>0.318</v>
      </c>
    </row>
    <row r="41" spans="1:28">
      <c r="A41" t="str">
        <f t="shared" si="0"/>
        <v>SPAnthony Thompson21</v>
      </c>
      <c r="B41">
        <v>4284</v>
      </c>
      <c r="C41">
        <v>103</v>
      </c>
      <c r="D41" t="s">
        <v>1916</v>
      </c>
      <c r="E41" t="s">
        <v>1940</v>
      </c>
      <c r="F41">
        <v>0</v>
      </c>
      <c r="G41" s="10">
        <v>35224</v>
      </c>
      <c r="H41">
        <v>21</v>
      </c>
      <c r="I41" t="s">
        <v>1711</v>
      </c>
      <c r="J41" t="s">
        <v>2003</v>
      </c>
      <c r="K41">
        <v>21</v>
      </c>
      <c r="L41">
        <v>16</v>
      </c>
      <c r="M41">
        <v>0</v>
      </c>
      <c r="N41">
        <v>3</v>
      </c>
      <c r="O41">
        <v>0</v>
      </c>
      <c r="P41" s="8">
        <v>5.75</v>
      </c>
      <c r="Q41">
        <v>50</v>
      </c>
      <c r="R41">
        <v>50</v>
      </c>
      <c r="S41">
        <v>294.3</v>
      </c>
      <c r="T41">
        <v>373</v>
      </c>
      <c r="U41">
        <v>194</v>
      </c>
      <c r="V41">
        <v>188</v>
      </c>
      <c r="W41">
        <v>23</v>
      </c>
      <c r="X41">
        <v>104</v>
      </c>
      <c r="Y41">
        <v>188</v>
      </c>
      <c r="Z41" s="8">
        <v>1.62</v>
      </c>
      <c r="AA41" s="9">
        <v>0.309</v>
      </c>
      <c r="AB41" s="9">
        <v>0.34599999999999997</v>
      </c>
    </row>
    <row r="42" spans="1:28">
      <c r="A42" t="str">
        <f t="shared" si="0"/>
        <v>SPBartolo Cruz21</v>
      </c>
      <c r="B42">
        <v>4295</v>
      </c>
      <c r="C42">
        <v>285</v>
      </c>
      <c r="D42" t="s">
        <v>1866</v>
      </c>
      <c r="E42" t="s">
        <v>1755</v>
      </c>
      <c r="F42">
        <v>0</v>
      </c>
      <c r="G42" s="10">
        <v>35503</v>
      </c>
      <c r="H42">
        <v>21</v>
      </c>
      <c r="I42" t="s">
        <v>1711</v>
      </c>
      <c r="J42" t="s">
        <v>2003</v>
      </c>
      <c r="K42">
        <v>16</v>
      </c>
      <c r="L42">
        <v>11</v>
      </c>
      <c r="M42">
        <v>0</v>
      </c>
      <c r="N42">
        <v>1</v>
      </c>
      <c r="O42">
        <v>1</v>
      </c>
      <c r="P42" s="8">
        <v>4.92</v>
      </c>
      <c r="Q42">
        <v>46</v>
      </c>
      <c r="R42">
        <v>46</v>
      </c>
      <c r="S42">
        <v>258</v>
      </c>
      <c r="T42">
        <v>277</v>
      </c>
      <c r="U42">
        <v>156</v>
      </c>
      <c r="V42">
        <v>141</v>
      </c>
      <c r="W42">
        <v>25</v>
      </c>
      <c r="X42">
        <v>97</v>
      </c>
      <c r="Y42">
        <v>187</v>
      </c>
      <c r="Z42" s="8">
        <v>1.45</v>
      </c>
      <c r="AA42" s="9">
        <v>0.27</v>
      </c>
      <c r="AB42" s="9">
        <v>0.307</v>
      </c>
    </row>
    <row r="43" spans="1:28">
      <c r="A43" t="str">
        <f t="shared" si="0"/>
        <v>SPMarvin Lilly21</v>
      </c>
      <c r="B43">
        <v>1973</v>
      </c>
      <c r="C43">
        <v>291</v>
      </c>
      <c r="D43" t="s">
        <v>505</v>
      </c>
      <c r="E43" t="s">
        <v>389</v>
      </c>
      <c r="F43">
        <v>0</v>
      </c>
      <c r="G43" s="10">
        <v>35346</v>
      </c>
      <c r="H43">
        <v>21</v>
      </c>
      <c r="I43" t="s">
        <v>1711</v>
      </c>
      <c r="J43" t="s">
        <v>2003</v>
      </c>
      <c r="K43">
        <v>17</v>
      </c>
      <c r="L43">
        <v>11</v>
      </c>
      <c r="M43">
        <v>0</v>
      </c>
      <c r="N43">
        <v>3</v>
      </c>
      <c r="O43">
        <v>1</v>
      </c>
      <c r="P43" s="8">
        <v>4.6500000000000004</v>
      </c>
      <c r="Q43">
        <v>49</v>
      </c>
      <c r="R43">
        <v>49</v>
      </c>
      <c r="S43">
        <v>292</v>
      </c>
      <c r="T43">
        <v>336</v>
      </c>
      <c r="U43">
        <v>163</v>
      </c>
      <c r="V43">
        <v>151</v>
      </c>
      <c r="W43">
        <v>33</v>
      </c>
      <c r="X43">
        <v>82</v>
      </c>
      <c r="Y43">
        <v>186</v>
      </c>
      <c r="Z43" s="8">
        <v>1.43</v>
      </c>
      <c r="AA43" s="9">
        <v>0.28599999999999998</v>
      </c>
      <c r="AB43" s="9">
        <v>0.314</v>
      </c>
    </row>
    <row r="44" spans="1:28">
      <c r="A44" t="str">
        <f t="shared" si="0"/>
        <v>MRDave Kirkpatrick18</v>
      </c>
      <c r="B44">
        <v>1703</v>
      </c>
      <c r="C44">
        <v>39</v>
      </c>
      <c r="D44" t="s">
        <v>1830</v>
      </c>
      <c r="E44" t="s">
        <v>390</v>
      </c>
      <c r="F44">
        <v>0</v>
      </c>
      <c r="G44" s="10">
        <v>36371</v>
      </c>
      <c r="H44">
        <v>18</v>
      </c>
      <c r="I44" t="s">
        <v>1711</v>
      </c>
      <c r="J44" t="s">
        <v>2021</v>
      </c>
      <c r="K44">
        <v>19</v>
      </c>
      <c r="L44">
        <v>13</v>
      </c>
      <c r="M44">
        <v>6</v>
      </c>
      <c r="N44">
        <v>2</v>
      </c>
      <c r="O44">
        <v>0</v>
      </c>
      <c r="P44" s="8">
        <v>4.7300000000000004</v>
      </c>
      <c r="Q44">
        <v>61</v>
      </c>
      <c r="R44">
        <v>34</v>
      </c>
      <c r="S44">
        <v>243.3</v>
      </c>
      <c r="T44">
        <v>291</v>
      </c>
      <c r="U44">
        <v>145</v>
      </c>
      <c r="V44">
        <v>128</v>
      </c>
      <c r="W44">
        <v>28</v>
      </c>
      <c r="X44">
        <v>38</v>
      </c>
      <c r="Y44">
        <v>186</v>
      </c>
      <c r="Z44" s="8">
        <v>1.35</v>
      </c>
      <c r="AA44" s="9">
        <v>0.28999999999999998</v>
      </c>
      <c r="AB44" s="9">
        <v>0.32900000000000001</v>
      </c>
    </row>
    <row r="45" spans="1:28">
      <c r="A45" t="str">
        <f t="shared" si="0"/>
        <v>SPClaudio Salazar18</v>
      </c>
      <c r="B45">
        <v>13824</v>
      </c>
      <c r="C45">
        <v>253</v>
      </c>
      <c r="D45" t="s">
        <v>1681</v>
      </c>
      <c r="E45" t="s">
        <v>391</v>
      </c>
      <c r="F45">
        <v>0</v>
      </c>
      <c r="G45" s="10">
        <v>36360</v>
      </c>
      <c r="H45">
        <v>18</v>
      </c>
      <c r="I45" t="s">
        <v>1711</v>
      </c>
      <c r="J45" t="s">
        <v>2003</v>
      </c>
      <c r="K45">
        <v>14</v>
      </c>
      <c r="L45">
        <v>18</v>
      </c>
      <c r="M45">
        <v>0</v>
      </c>
      <c r="N45">
        <v>0</v>
      </c>
      <c r="O45">
        <v>0</v>
      </c>
      <c r="P45" s="8">
        <v>6.86</v>
      </c>
      <c r="Q45">
        <v>46</v>
      </c>
      <c r="R45">
        <v>46</v>
      </c>
      <c r="S45">
        <v>229.7</v>
      </c>
      <c r="T45">
        <v>326</v>
      </c>
      <c r="U45">
        <v>207</v>
      </c>
      <c r="V45">
        <v>175</v>
      </c>
      <c r="W45">
        <v>24</v>
      </c>
      <c r="X45">
        <v>146</v>
      </c>
      <c r="Y45">
        <v>185</v>
      </c>
      <c r="Z45" s="8">
        <v>2.06</v>
      </c>
      <c r="AA45" s="9">
        <v>0.33200000000000002</v>
      </c>
      <c r="AB45" s="9">
        <v>0.38500000000000001</v>
      </c>
    </row>
    <row r="46" spans="1:28">
      <c r="A46" t="str">
        <f t="shared" si="0"/>
        <v>SPCésar León21</v>
      </c>
      <c r="B46">
        <v>2546</v>
      </c>
      <c r="C46">
        <v>319</v>
      </c>
      <c r="D46" t="s">
        <v>1949</v>
      </c>
      <c r="E46" t="s">
        <v>1739</v>
      </c>
      <c r="F46">
        <v>0</v>
      </c>
      <c r="G46" s="10">
        <v>35483</v>
      </c>
      <c r="H46">
        <v>21</v>
      </c>
      <c r="I46" t="s">
        <v>1711</v>
      </c>
      <c r="J46" t="s">
        <v>2003</v>
      </c>
      <c r="K46">
        <v>14</v>
      </c>
      <c r="L46">
        <v>14</v>
      </c>
      <c r="M46">
        <v>15</v>
      </c>
      <c r="N46">
        <v>0</v>
      </c>
      <c r="O46">
        <v>0</v>
      </c>
      <c r="P46" s="8">
        <v>4.24</v>
      </c>
      <c r="Q46">
        <v>59</v>
      </c>
      <c r="R46">
        <v>37</v>
      </c>
      <c r="S46">
        <v>229</v>
      </c>
      <c r="T46">
        <v>214</v>
      </c>
      <c r="U46">
        <v>131</v>
      </c>
      <c r="V46">
        <v>108</v>
      </c>
      <c r="W46">
        <v>14</v>
      </c>
      <c r="X46">
        <v>96</v>
      </c>
      <c r="Y46">
        <v>182</v>
      </c>
      <c r="Z46" s="8">
        <v>1.35</v>
      </c>
      <c r="AA46" s="9">
        <v>0.24</v>
      </c>
      <c r="AB46" s="9">
        <v>0.28599999999999998</v>
      </c>
    </row>
    <row r="47" spans="1:28">
      <c r="A47" t="str">
        <f t="shared" si="0"/>
        <v>SPJúlio Rúbio18</v>
      </c>
      <c r="B47">
        <v>13829</v>
      </c>
      <c r="C47">
        <v>197</v>
      </c>
      <c r="D47" t="s">
        <v>1724</v>
      </c>
      <c r="E47" t="s">
        <v>1943</v>
      </c>
      <c r="F47">
        <v>0</v>
      </c>
      <c r="G47" s="10">
        <v>36658</v>
      </c>
      <c r="H47">
        <v>18</v>
      </c>
      <c r="I47" t="s">
        <v>1711</v>
      </c>
      <c r="J47" t="s">
        <v>2003</v>
      </c>
      <c r="K47">
        <v>12</v>
      </c>
      <c r="L47">
        <v>17</v>
      </c>
      <c r="M47">
        <v>0</v>
      </c>
      <c r="N47">
        <v>0</v>
      </c>
      <c r="O47">
        <v>0</v>
      </c>
      <c r="P47" s="8">
        <v>8.08</v>
      </c>
      <c r="Q47">
        <v>40</v>
      </c>
      <c r="R47">
        <v>40</v>
      </c>
      <c r="S47">
        <v>191.7</v>
      </c>
      <c r="T47">
        <v>289</v>
      </c>
      <c r="U47">
        <v>191</v>
      </c>
      <c r="V47">
        <v>172</v>
      </c>
      <c r="W47">
        <v>31</v>
      </c>
      <c r="X47">
        <v>87</v>
      </c>
      <c r="Y47">
        <v>180</v>
      </c>
      <c r="Z47" s="8">
        <v>1.96</v>
      </c>
      <c r="AA47" s="9">
        <v>0.34300000000000003</v>
      </c>
      <c r="AB47" s="9">
        <v>0.40300000000000002</v>
      </c>
    </row>
    <row r="48" spans="1:28">
      <c r="A48" t="str">
        <f t="shared" si="0"/>
        <v>SPFred Thomas23</v>
      </c>
      <c r="B48">
        <v>1813</v>
      </c>
      <c r="C48">
        <v>170</v>
      </c>
      <c r="D48" t="s">
        <v>1774</v>
      </c>
      <c r="E48" t="s">
        <v>1879</v>
      </c>
      <c r="F48">
        <v>0</v>
      </c>
      <c r="G48" s="10">
        <v>34629</v>
      </c>
      <c r="H48">
        <v>23</v>
      </c>
      <c r="I48" t="s">
        <v>1711</v>
      </c>
      <c r="J48" t="s">
        <v>2003</v>
      </c>
      <c r="K48">
        <v>7</v>
      </c>
      <c r="L48">
        <v>11</v>
      </c>
      <c r="M48">
        <v>7</v>
      </c>
      <c r="N48">
        <v>0</v>
      </c>
      <c r="O48">
        <v>0</v>
      </c>
      <c r="P48" s="8">
        <v>5.9</v>
      </c>
      <c r="Q48">
        <v>84</v>
      </c>
      <c r="R48">
        <v>28</v>
      </c>
      <c r="S48">
        <v>201.3</v>
      </c>
      <c r="T48">
        <v>260</v>
      </c>
      <c r="U48">
        <v>143</v>
      </c>
      <c r="V48">
        <v>132</v>
      </c>
      <c r="W48">
        <v>23</v>
      </c>
      <c r="X48">
        <v>108</v>
      </c>
      <c r="Y48">
        <v>179</v>
      </c>
      <c r="Z48" s="8">
        <v>1.83</v>
      </c>
      <c r="AA48" s="9">
        <v>0.311</v>
      </c>
      <c r="AB48" s="9">
        <v>0.36899999999999999</v>
      </c>
    </row>
    <row r="49" spans="1:28">
      <c r="A49" t="str">
        <f t="shared" si="0"/>
        <v>SPJason Thomas18</v>
      </c>
      <c r="B49">
        <v>13844</v>
      </c>
      <c r="C49">
        <v>161</v>
      </c>
      <c r="D49" t="s">
        <v>1918</v>
      </c>
      <c r="E49" t="s">
        <v>1879</v>
      </c>
      <c r="F49">
        <v>0</v>
      </c>
      <c r="G49" s="10">
        <v>36510</v>
      </c>
      <c r="H49">
        <v>18</v>
      </c>
      <c r="I49" t="s">
        <v>1711</v>
      </c>
      <c r="J49" t="s">
        <v>2003</v>
      </c>
      <c r="K49">
        <v>9</v>
      </c>
      <c r="L49">
        <v>14</v>
      </c>
      <c r="M49">
        <v>1</v>
      </c>
      <c r="N49">
        <v>0</v>
      </c>
      <c r="O49">
        <v>0</v>
      </c>
      <c r="P49" s="8">
        <v>8.3000000000000007</v>
      </c>
      <c r="Q49">
        <v>56</v>
      </c>
      <c r="R49">
        <v>37</v>
      </c>
      <c r="S49">
        <v>192</v>
      </c>
      <c r="T49">
        <v>258</v>
      </c>
      <c r="U49">
        <v>197</v>
      </c>
      <c r="V49">
        <v>177</v>
      </c>
      <c r="W49">
        <v>26</v>
      </c>
      <c r="X49">
        <v>155</v>
      </c>
      <c r="Y49">
        <v>170</v>
      </c>
      <c r="Z49" s="8">
        <v>2.15</v>
      </c>
      <c r="AA49" s="9">
        <v>0.318</v>
      </c>
      <c r="AB49" s="9">
        <v>0.372</v>
      </c>
    </row>
    <row r="50" spans="1:28">
      <c r="A50" t="str">
        <f t="shared" si="0"/>
        <v>SPMatt Taylor21</v>
      </c>
      <c r="B50">
        <v>2887</v>
      </c>
      <c r="C50">
        <v>373</v>
      </c>
      <c r="D50" t="s">
        <v>1848</v>
      </c>
      <c r="E50" t="s">
        <v>1923</v>
      </c>
      <c r="F50">
        <v>0</v>
      </c>
      <c r="G50" s="10">
        <v>35462</v>
      </c>
      <c r="H50">
        <v>21</v>
      </c>
      <c r="I50" t="s">
        <v>1711</v>
      </c>
      <c r="J50" t="s">
        <v>2003</v>
      </c>
      <c r="K50">
        <v>11</v>
      </c>
      <c r="L50">
        <v>16</v>
      </c>
      <c r="M50">
        <v>8</v>
      </c>
      <c r="N50">
        <v>0</v>
      </c>
      <c r="O50">
        <v>0</v>
      </c>
      <c r="P50" s="8">
        <v>4.96</v>
      </c>
      <c r="Q50">
        <v>60</v>
      </c>
      <c r="R50">
        <v>34</v>
      </c>
      <c r="S50">
        <v>203.3</v>
      </c>
      <c r="T50">
        <v>236</v>
      </c>
      <c r="U50">
        <v>127</v>
      </c>
      <c r="V50">
        <v>112</v>
      </c>
      <c r="W50">
        <v>27</v>
      </c>
      <c r="X50">
        <v>74</v>
      </c>
      <c r="Y50">
        <v>167</v>
      </c>
      <c r="Z50" s="8">
        <v>1.52</v>
      </c>
      <c r="AA50" s="9">
        <v>0.28499999999999998</v>
      </c>
      <c r="AB50" s="9">
        <v>0.32700000000000001</v>
      </c>
    </row>
    <row r="51" spans="1:28">
      <c r="A51" t="str">
        <f t="shared" si="0"/>
        <v>SPVicente Lópes21</v>
      </c>
      <c r="B51">
        <v>6639</v>
      </c>
      <c r="C51">
        <v>146</v>
      </c>
      <c r="D51" t="s">
        <v>1851</v>
      </c>
      <c r="E51" t="s">
        <v>1742</v>
      </c>
      <c r="F51">
        <v>0</v>
      </c>
      <c r="G51" s="10">
        <v>35328</v>
      </c>
      <c r="H51">
        <v>21</v>
      </c>
      <c r="I51" t="s">
        <v>1711</v>
      </c>
      <c r="J51" t="s">
        <v>2003</v>
      </c>
      <c r="K51">
        <v>13</v>
      </c>
      <c r="L51">
        <v>19</v>
      </c>
      <c r="M51">
        <v>0</v>
      </c>
      <c r="N51">
        <v>1</v>
      </c>
      <c r="O51">
        <v>0</v>
      </c>
      <c r="P51" s="8">
        <v>5.0999999999999996</v>
      </c>
      <c r="Q51">
        <v>48</v>
      </c>
      <c r="R51">
        <v>48</v>
      </c>
      <c r="S51">
        <v>268</v>
      </c>
      <c r="T51">
        <v>319</v>
      </c>
      <c r="U51">
        <v>184</v>
      </c>
      <c r="V51">
        <v>152</v>
      </c>
      <c r="W51">
        <v>27</v>
      </c>
      <c r="X51">
        <v>113</v>
      </c>
      <c r="Y51">
        <v>167</v>
      </c>
      <c r="Z51" s="8">
        <v>1.61</v>
      </c>
      <c r="AA51" s="9">
        <v>0.29899999999999999</v>
      </c>
      <c r="AB51" s="9">
        <v>0.32700000000000001</v>
      </c>
    </row>
    <row r="52" spans="1:28">
      <c r="A52" t="str">
        <f t="shared" si="0"/>
        <v>MRRoy Robinson18</v>
      </c>
      <c r="B52">
        <v>13836</v>
      </c>
      <c r="C52">
        <v>171</v>
      </c>
      <c r="D52" t="s">
        <v>488</v>
      </c>
      <c r="E52" t="s">
        <v>1718</v>
      </c>
      <c r="F52">
        <v>0</v>
      </c>
      <c r="G52" s="10">
        <v>36648</v>
      </c>
      <c r="H52">
        <v>18</v>
      </c>
      <c r="I52" t="s">
        <v>1711</v>
      </c>
      <c r="J52" t="s">
        <v>2021</v>
      </c>
      <c r="K52">
        <v>13</v>
      </c>
      <c r="L52">
        <v>16</v>
      </c>
      <c r="M52">
        <v>0</v>
      </c>
      <c r="N52">
        <v>1</v>
      </c>
      <c r="O52">
        <v>0</v>
      </c>
      <c r="P52" s="8">
        <v>7.76</v>
      </c>
      <c r="Q52">
        <v>50</v>
      </c>
      <c r="R52">
        <v>39</v>
      </c>
      <c r="S52">
        <v>206.3</v>
      </c>
      <c r="T52">
        <v>314</v>
      </c>
      <c r="U52">
        <v>204</v>
      </c>
      <c r="V52">
        <v>178</v>
      </c>
      <c r="W52">
        <v>25</v>
      </c>
      <c r="X52">
        <v>104</v>
      </c>
      <c r="Y52">
        <v>167</v>
      </c>
      <c r="Z52" s="8">
        <v>2.0299999999999998</v>
      </c>
      <c r="AA52" s="9">
        <v>0.34799999999999998</v>
      </c>
      <c r="AB52" s="9">
        <v>0.40300000000000002</v>
      </c>
    </row>
    <row r="53" spans="1:28">
      <c r="A53" t="str">
        <f t="shared" si="0"/>
        <v>SPArlen Roberts21</v>
      </c>
      <c r="B53">
        <v>2286</v>
      </c>
      <c r="C53">
        <v>59</v>
      </c>
      <c r="D53" t="s">
        <v>392</v>
      </c>
      <c r="E53" t="s">
        <v>393</v>
      </c>
      <c r="F53">
        <v>0</v>
      </c>
      <c r="G53" s="10">
        <v>35510</v>
      </c>
      <c r="H53">
        <v>21</v>
      </c>
      <c r="I53" t="s">
        <v>1711</v>
      </c>
      <c r="J53" t="s">
        <v>2003</v>
      </c>
      <c r="K53">
        <v>10</v>
      </c>
      <c r="L53">
        <v>14</v>
      </c>
      <c r="M53">
        <v>0</v>
      </c>
      <c r="N53">
        <v>0</v>
      </c>
      <c r="O53">
        <v>0</v>
      </c>
      <c r="P53" s="8">
        <v>5.05</v>
      </c>
      <c r="Q53">
        <v>46</v>
      </c>
      <c r="R53">
        <v>37</v>
      </c>
      <c r="S53">
        <v>208.7</v>
      </c>
      <c r="T53">
        <v>225</v>
      </c>
      <c r="U53">
        <v>136</v>
      </c>
      <c r="V53">
        <v>117</v>
      </c>
      <c r="W53">
        <v>25</v>
      </c>
      <c r="X53">
        <v>120</v>
      </c>
      <c r="Y53">
        <v>163</v>
      </c>
      <c r="Z53" s="8">
        <v>1.65</v>
      </c>
      <c r="AA53" s="9">
        <v>0.27500000000000002</v>
      </c>
      <c r="AB53" s="9">
        <v>0.314</v>
      </c>
    </row>
    <row r="54" spans="1:28">
      <c r="A54" t="str">
        <f t="shared" si="0"/>
        <v>SPAntónio Clemente21</v>
      </c>
      <c r="B54">
        <v>2523</v>
      </c>
      <c r="C54">
        <v>327</v>
      </c>
      <c r="D54" t="s">
        <v>1915</v>
      </c>
      <c r="E54" t="s">
        <v>394</v>
      </c>
      <c r="F54">
        <v>0</v>
      </c>
      <c r="G54" s="10">
        <v>35265</v>
      </c>
      <c r="H54">
        <v>21</v>
      </c>
      <c r="I54" t="s">
        <v>1711</v>
      </c>
      <c r="J54" t="s">
        <v>2003</v>
      </c>
      <c r="K54">
        <v>9</v>
      </c>
      <c r="L54">
        <v>18</v>
      </c>
      <c r="M54">
        <v>13</v>
      </c>
      <c r="N54">
        <v>0</v>
      </c>
      <c r="O54">
        <v>0</v>
      </c>
      <c r="P54" s="8">
        <v>5.45</v>
      </c>
      <c r="Q54">
        <v>71</v>
      </c>
      <c r="R54">
        <v>29</v>
      </c>
      <c r="S54">
        <v>214.7</v>
      </c>
      <c r="T54">
        <v>236</v>
      </c>
      <c r="U54">
        <v>142</v>
      </c>
      <c r="V54">
        <v>130</v>
      </c>
      <c r="W54">
        <v>24</v>
      </c>
      <c r="X54">
        <v>77</v>
      </c>
      <c r="Y54">
        <v>163</v>
      </c>
      <c r="Z54" s="8">
        <v>1.46</v>
      </c>
      <c r="AA54" s="9">
        <v>0.27300000000000002</v>
      </c>
      <c r="AB54" s="9">
        <v>0.311</v>
      </c>
    </row>
    <row r="55" spans="1:28">
      <c r="A55" t="str">
        <f t="shared" si="0"/>
        <v>CLSam Gordon18</v>
      </c>
      <c r="B55">
        <v>13837</v>
      </c>
      <c r="C55">
        <v>266</v>
      </c>
      <c r="D55" t="s">
        <v>395</v>
      </c>
      <c r="E55" t="s">
        <v>1763</v>
      </c>
      <c r="F55">
        <v>0</v>
      </c>
      <c r="G55" s="10">
        <v>36454</v>
      </c>
      <c r="H55">
        <v>18</v>
      </c>
      <c r="I55" t="s">
        <v>1711</v>
      </c>
      <c r="J55" t="s">
        <v>2032</v>
      </c>
      <c r="K55">
        <v>7</v>
      </c>
      <c r="L55">
        <v>13</v>
      </c>
      <c r="M55">
        <v>16</v>
      </c>
      <c r="N55">
        <v>0</v>
      </c>
      <c r="O55">
        <v>0</v>
      </c>
      <c r="P55" s="8">
        <v>6.8</v>
      </c>
      <c r="Q55">
        <v>105</v>
      </c>
      <c r="R55">
        <v>10</v>
      </c>
      <c r="S55">
        <v>149.69999999999999</v>
      </c>
      <c r="T55">
        <v>186</v>
      </c>
      <c r="U55">
        <v>126</v>
      </c>
      <c r="V55">
        <v>113</v>
      </c>
      <c r="W55">
        <v>13</v>
      </c>
      <c r="X55">
        <v>103</v>
      </c>
      <c r="Y55">
        <v>163</v>
      </c>
      <c r="Z55" s="8">
        <v>1.93</v>
      </c>
      <c r="AA55" s="9">
        <v>0.30299999999999999</v>
      </c>
      <c r="AB55" s="9">
        <v>0.38900000000000001</v>
      </c>
    </row>
    <row r="56" spans="1:28">
      <c r="A56" t="str">
        <f t="shared" si="0"/>
        <v>MRJosé López22</v>
      </c>
      <c r="B56">
        <v>1833</v>
      </c>
      <c r="C56">
        <v>81</v>
      </c>
      <c r="D56" t="s">
        <v>1849</v>
      </c>
      <c r="E56" t="s">
        <v>1878</v>
      </c>
      <c r="F56">
        <v>0</v>
      </c>
      <c r="G56" s="10">
        <v>35029</v>
      </c>
      <c r="H56">
        <v>22</v>
      </c>
      <c r="I56" t="s">
        <v>1711</v>
      </c>
      <c r="J56" t="s">
        <v>2021</v>
      </c>
      <c r="K56">
        <v>13</v>
      </c>
      <c r="L56">
        <v>12</v>
      </c>
      <c r="M56">
        <v>4</v>
      </c>
      <c r="N56">
        <v>0</v>
      </c>
      <c r="O56">
        <v>0</v>
      </c>
      <c r="P56" s="8">
        <v>6.79</v>
      </c>
      <c r="Q56">
        <v>87</v>
      </c>
      <c r="R56">
        <v>21</v>
      </c>
      <c r="S56">
        <v>184.3</v>
      </c>
      <c r="T56">
        <v>240</v>
      </c>
      <c r="U56">
        <v>163</v>
      </c>
      <c r="V56">
        <v>139</v>
      </c>
      <c r="W56">
        <v>28</v>
      </c>
      <c r="X56">
        <v>113</v>
      </c>
      <c r="Y56">
        <v>161</v>
      </c>
      <c r="Z56" s="8">
        <v>1.92</v>
      </c>
      <c r="AA56" s="9">
        <v>0.313</v>
      </c>
      <c r="AB56" s="9">
        <v>0.36299999999999999</v>
      </c>
    </row>
    <row r="57" spans="1:28">
      <c r="A57" t="str">
        <f t="shared" si="0"/>
        <v>MRJoseph Jones21</v>
      </c>
      <c r="B57">
        <v>2605</v>
      </c>
      <c r="C57">
        <v>260</v>
      </c>
      <c r="D57" t="s">
        <v>1909</v>
      </c>
      <c r="E57" t="s">
        <v>1680</v>
      </c>
      <c r="F57">
        <v>0</v>
      </c>
      <c r="G57" s="10">
        <v>35228</v>
      </c>
      <c r="H57">
        <v>21</v>
      </c>
      <c r="I57" t="s">
        <v>1711</v>
      </c>
      <c r="J57" t="s">
        <v>2021</v>
      </c>
      <c r="K57">
        <v>8</v>
      </c>
      <c r="L57">
        <v>16</v>
      </c>
      <c r="M57">
        <v>0</v>
      </c>
      <c r="N57">
        <v>0</v>
      </c>
      <c r="O57">
        <v>0</v>
      </c>
      <c r="P57" s="8">
        <v>8.1999999999999993</v>
      </c>
      <c r="Q57">
        <v>43</v>
      </c>
      <c r="R57">
        <v>43</v>
      </c>
      <c r="S57">
        <v>206.3</v>
      </c>
      <c r="T57">
        <v>284</v>
      </c>
      <c r="U57">
        <v>208</v>
      </c>
      <c r="V57">
        <v>188</v>
      </c>
      <c r="W57">
        <v>26</v>
      </c>
      <c r="X57">
        <v>139</v>
      </c>
      <c r="Y57">
        <v>161</v>
      </c>
      <c r="Z57" s="8">
        <v>2.0499999999999998</v>
      </c>
      <c r="AA57" s="9">
        <v>0.32800000000000001</v>
      </c>
      <c r="AB57" s="9">
        <v>0.374</v>
      </c>
    </row>
    <row r="58" spans="1:28">
      <c r="A58" t="str">
        <f t="shared" si="0"/>
        <v>SPRamón Altagracia22</v>
      </c>
      <c r="B58">
        <v>3037</v>
      </c>
      <c r="C58">
        <v>62</v>
      </c>
      <c r="D58" t="s">
        <v>1757</v>
      </c>
      <c r="E58" t="s">
        <v>1770</v>
      </c>
      <c r="F58">
        <v>0</v>
      </c>
      <c r="G58" s="10">
        <v>35079</v>
      </c>
      <c r="H58">
        <v>22</v>
      </c>
      <c r="I58" t="s">
        <v>1711</v>
      </c>
      <c r="J58" t="s">
        <v>2003</v>
      </c>
      <c r="K58">
        <v>15</v>
      </c>
      <c r="L58">
        <v>21</v>
      </c>
      <c r="M58">
        <v>0</v>
      </c>
      <c r="N58">
        <v>0</v>
      </c>
      <c r="O58">
        <v>0</v>
      </c>
      <c r="P58" s="8">
        <v>5.8</v>
      </c>
      <c r="Q58">
        <v>50</v>
      </c>
      <c r="R58">
        <v>50</v>
      </c>
      <c r="S58">
        <v>291.7</v>
      </c>
      <c r="T58">
        <v>403</v>
      </c>
      <c r="U58">
        <v>217</v>
      </c>
      <c r="V58">
        <v>188</v>
      </c>
      <c r="W58">
        <v>37</v>
      </c>
      <c r="X58">
        <v>104</v>
      </c>
      <c r="Y58">
        <v>160</v>
      </c>
      <c r="Z58" s="8">
        <v>1.74</v>
      </c>
      <c r="AA58" s="9">
        <v>0.32500000000000001</v>
      </c>
      <c r="AB58" s="9">
        <v>0.34599999999999997</v>
      </c>
    </row>
    <row r="59" spans="1:28">
      <c r="A59" t="str">
        <f t="shared" si="0"/>
        <v>SPEric Gardner18</v>
      </c>
      <c r="B59">
        <v>1457</v>
      </c>
      <c r="C59">
        <v>231</v>
      </c>
      <c r="D59" t="s">
        <v>1968</v>
      </c>
      <c r="E59" t="s">
        <v>396</v>
      </c>
      <c r="F59">
        <v>0</v>
      </c>
      <c r="G59" s="10">
        <v>36459</v>
      </c>
      <c r="H59">
        <v>18</v>
      </c>
      <c r="I59" t="s">
        <v>1711</v>
      </c>
      <c r="J59" t="s">
        <v>2003</v>
      </c>
      <c r="K59">
        <v>15</v>
      </c>
      <c r="L59">
        <v>11</v>
      </c>
      <c r="M59">
        <v>0</v>
      </c>
      <c r="N59">
        <v>0</v>
      </c>
      <c r="O59">
        <v>0</v>
      </c>
      <c r="P59" s="8">
        <v>5.2</v>
      </c>
      <c r="Q59">
        <v>45</v>
      </c>
      <c r="R59">
        <v>44</v>
      </c>
      <c r="S59">
        <v>237.3</v>
      </c>
      <c r="T59">
        <v>318</v>
      </c>
      <c r="U59">
        <v>170</v>
      </c>
      <c r="V59">
        <v>137</v>
      </c>
      <c r="W59">
        <v>25</v>
      </c>
      <c r="X59">
        <v>90</v>
      </c>
      <c r="Y59">
        <v>159</v>
      </c>
      <c r="Z59" s="8">
        <v>1.72</v>
      </c>
      <c r="AA59" s="9">
        <v>0.316</v>
      </c>
      <c r="AB59" s="9">
        <v>0.35099999999999998</v>
      </c>
    </row>
    <row r="60" spans="1:28">
      <c r="A60" t="str">
        <f t="shared" si="0"/>
        <v>CLMichael Campbell21</v>
      </c>
      <c r="B60">
        <v>7613</v>
      </c>
      <c r="C60">
        <v>135</v>
      </c>
      <c r="D60" t="s">
        <v>1841</v>
      </c>
      <c r="E60" t="s">
        <v>1730</v>
      </c>
      <c r="F60">
        <v>0</v>
      </c>
      <c r="G60" s="10">
        <v>35486</v>
      </c>
      <c r="H60">
        <v>21</v>
      </c>
      <c r="I60" t="s">
        <v>1711</v>
      </c>
      <c r="J60" t="s">
        <v>2032</v>
      </c>
      <c r="K60">
        <v>9</v>
      </c>
      <c r="L60">
        <v>10</v>
      </c>
      <c r="M60">
        <v>43</v>
      </c>
      <c r="N60">
        <v>0</v>
      </c>
      <c r="O60">
        <v>0</v>
      </c>
      <c r="P60" s="8">
        <v>3.96</v>
      </c>
      <c r="Q60">
        <v>99</v>
      </c>
      <c r="R60">
        <v>0</v>
      </c>
      <c r="S60">
        <v>102.3</v>
      </c>
      <c r="T60">
        <v>83</v>
      </c>
      <c r="U60">
        <v>52</v>
      </c>
      <c r="V60">
        <v>45</v>
      </c>
      <c r="W60">
        <v>13</v>
      </c>
      <c r="X60">
        <v>65</v>
      </c>
      <c r="Y60">
        <v>158</v>
      </c>
      <c r="Z60" s="8">
        <v>1.45</v>
      </c>
      <c r="AA60" s="9">
        <v>0.216</v>
      </c>
      <c r="AB60" s="9">
        <v>0.32400000000000001</v>
      </c>
    </row>
    <row r="61" spans="1:28">
      <c r="A61" t="str">
        <f t="shared" si="0"/>
        <v>SPMiguel Salazar21</v>
      </c>
      <c r="B61">
        <v>4041</v>
      </c>
      <c r="C61">
        <v>109</v>
      </c>
      <c r="D61" t="s">
        <v>1977</v>
      </c>
      <c r="E61" t="s">
        <v>391</v>
      </c>
      <c r="F61">
        <v>0</v>
      </c>
      <c r="G61" s="10">
        <v>35537</v>
      </c>
      <c r="H61">
        <v>21</v>
      </c>
      <c r="I61" t="s">
        <v>1711</v>
      </c>
      <c r="J61" t="s">
        <v>2003</v>
      </c>
      <c r="K61">
        <v>15</v>
      </c>
      <c r="L61">
        <v>12</v>
      </c>
      <c r="M61">
        <v>0</v>
      </c>
      <c r="N61">
        <v>1</v>
      </c>
      <c r="O61">
        <v>0</v>
      </c>
      <c r="P61" s="8">
        <v>6.07</v>
      </c>
      <c r="Q61">
        <v>38</v>
      </c>
      <c r="R61">
        <v>38</v>
      </c>
      <c r="S61">
        <v>224</v>
      </c>
      <c r="T61">
        <v>273</v>
      </c>
      <c r="U61">
        <v>161</v>
      </c>
      <c r="V61">
        <v>151</v>
      </c>
      <c r="W61">
        <v>28</v>
      </c>
      <c r="X61">
        <v>133</v>
      </c>
      <c r="Y61">
        <v>158</v>
      </c>
      <c r="Z61" s="8">
        <v>1.81</v>
      </c>
      <c r="AA61" s="9">
        <v>0.3</v>
      </c>
      <c r="AB61" s="9">
        <v>0.33300000000000002</v>
      </c>
    </row>
    <row r="62" spans="1:28">
      <c r="A62" t="str">
        <f t="shared" si="0"/>
        <v>SPMark Hickey18</v>
      </c>
      <c r="B62">
        <v>703</v>
      </c>
      <c r="C62">
        <v>297</v>
      </c>
      <c r="D62" t="s">
        <v>1843</v>
      </c>
      <c r="E62" t="s">
        <v>400</v>
      </c>
      <c r="F62">
        <v>0</v>
      </c>
      <c r="G62" s="10">
        <v>36635</v>
      </c>
      <c r="H62">
        <v>18</v>
      </c>
      <c r="I62" t="s">
        <v>1711</v>
      </c>
      <c r="J62" t="s">
        <v>2003</v>
      </c>
      <c r="K62">
        <v>12</v>
      </c>
      <c r="L62">
        <v>11</v>
      </c>
      <c r="M62">
        <v>2</v>
      </c>
      <c r="N62">
        <v>0</v>
      </c>
      <c r="O62">
        <v>0</v>
      </c>
      <c r="P62" s="8">
        <v>4.5199999999999996</v>
      </c>
      <c r="Q62">
        <v>72</v>
      </c>
      <c r="R62">
        <v>34</v>
      </c>
      <c r="S62">
        <v>201</v>
      </c>
      <c r="T62">
        <v>278</v>
      </c>
      <c r="U62">
        <v>143</v>
      </c>
      <c r="V62">
        <v>101</v>
      </c>
      <c r="W62">
        <v>8</v>
      </c>
      <c r="X62">
        <v>49</v>
      </c>
      <c r="Y62">
        <v>156</v>
      </c>
      <c r="Z62" s="8">
        <v>1.63</v>
      </c>
      <c r="AA62" s="9">
        <v>0.32400000000000001</v>
      </c>
      <c r="AB62" s="9">
        <v>0.38500000000000001</v>
      </c>
    </row>
    <row r="63" spans="1:28">
      <c r="A63" t="str">
        <f t="shared" si="0"/>
        <v>SPRicardo Rodríguez21</v>
      </c>
      <c r="B63">
        <v>7338</v>
      </c>
      <c r="C63">
        <v>183</v>
      </c>
      <c r="D63" t="s">
        <v>1929</v>
      </c>
      <c r="E63" t="s">
        <v>1664</v>
      </c>
      <c r="F63">
        <v>0</v>
      </c>
      <c r="G63" s="10">
        <v>35504</v>
      </c>
      <c r="H63">
        <v>21</v>
      </c>
      <c r="I63" t="s">
        <v>1711</v>
      </c>
      <c r="J63" t="s">
        <v>2003</v>
      </c>
      <c r="K63">
        <v>13</v>
      </c>
      <c r="L63">
        <v>7</v>
      </c>
      <c r="M63">
        <v>0</v>
      </c>
      <c r="N63">
        <v>1</v>
      </c>
      <c r="O63">
        <v>1</v>
      </c>
      <c r="P63" s="8">
        <v>4.47</v>
      </c>
      <c r="Q63">
        <v>46</v>
      </c>
      <c r="R63">
        <v>42</v>
      </c>
      <c r="S63">
        <v>229.3</v>
      </c>
      <c r="T63">
        <v>249</v>
      </c>
      <c r="U63">
        <v>122</v>
      </c>
      <c r="V63">
        <v>114</v>
      </c>
      <c r="W63">
        <v>16</v>
      </c>
      <c r="X63">
        <v>85</v>
      </c>
      <c r="Y63">
        <v>155</v>
      </c>
      <c r="Z63" s="8">
        <v>1.46</v>
      </c>
      <c r="AA63" s="9">
        <v>0.27500000000000002</v>
      </c>
      <c r="AB63" s="9">
        <v>0.314</v>
      </c>
    </row>
    <row r="64" spans="1:28">
      <c r="A64" t="str">
        <f t="shared" si="0"/>
        <v>SPShu-yen Jing18</v>
      </c>
      <c r="B64">
        <v>123</v>
      </c>
      <c r="C64">
        <v>400</v>
      </c>
      <c r="D64" t="s">
        <v>398</v>
      </c>
      <c r="E64" t="s">
        <v>399</v>
      </c>
      <c r="F64">
        <v>0</v>
      </c>
      <c r="G64" s="10">
        <v>36467</v>
      </c>
      <c r="H64">
        <v>18</v>
      </c>
      <c r="I64" t="s">
        <v>1711</v>
      </c>
      <c r="J64" t="s">
        <v>2003</v>
      </c>
      <c r="K64">
        <v>9</v>
      </c>
      <c r="L64">
        <v>26</v>
      </c>
      <c r="M64">
        <v>0</v>
      </c>
      <c r="N64">
        <v>1</v>
      </c>
      <c r="O64">
        <v>1</v>
      </c>
      <c r="P64" s="8">
        <v>7.76</v>
      </c>
      <c r="Q64">
        <v>51</v>
      </c>
      <c r="R64">
        <v>51</v>
      </c>
      <c r="S64">
        <v>227.3</v>
      </c>
      <c r="T64">
        <v>343</v>
      </c>
      <c r="U64">
        <v>232</v>
      </c>
      <c r="V64">
        <v>196</v>
      </c>
      <c r="W64">
        <v>33</v>
      </c>
      <c r="X64">
        <v>142</v>
      </c>
      <c r="Y64">
        <v>155</v>
      </c>
      <c r="Z64" s="8">
        <v>2.13</v>
      </c>
      <c r="AA64" s="9">
        <v>0.34399999999999997</v>
      </c>
      <c r="AB64" s="9">
        <v>0.378</v>
      </c>
    </row>
    <row r="65" spans="1:28">
      <c r="A65" t="str">
        <f t="shared" si="0"/>
        <v>SPSteve Kitchen21</v>
      </c>
      <c r="B65">
        <v>7372</v>
      </c>
      <c r="C65">
        <v>264</v>
      </c>
      <c r="D65" t="s">
        <v>1850</v>
      </c>
      <c r="E65" t="s">
        <v>397</v>
      </c>
      <c r="F65">
        <v>0</v>
      </c>
      <c r="G65" s="10">
        <v>35428</v>
      </c>
      <c r="H65">
        <v>21</v>
      </c>
      <c r="I65" t="s">
        <v>1711</v>
      </c>
      <c r="J65" t="s">
        <v>2003</v>
      </c>
      <c r="K65">
        <v>9</v>
      </c>
      <c r="L65">
        <v>21</v>
      </c>
      <c r="M65">
        <v>0</v>
      </c>
      <c r="N65">
        <v>4</v>
      </c>
      <c r="O65">
        <v>0</v>
      </c>
      <c r="P65" s="8">
        <v>7.54</v>
      </c>
      <c r="Q65">
        <v>45</v>
      </c>
      <c r="R65">
        <v>44</v>
      </c>
      <c r="S65">
        <v>247</v>
      </c>
      <c r="T65">
        <v>350</v>
      </c>
      <c r="U65">
        <v>225</v>
      </c>
      <c r="V65">
        <v>207</v>
      </c>
      <c r="W65">
        <v>37</v>
      </c>
      <c r="X65">
        <v>121</v>
      </c>
      <c r="Y65">
        <v>153</v>
      </c>
      <c r="Z65" s="8">
        <v>1.91</v>
      </c>
      <c r="AA65" s="9">
        <v>0.33500000000000002</v>
      </c>
      <c r="AB65" s="9">
        <v>0.36199999999999999</v>
      </c>
    </row>
    <row r="66" spans="1:28">
      <c r="A66" t="str">
        <f t="shared" si="0"/>
        <v>SPKen Hill21</v>
      </c>
      <c r="B66">
        <v>3232</v>
      </c>
      <c r="C66">
        <v>104</v>
      </c>
      <c r="D66" t="s">
        <v>1852</v>
      </c>
      <c r="E66" t="s">
        <v>1778</v>
      </c>
      <c r="F66">
        <v>0</v>
      </c>
      <c r="G66" s="10">
        <v>35514</v>
      </c>
      <c r="H66">
        <v>21</v>
      </c>
      <c r="I66" t="s">
        <v>1711</v>
      </c>
      <c r="J66" t="s">
        <v>2003</v>
      </c>
      <c r="K66">
        <v>13</v>
      </c>
      <c r="L66">
        <v>8</v>
      </c>
      <c r="M66">
        <v>0</v>
      </c>
      <c r="N66">
        <v>0</v>
      </c>
      <c r="O66">
        <v>0</v>
      </c>
      <c r="P66" s="8">
        <v>5.73</v>
      </c>
      <c r="Q66">
        <v>55</v>
      </c>
      <c r="R66">
        <v>24</v>
      </c>
      <c r="S66">
        <v>160.30000000000001</v>
      </c>
      <c r="T66">
        <v>192</v>
      </c>
      <c r="U66">
        <v>112</v>
      </c>
      <c r="V66">
        <v>102</v>
      </c>
      <c r="W66">
        <v>18</v>
      </c>
      <c r="X66">
        <v>87</v>
      </c>
      <c r="Y66">
        <v>152</v>
      </c>
      <c r="Z66" s="8">
        <v>1.74</v>
      </c>
      <c r="AA66" s="9">
        <v>0.29299999999999998</v>
      </c>
      <c r="AB66" s="9">
        <v>0.35399999999999998</v>
      </c>
    </row>
    <row r="67" spans="1:28">
      <c r="A67" t="str">
        <f t="shared" ref="A67:A130" si="1">J67&amp;D67&amp;" "&amp;E67&amp;H67</f>
        <v>MRKurt Archibald18</v>
      </c>
      <c r="B67">
        <v>13831</v>
      </c>
      <c r="C67">
        <v>215</v>
      </c>
      <c r="D67" t="s">
        <v>402</v>
      </c>
      <c r="E67" t="s">
        <v>403</v>
      </c>
      <c r="F67">
        <v>0</v>
      </c>
      <c r="G67" s="10">
        <v>36666</v>
      </c>
      <c r="H67">
        <v>18</v>
      </c>
      <c r="I67" t="s">
        <v>1711</v>
      </c>
      <c r="J67" t="s">
        <v>2021</v>
      </c>
      <c r="K67">
        <v>13</v>
      </c>
      <c r="L67">
        <v>12</v>
      </c>
      <c r="M67">
        <v>2</v>
      </c>
      <c r="N67">
        <v>0</v>
      </c>
      <c r="O67">
        <v>0</v>
      </c>
      <c r="P67" s="8">
        <v>6.74</v>
      </c>
      <c r="Q67">
        <v>71</v>
      </c>
      <c r="R67">
        <v>35</v>
      </c>
      <c r="S67">
        <v>229.7</v>
      </c>
      <c r="T67">
        <v>299</v>
      </c>
      <c r="U67">
        <v>197</v>
      </c>
      <c r="V67">
        <v>172</v>
      </c>
      <c r="W67">
        <v>26</v>
      </c>
      <c r="X67">
        <v>151</v>
      </c>
      <c r="Y67">
        <v>151</v>
      </c>
      <c r="Z67" s="8">
        <v>1.96</v>
      </c>
      <c r="AA67" s="9">
        <v>0.315</v>
      </c>
      <c r="AB67" s="9">
        <v>0.34899999999999998</v>
      </c>
    </row>
    <row r="68" spans="1:28">
      <c r="A68" t="str">
        <f t="shared" si="1"/>
        <v>MRJim Lehman21</v>
      </c>
      <c r="B68">
        <v>7780</v>
      </c>
      <c r="C68">
        <v>47</v>
      </c>
      <c r="D68" t="s">
        <v>1777</v>
      </c>
      <c r="E68" t="s">
        <v>401</v>
      </c>
      <c r="F68">
        <v>0</v>
      </c>
      <c r="G68" s="10">
        <v>35242</v>
      </c>
      <c r="H68">
        <v>21</v>
      </c>
      <c r="I68" t="s">
        <v>1711</v>
      </c>
      <c r="J68" t="s">
        <v>2021</v>
      </c>
      <c r="K68">
        <v>6</v>
      </c>
      <c r="L68">
        <v>6</v>
      </c>
      <c r="M68">
        <v>12</v>
      </c>
      <c r="N68">
        <v>0</v>
      </c>
      <c r="O68">
        <v>0</v>
      </c>
      <c r="P68" s="8">
        <v>4.5</v>
      </c>
      <c r="Q68">
        <v>112</v>
      </c>
      <c r="R68">
        <v>1</v>
      </c>
      <c r="S68">
        <v>136</v>
      </c>
      <c r="T68">
        <v>145</v>
      </c>
      <c r="U68">
        <v>72</v>
      </c>
      <c r="V68">
        <v>68</v>
      </c>
      <c r="W68">
        <v>14</v>
      </c>
      <c r="X68">
        <v>71</v>
      </c>
      <c r="Y68">
        <v>150</v>
      </c>
      <c r="Z68" s="8">
        <v>1.59</v>
      </c>
      <c r="AA68" s="9">
        <v>0.26700000000000002</v>
      </c>
      <c r="AB68" s="9">
        <v>0.34499999999999997</v>
      </c>
    </row>
    <row r="69" spans="1:28">
      <c r="A69" t="str">
        <f t="shared" si="1"/>
        <v>MRDaniel Vaughn18</v>
      </c>
      <c r="B69">
        <v>1363</v>
      </c>
      <c r="C69">
        <v>203</v>
      </c>
      <c r="D69" t="s">
        <v>1721</v>
      </c>
      <c r="E69" t="s">
        <v>405</v>
      </c>
      <c r="F69">
        <v>0</v>
      </c>
      <c r="G69" s="10">
        <v>36343</v>
      </c>
      <c r="H69">
        <v>18</v>
      </c>
      <c r="I69" t="s">
        <v>1711</v>
      </c>
      <c r="J69" t="s">
        <v>2021</v>
      </c>
      <c r="K69">
        <v>12</v>
      </c>
      <c r="L69">
        <v>6</v>
      </c>
      <c r="M69">
        <v>8</v>
      </c>
      <c r="N69">
        <v>0</v>
      </c>
      <c r="O69">
        <v>0</v>
      </c>
      <c r="P69" s="8">
        <v>5.84</v>
      </c>
      <c r="Q69">
        <v>113</v>
      </c>
      <c r="R69">
        <v>0</v>
      </c>
      <c r="S69">
        <v>131</v>
      </c>
      <c r="T69">
        <v>156</v>
      </c>
      <c r="U69">
        <v>105</v>
      </c>
      <c r="V69">
        <v>85</v>
      </c>
      <c r="W69">
        <v>23</v>
      </c>
      <c r="X69">
        <v>83</v>
      </c>
      <c r="Y69">
        <v>148</v>
      </c>
      <c r="Z69" s="8">
        <v>1.82</v>
      </c>
      <c r="AA69" s="9">
        <v>0.29199999999999998</v>
      </c>
      <c r="AB69" s="9">
        <v>0.35699999999999998</v>
      </c>
    </row>
    <row r="70" spans="1:28">
      <c r="A70" t="str">
        <f t="shared" si="1"/>
        <v>SPLúcio Domínguez21</v>
      </c>
      <c r="B70">
        <v>2301</v>
      </c>
      <c r="C70">
        <v>144</v>
      </c>
      <c r="D70" t="s">
        <v>1941</v>
      </c>
      <c r="E70" t="s">
        <v>1900</v>
      </c>
      <c r="F70">
        <v>0</v>
      </c>
      <c r="G70" s="10">
        <v>35349</v>
      </c>
      <c r="H70">
        <v>21</v>
      </c>
      <c r="I70" t="s">
        <v>1711</v>
      </c>
      <c r="J70" t="s">
        <v>2003</v>
      </c>
      <c r="K70">
        <v>9</v>
      </c>
      <c r="L70">
        <v>12</v>
      </c>
      <c r="M70">
        <v>0</v>
      </c>
      <c r="N70">
        <v>0</v>
      </c>
      <c r="O70">
        <v>0</v>
      </c>
      <c r="P70" s="8">
        <v>7.86</v>
      </c>
      <c r="Q70">
        <v>54</v>
      </c>
      <c r="R70">
        <v>34</v>
      </c>
      <c r="S70">
        <v>198</v>
      </c>
      <c r="T70">
        <v>272</v>
      </c>
      <c r="U70">
        <v>186</v>
      </c>
      <c r="V70">
        <v>173</v>
      </c>
      <c r="W70">
        <v>28</v>
      </c>
      <c r="X70">
        <v>137</v>
      </c>
      <c r="Y70">
        <v>148</v>
      </c>
      <c r="Z70" s="8">
        <v>2.0699999999999998</v>
      </c>
      <c r="AA70" s="9">
        <v>0.32900000000000001</v>
      </c>
      <c r="AB70" s="9">
        <v>0.36899999999999999</v>
      </c>
    </row>
    <row r="71" spans="1:28">
      <c r="A71" t="str">
        <f t="shared" si="1"/>
        <v>SPBill Whitehead18</v>
      </c>
      <c r="B71">
        <v>13848</v>
      </c>
      <c r="C71">
        <v>90</v>
      </c>
      <c r="D71" t="s">
        <v>1869</v>
      </c>
      <c r="E71" t="s">
        <v>404</v>
      </c>
      <c r="F71">
        <v>0</v>
      </c>
      <c r="G71" s="10">
        <v>36538</v>
      </c>
      <c r="H71">
        <v>18</v>
      </c>
      <c r="I71" t="s">
        <v>1711</v>
      </c>
      <c r="J71" t="s">
        <v>2003</v>
      </c>
      <c r="K71">
        <v>10</v>
      </c>
      <c r="L71">
        <v>10</v>
      </c>
      <c r="M71">
        <v>0</v>
      </c>
      <c r="N71">
        <v>0</v>
      </c>
      <c r="O71">
        <v>0</v>
      </c>
      <c r="P71" s="8">
        <v>6.85</v>
      </c>
      <c r="Q71">
        <v>41</v>
      </c>
      <c r="R71">
        <v>30</v>
      </c>
      <c r="S71">
        <v>160.30000000000001</v>
      </c>
      <c r="T71">
        <v>222</v>
      </c>
      <c r="U71">
        <v>144</v>
      </c>
      <c r="V71">
        <v>122</v>
      </c>
      <c r="W71">
        <v>17</v>
      </c>
      <c r="X71">
        <v>124</v>
      </c>
      <c r="Y71">
        <v>146</v>
      </c>
      <c r="Z71" s="8">
        <v>2.16</v>
      </c>
      <c r="AA71" s="9">
        <v>0.32400000000000001</v>
      </c>
      <c r="AB71" s="9">
        <v>0.38500000000000001</v>
      </c>
    </row>
    <row r="72" spans="1:28">
      <c r="A72" t="str">
        <f t="shared" si="1"/>
        <v>MRDenny Davis21</v>
      </c>
      <c r="B72">
        <v>2463</v>
      </c>
      <c r="C72">
        <v>318</v>
      </c>
      <c r="D72" t="s">
        <v>406</v>
      </c>
      <c r="E72" t="s">
        <v>1842</v>
      </c>
      <c r="F72">
        <v>0</v>
      </c>
      <c r="G72" s="10">
        <v>35238</v>
      </c>
      <c r="H72">
        <v>21</v>
      </c>
      <c r="I72" t="s">
        <v>1711</v>
      </c>
      <c r="J72" t="s">
        <v>2021</v>
      </c>
      <c r="K72">
        <v>6</v>
      </c>
      <c r="L72">
        <v>4</v>
      </c>
      <c r="M72">
        <v>1</v>
      </c>
      <c r="N72">
        <v>0</v>
      </c>
      <c r="O72">
        <v>0</v>
      </c>
      <c r="P72" s="8">
        <v>8.6999999999999993</v>
      </c>
      <c r="Q72">
        <v>109</v>
      </c>
      <c r="R72">
        <v>0</v>
      </c>
      <c r="S72">
        <v>122</v>
      </c>
      <c r="T72">
        <v>190</v>
      </c>
      <c r="U72">
        <v>126</v>
      </c>
      <c r="V72">
        <v>118</v>
      </c>
      <c r="W72">
        <v>20</v>
      </c>
      <c r="X72">
        <v>89</v>
      </c>
      <c r="Y72">
        <v>145</v>
      </c>
      <c r="Z72" s="8">
        <v>2.29</v>
      </c>
      <c r="AA72" s="9">
        <v>0.35399999999999998</v>
      </c>
      <c r="AB72" s="9">
        <v>0.45300000000000001</v>
      </c>
    </row>
    <row r="73" spans="1:28">
      <c r="A73" t="str">
        <f t="shared" si="1"/>
        <v>SPKevin Ammons21</v>
      </c>
      <c r="B73">
        <v>9189</v>
      </c>
      <c r="C73">
        <v>256</v>
      </c>
      <c r="D73" t="s">
        <v>1904</v>
      </c>
      <c r="E73" t="s">
        <v>407</v>
      </c>
      <c r="F73">
        <v>0</v>
      </c>
      <c r="G73" s="10">
        <v>35245</v>
      </c>
      <c r="H73">
        <v>21</v>
      </c>
      <c r="I73" t="s">
        <v>1711</v>
      </c>
      <c r="J73" t="s">
        <v>2003</v>
      </c>
      <c r="K73">
        <v>19</v>
      </c>
      <c r="L73">
        <v>16</v>
      </c>
      <c r="M73">
        <v>0</v>
      </c>
      <c r="N73">
        <v>0</v>
      </c>
      <c r="O73">
        <v>0</v>
      </c>
      <c r="P73" s="8">
        <v>4.9000000000000004</v>
      </c>
      <c r="Q73">
        <v>46</v>
      </c>
      <c r="R73">
        <v>46</v>
      </c>
      <c r="S73">
        <v>253.7</v>
      </c>
      <c r="T73">
        <v>290</v>
      </c>
      <c r="U73">
        <v>159</v>
      </c>
      <c r="V73">
        <v>138</v>
      </c>
      <c r="W73">
        <v>31</v>
      </c>
      <c r="X73">
        <v>58</v>
      </c>
      <c r="Y73">
        <v>143</v>
      </c>
      <c r="Z73" s="8">
        <v>1.37</v>
      </c>
      <c r="AA73" s="9">
        <v>0.28399999999999997</v>
      </c>
      <c r="AB73" s="9">
        <v>0.30099999999999999</v>
      </c>
    </row>
    <row r="74" spans="1:28">
      <c r="A74" t="str">
        <f t="shared" si="1"/>
        <v>SPSteve Burns18</v>
      </c>
      <c r="B74">
        <v>13821</v>
      </c>
      <c r="C74">
        <v>154</v>
      </c>
      <c r="D74" t="s">
        <v>1850</v>
      </c>
      <c r="E74" t="s">
        <v>1894</v>
      </c>
      <c r="F74">
        <v>0</v>
      </c>
      <c r="G74" s="10">
        <v>36545</v>
      </c>
      <c r="H74">
        <v>18</v>
      </c>
      <c r="I74" t="s">
        <v>1711</v>
      </c>
      <c r="J74" t="s">
        <v>2003</v>
      </c>
      <c r="K74">
        <v>7</v>
      </c>
      <c r="L74">
        <v>23</v>
      </c>
      <c r="M74">
        <v>0</v>
      </c>
      <c r="N74">
        <v>2</v>
      </c>
      <c r="O74">
        <v>0</v>
      </c>
      <c r="P74" s="8">
        <v>7.67</v>
      </c>
      <c r="Q74">
        <v>45</v>
      </c>
      <c r="R74">
        <v>42</v>
      </c>
      <c r="S74">
        <v>213.7</v>
      </c>
      <c r="T74">
        <v>318</v>
      </c>
      <c r="U74">
        <v>239</v>
      </c>
      <c r="V74">
        <v>182</v>
      </c>
      <c r="W74">
        <v>47</v>
      </c>
      <c r="X74">
        <v>134</v>
      </c>
      <c r="Y74">
        <v>143</v>
      </c>
      <c r="Z74" s="8">
        <v>2.12</v>
      </c>
      <c r="AA74" s="9">
        <v>0.34</v>
      </c>
      <c r="AB74" s="9">
        <v>0.36</v>
      </c>
    </row>
    <row r="75" spans="1:28">
      <c r="A75" t="str">
        <f t="shared" si="1"/>
        <v>SPTom Harrell18</v>
      </c>
      <c r="B75">
        <v>13914</v>
      </c>
      <c r="C75">
        <v>222</v>
      </c>
      <c r="D75" t="s">
        <v>1875</v>
      </c>
      <c r="E75" t="s">
        <v>409</v>
      </c>
      <c r="F75">
        <v>0</v>
      </c>
      <c r="G75" s="10">
        <v>36519</v>
      </c>
      <c r="H75">
        <v>18</v>
      </c>
      <c r="I75" t="s">
        <v>1711</v>
      </c>
      <c r="J75" t="s">
        <v>2003</v>
      </c>
      <c r="K75">
        <v>13</v>
      </c>
      <c r="L75">
        <v>10</v>
      </c>
      <c r="M75">
        <v>0</v>
      </c>
      <c r="N75">
        <v>0</v>
      </c>
      <c r="O75">
        <v>0</v>
      </c>
      <c r="P75" s="8">
        <v>6.09</v>
      </c>
      <c r="Q75">
        <v>39</v>
      </c>
      <c r="R75">
        <v>38</v>
      </c>
      <c r="S75">
        <v>190.7</v>
      </c>
      <c r="T75">
        <v>262</v>
      </c>
      <c r="U75">
        <v>152</v>
      </c>
      <c r="V75">
        <v>129</v>
      </c>
      <c r="W75">
        <v>40</v>
      </c>
      <c r="X75">
        <v>82</v>
      </c>
      <c r="Y75">
        <v>142</v>
      </c>
      <c r="Z75" s="8">
        <v>1.8</v>
      </c>
      <c r="AA75" s="9">
        <v>0.32500000000000001</v>
      </c>
      <c r="AB75" s="9">
        <v>0.35199999999999998</v>
      </c>
    </row>
    <row r="76" spans="1:28">
      <c r="A76" t="str">
        <f t="shared" si="1"/>
        <v>MRMichael Hill21</v>
      </c>
      <c r="B76">
        <v>2836</v>
      </c>
      <c r="C76">
        <v>362</v>
      </c>
      <c r="D76" t="s">
        <v>1841</v>
      </c>
      <c r="E76" t="s">
        <v>1778</v>
      </c>
      <c r="F76">
        <v>0</v>
      </c>
      <c r="G76" s="10">
        <v>35380</v>
      </c>
      <c r="H76">
        <v>21</v>
      </c>
      <c r="I76" t="s">
        <v>1711</v>
      </c>
      <c r="J76" t="s">
        <v>2021</v>
      </c>
      <c r="K76">
        <v>8</v>
      </c>
      <c r="L76">
        <v>1</v>
      </c>
      <c r="M76">
        <v>15</v>
      </c>
      <c r="N76">
        <v>0</v>
      </c>
      <c r="O76">
        <v>0</v>
      </c>
      <c r="P76" s="8">
        <v>3.9</v>
      </c>
      <c r="Q76">
        <v>89</v>
      </c>
      <c r="R76">
        <v>0</v>
      </c>
      <c r="S76">
        <v>113</v>
      </c>
      <c r="T76">
        <v>89</v>
      </c>
      <c r="U76">
        <v>54</v>
      </c>
      <c r="V76">
        <v>49</v>
      </c>
      <c r="W76">
        <v>16</v>
      </c>
      <c r="X76">
        <v>49</v>
      </c>
      <c r="Y76">
        <v>141</v>
      </c>
      <c r="Z76" s="8">
        <v>1.22</v>
      </c>
      <c r="AA76" s="9">
        <v>0.21199999999999999</v>
      </c>
      <c r="AB76" s="9">
        <v>0.27600000000000002</v>
      </c>
    </row>
    <row r="77" spans="1:28">
      <c r="A77" t="str">
        <f t="shared" si="1"/>
        <v>SPGreg Alexander21</v>
      </c>
      <c r="B77">
        <v>2539</v>
      </c>
      <c r="C77">
        <v>271</v>
      </c>
      <c r="D77" t="s">
        <v>1890</v>
      </c>
      <c r="E77" t="s">
        <v>408</v>
      </c>
      <c r="F77">
        <v>0</v>
      </c>
      <c r="G77" s="10">
        <v>35240</v>
      </c>
      <c r="H77">
        <v>21</v>
      </c>
      <c r="I77" t="s">
        <v>1711</v>
      </c>
      <c r="J77" t="s">
        <v>2003</v>
      </c>
      <c r="K77">
        <v>18</v>
      </c>
      <c r="L77">
        <v>16</v>
      </c>
      <c r="M77">
        <v>0</v>
      </c>
      <c r="N77">
        <v>2</v>
      </c>
      <c r="O77">
        <v>0</v>
      </c>
      <c r="P77" s="8">
        <v>5.33</v>
      </c>
      <c r="Q77">
        <v>45</v>
      </c>
      <c r="R77">
        <v>45</v>
      </c>
      <c r="S77">
        <v>273.7</v>
      </c>
      <c r="T77">
        <v>318</v>
      </c>
      <c r="U77">
        <v>190</v>
      </c>
      <c r="V77">
        <v>162</v>
      </c>
      <c r="W77">
        <v>20</v>
      </c>
      <c r="X77">
        <v>137</v>
      </c>
      <c r="Y77">
        <v>141</v>
      </c>
      <c r="Z77" s="8">
        <v>1.66</v>
      </c>
      <c r="AA77" s="9">
        <v>0.28699999999999998</v>
      </c>
      <c r="AB77" s="9">
        <v>0.31</v>
      </c>
    </row>
    <row r="78" spans="1:28">
      <c r="A78" t="str">
        <f t="shared" si="1"/>
        <v>SPCarl Long21</v>
      </c>
      <c r="B78">
        <v>2384</v>
      </c>
      <c r="C78">
        <v>375</v>
      </c>
      <c r="D78" t="s">
        <v>1741</v>
      </c>
      <c r="E78" t="s">
        <v>410</v>
      </c>
      <c r="F78">
        <v>0</v>
      </c>
      <c r="G78" s="10">
        <v>35561</v>
      </c>
      <c r="H78">
        <v>21</v>
      </c>
      <c r="I78" t="s">
        <v>1711</v>
      </c>
      <c r="J78" t="s">
        <v>2003</v>
      </c>
      <c r="K78">
        <v>11</v>
      </c>
      <c r="L78">
        <v>21</v>
      </c>
      <c r="M78">
        <v>0</v>
      </c>
      <c r="N78">
        <v>0</v>
      </c>
      <c r="O78">
        <v>0</v>
      </c>
      <c r="P78" s="8">
        <v>6.49</v>
      </c>
      <c r="Q78">
        <v>45</v>
      </c>
      <c r="R78">
        <v>45</v>
      </c>
      <c r="S78">
        <v>217.7</v>
      </c>
      <c r="T78">
        <v>278</v>
      </c>
      <c r="U78">
        <v>183</v>
      </c>
      <c r="V78">
        <v>157</v>
      </c>
      <c r="W78">
        <v>26</v>
      </c>
      <c r="X78">
        <v>119</v>
      </c>
      <c r="Y78">
        <v>140</v>
      </c>
      <c r="Z78" s="8">
        <v>1.82</v>
      </c>
      <c r="AA78" s="9">
        <v>0.308</v>
      </c>
      <c r="AB78" s="9">
        <v>0.33700000000000002</v>
      </c>
    </row>
    <row r="79" spans="1:28">
      <c r="A79" t="str">
        <f t="shared" si="1"/>
        <v>MRMarcos García21</v>
      </c>
      <c r="B79">
        <v>2283</v>
      </c>
      <c r="C79">
        <v>44</v>
      </c>
      <c r="D79" t="s">
        <v>497</v>
      </c>
      <c r="E79" t="s">
        <v>1831</v>
      </c>
      <c r="F79">
        <v>0</v>
      </c>
      <c r="G79" s="10">
        <v>35385</v>
      </c>
      <c r="H79">
        <v>21</v>
      </c>
      <c r="I79" t="s">
        <v>1711</v>
      </c>
      <c r="J79" t="s">
        <v>2021</v>
      </c>
      <c r="K79">
        <v>9</v>
      </c>
      <c r="L79">
        <v>10</v>
      </c>
      <c r="M79">
        <v>2</v>
      </c>
      <c r="N79">
        <v>1</v>
      </c>
      <c r="O79">
        <v>0</v>
      </c>
      <c r="P79" s="8">
        <v>5.24</v>
      </c>
      <c r="Q79">
        <v>79</v>
      </c>
      <c r="R79">
        <v>27</v>
      </c>
      <c r="S79">
        <v>190.7</v>
      </c>
      <c r="T79">
        <v>192</v>
      </c>
      <c r="U79">
        <v>127</v>
      </c>
      <c r="V79">
        <v>111</v>
      </c>
      <c r="W79">
        <v>19</v>
      </c>
      <c r="X79">
        <v>119</v>
      </c>
      <c r="Y79">
        <v>139</v>
      </c>
      <c r="Z79" s="8">
        <v>1.63</v>
      </c>
      <c r="AA79" s="9">
        <v>0.25900000000000001</v>
      </c>
      <c r="AB79" s="9">
        <v>0.29099999999999998</v>
      </c>
    </row>
    <row r="80" spans="1:28">
      <c r="A80" t="str">
        <f t="shared" si="1"/>
        <v>SPTomás Miranda20</v>
      </c>
      <c r="B80">
        <v>13913</v>
      </c>
      <c r="C80">
        <v>96</v>
      </c>
      <c r="D80" t="s">
        <v>506</v>
      </c>
      <c r="E80" t="s">
        <v>411</v>
      </c>
      <c r="F80">
        <v>0</v>
      </c>
      <c r="G80" s="10">
        <v>35582</v>
      </c>
      <c r="H80">
        <v>20</v>
      </c>
      <c r="I80" t="s">
        <v>1711</v>
      </c>
      <c r="J80" t="s">
        <v>2003</v>
      </c>
      <c r="K80">
        <v>18</v>
      </c>
      <c r="L80">
        <v>5</v>
      </c>
      <c r="M80">
        <v>1</v>
      </c>
      <c r="N80">
        <v>2</v>
      </c>
      <c r="O80">
        <v>0</v>
      </c>
      <c r="P80" s="8">
        <v>5.07</v>
      </c>
      <c r="Q80">
        <v>52</v>
      </c>
      <c r="R80">
        <v>33</v>
      </c>
      <c r="S80">
        <v>220</v>
      </c>
      <c r="T80">
        <v>247</v>
      </c>
      <c r="U80">
        <v>132</v>
      </c>
      <c r="V80">
        <v>124</v>
      </c>
      <c r="W80">
        <v>30</v>
      </c>
      <c r="X80">
        <v>94</v>
      </c>
      <c r="Y80">
        <v>138</v>
      </c>
      <c r="Z80" s="8">
        <v>1.55</v>
      </c>
      <c r="AA80" s="9">
        <v>0.28299999999999997</v>
      </c>
      <c r="AB80" s="9">
        <v>0.30299999999999999</v>
      </c>
    </row>
    <row r="81" spans="1:28">
      <c r="A81" t="str">
        <f t="shared" si="1"/>
        <v>SPPedro López18</v>
      </c>
      <c r="B81">
        <v>13756</v>
      </c>
      <c r="C81">
        <v>272</v>
      </c>
      <c r="D81" t="s">
        <v>1932</v>
      </c>
      <c r="E81" t="s">
        <v>1878</v>
      </c>
      <c r="F81">
        <v>0</v>
      </c>
      <c r="G81" s="10">
        <v>36518</v>
      </c>
      <c r="H81">
        <v>18</v>
      </c>
      <c r="I81" t="s">
        <v>1711</v>
      </c>
      <c r="J81" t="s">
        <v>2003</v>
      </c>
      <c r="K81">
        <v>9</v>
      </c>
      <c r="L81">
        <v>11</v>
      </c>
      <c r="M81">
        <v>0</v>
      </c>
      <c r="N81">
        <v>0</v>
      </c>
      <c r="O81">
        <v>0</v>
      </c>
      <c r="P81" s="8">
        <v>7.6</v>
      </c>
      <c r="Q81">
        <v>41</v>
      </c>
      <c r="R81">
        <v>41</v>
      </c>
      <c r="S81">
        <v>199</v>
      </c>
      <c r="T81">
        <v>285</v>
      </c>
      <c r="U81">
        <v>180</v>
      </c>
      <c r="V81">
        <v>168</v>
      </c>
      <c r="W81">
        <v>21</v>
      </c>
      <c r="X81">
        <v>127</v>
      </c>
      <c r="Y81">
        <v>138</v>
      </c>
      <c r="Z81" s="8">
        <v>2.0699999999999998</v>
      </c>
      <c r="AA81" s="9">
        <v>0.33600000000000002</v>
      </c>
      <c r="AB81" s="9">
        <v>0.377</v>
      </c>
    </row>
    <row r="82" spans="1:28">
      <c r="A82" t="str">
        <f t="shared" si="1"/>
        <v>CLDave Pharr18</v>
      </c>
      <c r="B82">
        <v>1183</v>
      </c>
      <c r="C82">
        <v>305</v>
      </c>
      <c r="D82" t="s">
        <v>1830</v>
      </c>
      <c r="E82" t="s">
        <v>412</v>
      </c>
      <c r="F82">
        <v>0</v>
      </c>
      <c r="G82" s="10">
        <v>36594</v>
      </c>
      <c r="H82">
        <v>18</v>
      </c>
      <c r="I82" t="s">
        <v>1711</v>
      </c>
      <c r="J82" t="s">
        <v>2032</v>
      </c>
      <c r="K82">
        <v>20</v>
      </c>
      <c r="L82">
        <v>10</v>
      </c>
      <c r="M82">
        <v>0</v>
      </c>
      <c r="N82">
        <v>0</v>
      </c>
      <c r="O82">
        <v>0</v>
      </c>
      <c r="P82" s="8">
        <v>5.91</v>
      </c>
      <c r="Q82">
        <v>44</v>
      </c>
      <c r="R82">
        <v>43</v>
      </c>
      <c r="S82">
        <v>242.3</v>
      </c>
      <c r="T82">
        <v>295</v>
      </c>
      <c r="U82">
        <v>182</v>
      </c>
      <c r="V82">
        <v>159</v>
      </c>
      <c r="W82">
        <v>17</v>
      </c>
      <c r="X82">
        <v>147</v>
      </c>
      <c r="Y82">
        <v>136</v>
      </c>
      <c r="Z82" s="8">
        <v>1.82</v>
      </c>
      <c r="AA82" s="9">
        <v>0.29899999999999999</v>
      </c>
      <c r="AB82" s="9">
        <v>0.33100000000000002</v>
      </c>
    </row>
    <row r="83" spans="1:28">
      <c r="A83" t="str">
        <f t="shared" si="1"/>
        <v>SPDerek Wright18</v>
      </c>
      <c r="B83">
        <v>1720</v>
      </c>
      <c r="C83">
        <v>227</v>
      </c>
      <c r="D83" t="s">
        <v>1902</v>
      </c>
      <c r="E83" t="s">
        <v>1780</v>
      </c>
      <c r="F83">
        <v>0</v>
      </c>
      <c r="G83" s="10">
        <v>36400</v>
      </c>
      <c r="H83">
        <v>18</v>
      </c>
      <c r="I83" t="s">
        <v>1711</v>
      </c>
      <c r="J83" t="s">
        <v>2003</v>
      </c>
      <c r="K83">
        <v>6</v>
      </c>
      <c r="L83">
        <v>16</v>
      </c>
      <c r="M83">
        <v>0</v>
      </c>
      <c r="N83">
        <v>0</v>
      </c>
      <c r="O83">
        <v>0</v>
      </c>
      <c r="P83" s="8">
        <v>7.23</v>
      </c>
      <c r="Q83">
        <v>56</v>
      </c>
      <c r="R83">
        <v>30</v>
      </c>
      <c r="S83">
        <v>158</v>
      </c>
      <c r="T83">
        <v>225</v>
      </c>
      <c r="U83">
        <v>162</v>
      </c>
      <c r="V83">
        <v>127</v>
      </c>
      <c r="W83">
        <v>26</v>
      </c>
      <c r="X83">
        <v>98</v>
      </c>
      <c r="Y83">
        <v>136</v>
      </c>
      <c r="Z83" s="8">
        <v>2.04</v>
      </c>
      <c r="AA83" s="9">
        <v>0.32800000000000001</v>
      </c>
      <c r="AB83" s="9">
        <v>0.373</v>
      </c>
    </row>
    <row r="84" spans="1:28">
      <c r="A84" t="str">
        <f t="shared" si="1"/>
        <v>MRHarris Robinson18</v>
      </c>
      <c r="B84">
        <v>13823</v>
      </c>
      <c r="C84">
        <v>328</v>
      </c>
      <c r="D84" t="s">
        <v>1725</v>
      </c>
      <c r="E84" t="s">
        <v>1718</v>
      </c>
      <c r="F84">
        <v>0</v>
      </c>
      <c r="G84" s="10">
        <v>36345</v>
      </c>
      <c r="H84">
        <v>18</v>
      </c>
      <c r="I84" t="s">
        <v>1711</v>
      </c>
      <c r="J84" t="s">
        <v>2021</v>
      </c>
      <c r="K84">
        <v>12</v>
      </c>
      <c r="L84">
        <v>8</v>
      </c>
      <c r="M84">
        <v>2</v>
      </c>
      <c r="N84">
        <v>0</v>
      </c>
      <c r="O84">
        <v>0</v>
      </c>
      <c r="P84" s="8">
        <v>10.029999999999999</v>
      </c>
      <c r="Q84">
        <v>140</v>
      </c>
      <c r="R84">
        <v>0</v>
      </c>
      <c r="S84">
        <v>140</v>
      </c>
      <c r="T84">
        <v>223</v>
      </c>
      <c r="U84">
        <v>180</v>
      </c>
      <c r="V84">
        <v>156</v>
      </c>
      <c r="W84">
        <v>20</v>
      </c>
      <c r="X84">
        <v>142</v>
      </c>
      <c r="Y84">
        <v>134</v>
      </c>
      <c r="Z84" s="8">
        <v>2.61</v>
      </c>
      <c r="AA84" s="9">
        <v>0.36199999999999999</v>
      </c>
      <c r="AB84" s="9">
        <v>0.43</v>
      </c>
    </row>
    <row r="85" spans="1:28">
      <c r="A85" t="str">
        <f t="shared" si="1"/>
        <v>SPBen Cunningham18</v>
      </c>
      <c r="B85">
        <v>13919</v>
      </c>
      <c r="C85">
        <v>225</v>
      </c>
      <c r="D85" t="s">
        <v>1924</v>
      </c>
      <c r="E85" t="s">
        <v>1870</v>
      </c>
      <c r="F85">
        <v>0</v>
      </c>
      <c r="G85" s="10">
        <v>36410</v>
      </c>
      <c r="H85">
        <v>18</v>
      </c>
      <c r="I85" t="s">
        <v>1711</v>
      </c>
      <c r="J85" t="s">
        <v>2003</v>
      </c>
      <c r="K85">
        <v>12</v>
      </c>
      <c r="L85">
        <v>11</v>
      </c>
      <c r="M85">
        <v>0</v>
      </c>
      <c r="N85">
        <v>0</v>
      </c>
      <c r="O85">
        <v>0</v>
      </c>
      <c r="P85" s="8">
        <v>4.83</v>
      </c>
      <c r="Q85">
        <v>41</v>
      </c>
      <c r="R85">
        <v>41</v>
      </c>
      <c r="S85">
        <v>218</v>
      </c>
      <c r="T85">
        <v>278</v>
      </c>
      <c r="U85">
        <v>150</v>
      </c>
      <c r="V85">
        <v>117</v>
      </c>
      <c r="W85">
        <v>12</v>
      </c>
      <c r="X85">
        <v>65</v>
      </c>
      <c r="Y85">
        <v>132</v>
      </c>
      <c r="Z85" s="8">
        <v>1.57</v>
      </c>
      <c r="AA85" s="9">
        <v>0.30499999999999999</v>
      </c>
      <c r="AB85" s="9">
        <v>0.34100000000000003</v>
      </c>
    </row>
    <row r="86" spans="1:28">
      <c r="A86" t="str">
        <f t="shared" si="1"/>
        <v>MRSteve Sheffield18</v>
      </c>
      <c r="B86">
        <v>13769</v>
      </c>
      <c r="C86">
        <v>108</v>
      </c>
      <c r="D86" t="s">
        <v>1850</v>
      </c>
      <c r="E86" t="s">
        <v>413</v>
      </c>
      <c r="F86">
        <v>0</v>
      </c>
      <c r="G86" s="10">
        <v>36541</v>
      </c>
      <c r="H86">
        <v>18</v>
      </c>
      <c r="I86" t="s">
        <v>1711</v>
      </c>
      <c r="J86" t="s">
        <v>2021</v>
      </c>
      <c r="K86">
        <v>9</v>
      </c>
      <c r="L86">
        <v>12</v>
      </c>
      <c r="M86">
        <v>2</v>
      </c>
      <c r="N86">
        <v>1</v>
      </c>
      <c r="O86">
        <v>0</v>
      </c>
      <c r="P86" s="8">
        <v>8.34</v>
      </c>
      <c r="Q86">
        <v>75</v>
      </c>
      <c r="R86">
        <v>22</v>
      </c>
      <c r="S86">
        <v>169.3</v>
      </c>
      <c r="T86">
        <v>263</v>
      </c>
      <c r="U86">
        <v>187</v>
      </c>
      <c r="V86">
        <v>157</v>
      </c>
      <c r="W86">
        <v>23</v>
      </c>
      <c r="X86">
        <v>106</v>
      </c>
      <c r="Y86">
        <v>132</v>
      </c>
      <c r="Z86" s="8">
        <v>2.1800000000000002</v>
      </c>
      <c r="AA86" s="9">
        <v>0.35</v>
      </c>
      <c r="AB86" s="9">
        <v>0.39100000000000001</v>
      </c>
    </row>
    <row r="87" spans="1:28">
      <c r="A87" t="str">
        <f t="shared" si="1"/>
        <v>MRTed Sepkiechler18</v>
      </c>
      <c r="B87">
        <v>13917</v>
      </c>
      <c r="C87">
        <v>281</v>
      </c>
      <c r="D87" t="s">
        <v>495</v>
      </c>
      <c r="E87" t="s">
        <v>414</v>
      </c>
      <c r="F87">
        <v>0</v>
      </c>
      <c r="G87" s="10">
        <v>36509</v>
      </c>
      <c r="H87">
        <v>18</v>
      </c>
      <c r="I87" t="s">
        <v>1711</v>
      </c>
      <c r="J87" t="s">
        <v>2021</v>
      </c>
      <c r="K87">
        <v>10</v>
      </c>
      <c r="L87">
        <v>8</v>
      </c>
      <c r="M87">
        <v>1</v>
      </c>
      <c r="N87">
        <v>0</v>
      </c>
      <c r="O87">
        <v>0</v>
      </c>
      <c r="P87" s="8">
        <v>7.37</v>
      </c>
      <c r="Q87">
        <v>73</v>
      </c>
      <c r="R87">
        <v>31</v>
      </c>
      <c r="S87">
        <v>185.7</v>
      </c>
      <c r="T87">
        <v>263</v>
      </c>
      <c r="U87">
        <v>166</v>
      </c>
      <c r="V87">
        <v>152</v>
      </c>
      <c r="W87">
        <v>20</v>
      </c>
      <c r="X87">
        <v>75</v>
      </c>
      <c r="Y87">
        <v>131</v>
      </c>
      <c r="Z87" s="8">
        <v>1.82</v>
      </c>
      <c r="AA87" s="9">
        <v>0.32400000000000001</v>
      </c>
      <c r="AB87" s="9">
        <v>0.36099999999999999</v>
      </c>
    </row>
    <row r="88" spans="1:28">
      <c r="A88" t="str">
        <f t="shared" si="1"/>
        <v>SPCurtis Fraser18</v>
      </c>
      <c r="B88">
        <v>13835</v>
      </c>
      <c r="C88">
        <v>87</v>
      </c>
      <c r="D88" t="s">
        <v>1960</v>
      </c>
      <c r="E88" t="s">
        <v>416</v>
      </c>
      <c r="F88">
        <v>0</v>
      </c>
      <c r="G88" s="10">
        <v>36354</v>
      </c>
      <c r="H88">
        <v>18</v>
      </c>
      <c r="I88" t="s">
        <v>1711</v>
      </c>
      <c r="J88" t="s">
        <v>2003</v>
      </c>
      <c r="K88">
        <v>15</v>
      </c>
      <c r="L88">
        <v>13</v>
      </c>
      <c r="M88">
        <v>0</v>
      </c>
      <c r="N88">
        <v>0</v>
      </c>
      <c r="O88">
        <v>0</v>
      </c>
      <c r="P88" s="8">
        <v>5.12</v>
      </c>
      <c r="Q88">
        <v>48</v>
      </c>
      <c r="R88">
        <v>48</v>
      </c>
      <c r="S88">
        <v>262</v>
      </c>
      <c r="T88">
        <v>347</v>
      </c>
      <c r="U88">
        <v>186</v>
      </c>
      <c r="V88">
        <v>149</v>
      </c>
      <c r="W88">
        <v>15</v>
      </c>
      <c r="X88">
        <v>56</v>
      </c>
      <c r="Y88">
        <v>128</v>
      </c>
      <c r="Z88" s="8">
        <v>1.54</v>
      </c>
      <c r="AA88" s="9">
        <v>0.311</v>
      </c>
      <c r="AB88" s="9">
        <v>0.33600000000000002</v>
      </c>
    </row>
    <row r="89" spans="1:28">
      <c r="A89" t="str">
        <f t="shared" si="1"/>
        <v>SPNorbert Jackson21</v>
      </c>
      <c r="B89">
        <v>2172</v>
      </c>
      <c r="C89">
        <v>363</v>
      </c>
      <c r="D89" t="s">
        <v>415</v>
      </c>
      <c r="E89" t="s">
        <v>1864</v>
      </c>
      <c r="F89">
        <v>0</v>
      </c>
      <c r="G89" s="10">
        <v>35462</v>
      </c>
      <c r="H89">
        <v>21</v>
      </c>
      <c r="I89" t="s">
        <v>1711</v>
      </c>
      <c r="J89" t="s">
        <v>2003</v>
      </c>
      <c r="K89">
        <v>10</v>
      </c>
      <c r="L89">
        <v>12</v>
      </c>
      <c r="M89">
        <v>1</v>
      </c>
      <c r="N89">
        <v>0</v>
      </c>
      <c r="O89">
        <v>0</v>
      </c>
      <c r="P89" s="8">
        <v>5.39</v>
      </c>
      <c r="Q89">
        <v>65</v>
      </c>
      <c r="R89">
        <v>27</v>
      </c>
      <c r="S89">
        <v>190.3</v>
      </c>
      <c r="T89">
        <v>215</v>
      </c>
      <c r="U89">
        <v>129</v>
      </c>
      <c r="V89">
        <v>114</v>
      </c>
      <c r="W89">
        <v>14</v>
      </c>
      <c r="X89">
        <v>110</v>
      </c>
      <c r="Y89">
        <v>128</v>
      </c>
      <c r="Z89" s="8">
        <v>1.71</v>
      </c>
      <c r="AA89" s="9">
        <v>0.28499999999999998</v>
      </c>
      <c r="AB89" s="9">
        <v>0.32100000000000001</v>
      </c>
    </row>
    <row r="90" spans="1:28">
      <c r="A90" t="str">
        <f t="shared" si="1"/>
        <v>CLTravis Hooper18</v>
      </c>
      <c r="B90">
        <v>13843</v>
      </c>
      <c r="C90">
        <v>185</v>
      </c>
      <c r="D90" t="s">
        <v>535</v>
      </c>
      <c r="E90" t="s">
        <v>520</v>
      </c>
      <c r="F90">
        <v>0</v>
      </c>
      <c r="G90" s="10">
        <v>36475</v>
      </c>
      <c r="H90">
        <v>18</v>
      </c>
      <c r="I90" t="s">
        <v>1711</v>
      </c>
      <c r="J90" t="s">
        <v>2032</v>
      </c>
      <c r="K90">
        <v>8</v>
      </c>
      <c r="L90">
        <v>10</v>
      </c>
      <c r="M90">
        <v>7</v>
      </c>
      <c r="N90">
        <v>0</v>
      </c>
      <c r="O90">
        <v>0</v>
      </c>
      <c r="P90" s="8">
        <v>7.54</v>
      </c>
      <c r="Q90">
        <v>126</v>
      </c>
      <c r="R90">
        <v>15</v>
      </c>
      <c r="S90">
        <v>182.7</v>
      </c>
      <c r="T90">
        <v>264</v>
      </c>
      <c r="U90">
        <v>177</v>
      </c>
      <c r="V90">
        <v>153</v>
      </c>
      <c r="W90">
        <v>12</v>
      </c>
      <c r="X90">
        <v>111</v>
      </c>
      <c r="Y90">
        <v>128</v>
      </c>
      <c r="Z90" s="8">
        <v>2.0499999999999998</v>
      </c>
      <c r="AA90" s="9">
        <v>0.33800000000000002</v>
      </c>
      <c r="AB90" s="9">
        <v>0.38400000000000001</v>
      </c>
    </row>
    <row r="91" spans="1:28">
      <c r="A91" t="str">
        <f t="shared" si="1"/>
        <v>SPRobbie Lowe18</v>
      </c>
      <c r="B91">
        <v>13845</v>
      </c>
      <c r="C91">
        <v>145</v>
      </c>
      <c r="D91" t="s">
        <v>1964</v>
      </c>
      <c r="E91" t="s">
        <v>418</v>
      </c>
      <c r="F91">
        <v>0</v>
      </c>
      <c r="G91" s="10">
        <v>36662</v>
      </c>
      <c r="H91">
        <v>18</v>
      </c>
      <c r="I91" t="s">
        <v>1711</v>
      </c>
      <c r="J91" t="s">
        <v>2003</v>
      </c>
      <c r="K91">
        <v>6</v>
      </c>
      <c r="L91">
        <v>10</v>
      </c>
      <c r="M91">
        <v>2</v>
      </c>
      <c r="N91">
        <v>0</v>
      </c>
      <c r="O91">
        <v>0</v>
      </c>
      <c r="P91" s="8">
        <v>8.18</v>
      </c>
      <c r="Q91">
        <v>78</v>
      </c>
      <c r="R91">
        <v>20</v>
      </c>
      <c r="S91">
        <v>157.30000000000001</v>
      </c>
      <c r="T91">
        <v>247</v>
      </c>
      <c r="U91">
        <v>167</v>
      </c>
      <c r="V91">
        <v>143</v>
      </c>
      <c r="W91">
        <v>18</v>
      </c>
      <c r="X91">
        <v>109</v>
      </c>
      <c r="Y91">
        <v>128</v>
      </c>
      <c r="Z91" s="8">
        <v>2.2599999999999998</v>
      </c>
      <c r="AA91" s="9">
        <v>0.36099999999999999</v>
      </c>
      <c r="AB91" s="9">
        <v>0.41399999999999998</v>
      </c>
    </row>
    <row r="92" spans="1:28">
      <c r="A92" t="str">
        <f t="shared" si="1"/>
        <v>SPBob Larsen18</v>
      </c>
      <c r="B92">
        <v>13850</v>
      </c>
      <c r="C92">
        <v>202</v>
      </c>
      <c r="D92" t="s">
        <v>1913</v>
      </c>
      <c r="E92" t="s">
        <v>419</v>
      </c>
      <c r="F92">
        <v>0</v>
      </c>
      <c r="G92" s="10">
        <v>36494</v>
      </c>
      <c r="H92">
        <v>18</v>
      </c>
      <c r="I92" t="s">
        <v>1711</v>
      </c>
      <c r="J92" t="s">
        <v>2003</v>
      </c>
      <c r="K92">
        <v>6</v>
      </c>
      <c r="L92">
        <v>15</v>
      </c>
      <c r="M92">
        <v>0</v>
      </c>
      <c r="N92">
        <v>0</v>
      </c>
      <c r="O92">
        <v>0</v>
      </c>
      <c r="P92" s="8">
        <v>8.6999999999999993</v>
      </c>
      <c r="Q92">
        <v>74</v>
      </c>
      <c r="R92">
        <v>18</v>
      </c>
      <c r="S92">
        <v>141.69999999999999</v>
      </c>
      <c r="T92">
        <v>224</v>
      </c>
      <c r="U92">
        <v>153</v>
      </c>
      <c r="V92">
        <v>137</v>
      </c>
      <c r="W92">
        <v>16</v>
      </c>
      <c r="X92">
        <v>111</v>
      </c>
      <c r="Y92">
        <v>128</v>
      </c>
      <c r="Z92" s="8">
        <v>2.36</v>
      </c>
      <c r="AA92" s="9">
        <v>0.35699999999999998</v>
      </c>
      <c r="AB92" s="9">
        <v>0.42199999999999999</v>
      </c>
    </row>
    <row r="93" spans="1:28">
      <c r="A93" t="str">
        <f t="shared" si="1"/>
        <v>MRJared Younger18</v>
      </c>
      <c r="B93">
        <v>13916</v>
      </c>
      <c r="C93">
        <v>234</v>
      </c>
      <c r="D93" t="s">
        <v>345</v>
      </c>
      <c r="E93" t="s">
        <v>417</v>
      </c>
      <c r="F93">
        <v>0</v>
      </c>
      <c r="G93" s="10">
        <v>36411</v>
      </c>
      <c r="H93">
        <v>18</v>
      </c>
      <c r="I93" t="s">
        <v>1711</v>
      </c>
      <c r="J93" t="s">
        <v>2021</v>
      </c>
      <c r="K93">
        <v>11</v>
      </c>
      <c r="L93">
        <v>10</v>
      </c>
      <c r="M93">
        <v>6</v>
      </c>
      <c r="N93">
        <v>0</v>
      </c>
      <c r="O93">
        <v>0</v>
      </c>
      <c r="P93" s="8">
        <v>9.0399999999999991</v>
      </c>
      <c r="Q93">
        <v>140</v>
      </c>
      <c r="R93">
        <v>1</v>
      </c>
      <c r="S93">
        <v>157.30000000000001</v>
      </c>
      <c r="T93">
        <v>245</v>
      </c>
      <c r="U93">
        <v>167</v>
      </c>
      <c r="V93">
        <v>158</v>
      </c>
      <c r="W93">
        <v>31</v>
      </c>
      <c r="X93">
        <v>92</v>
      </c>
      <c r="Y93">
        <v>128</v>
      </c>
      <c r="Z93" s="8">
        <v>2.14</v>
      </c>
      <c r="AA93" s="9">
        <v>0.36</v>
      </c>
      <c r="AB93" s="9">
        <v>0.40400000000000003</v>
      </c>
    </row>
    <row r="94" spans="1:28">
      <c r="A94" t="str">
        <f t="shared" si="1"/>
        <v>MRChet Jones21</v>
      </c>
      <c r="B94">
        <v>13912</v>
      </c>
      <c r="C94">
        <v>159</v>
      </c>
      <c r="D94" t="s">
        <v>1686</v>
      </c>
      <c r="E94" t="s">
        <v>1680</v>
      </c>
      <c r="F94">
        <v>0</v>
      </c>
      <c r="G94" s="10">
        <v>35455</v>
      </c>
      <c r="H94">
        <v>21</v>
      </c>
      <c r="I94" t="s">
        <v>1711</v>
      </c>
      <c r="J94" t="s">
        <v>2021</v>
      </c>
      <c r="K94">
        <v>17</v>
      </c>
      <c r="L94">
        <v>10</v>
      </c>
      <c r="M94">
        <v>0</v>
      </c>
      <c r="N94">
        <v>1</v>
      </c>
      <c r="O94">
        <v>0</v>
      </c>
      <c r="P94" s="8">
        <v>5.51</v>
      </c>
      <c r="Q94">
        <v>64</v>
      </c>
      <c r="R94">
        <v>30</v>
      </c>
      <c r="S94">
        <v>214</v>
      </c>
      <c r="T94">
        <v>287</v>
      </c>
      <c r="U94">
        <v>161</v>
      </c>
      <c r="V94">
        <v>131</v>
      </c>
      <c r="W94">
        <v>23</v>
      </c>
      <c r="X94">
        <v>112</v>
      </c>
      <c r="Y94">
        <v>127</v>
      </c>
      <c r="Z94" s="8">
        <v>1.86</v>
      </c>
      <c r="AA94" s="9">
        <v>0.31900000000000001</v>
      </c>
      <c r="AB94" s="9">
        <v>0.34499999999999997</v>
      </c>
    </row>
    <row r="95" spans="1:28">
      <c r="A95" t="str">
        <f t="shared" si="1"/>
        <v>SPMáximo Padilla21</v>
      </c>
      <c r="B95">
        <v>8472</v>
      </c>
      <c r="C95">
        <v>287</v>
      </c>
      <c r="D95" t="s">
        <v>517</v>
      </c>
      <c r="E95" t="s">
        <v>1671</v>
      </c>
      <c r="F95">
        <v>0</v>
      </c>
      <c r="G95" s="10">
        <v>35275</v>
      </c>
      <c r="H95">
        <v>21</v>
      </c>
      <c r="I95" t="s">
        <v>1711</v>
      </c>
      <c r="J95" t="s">
        <v>2003</v>
      </c>
      <c r="K95">
        <v>8</v>
      </c>
      <c r="L95">
        <v>14</v>
      </c>
      <c r="M95">
        <v>10</v>
      </c>
      <c r="N95">
        <v>0</v>
      </c>
      <c r="O95">
        <v>0</v>
      </c>
      <c r="P95" s="8">
        <v>6.54</v>
      </c>
      <c r="Q95">
        <v>77</v>
      </c>
      <c r="R95">
        <v>21</v>
      </c>
      <c r="S95">
        <v>158.30000000000001</v>
      </c>
      <c r="T95">
        <v>222</v>
      </c>
      <c r="U95">
        <v>131</v>
      </c>
      <c r="V95">
        <v>115</v>
      </c>
      <c r="W95">
        <v>21</v>
      </c>
      <c r="X95">
        <v>101</v>
      </c>
      <c r="Y95">
        <v>127</v>
      </c>
      <c r="Z95" s="8">
        <v>2.04</v>
      </c>
      <c r="AA95" s="9">
        <v>0.32700000000000001</v>
      </c>
      <c r="AB95" s="9">
        <v>0.371</v>
      </c>
    </row>
    <row r="96" spans="1:28">
      <c r="A96" t="str">
        <f t="shared" si="1"/>
        <v>MRRamón Aguirre18</v>
      </c>
      <c r="B96">
        <v>13762</v>
      </c>
      <c r="C96">
        <v>121</v>
      </c>
      <c r="D96" t="s">
        <v>1757</v>
      </c>
      <c r="E96" t="s">
        <v>420</v>
      </c>
      <c r="F96">
        <v>0</v>
      </c>
      <c r="G96" s="10">
        <v>36409</v>
      </c>
      <c r="H96">
        <v>18</v>
      </c>
      <c r="I96" t="s">
        <v>1711</v>
      </c>
      <c r="J96" t="s">
        <v>2021</v>
      </c>
      <c r="K96">
        <v>5</v>
      </c>
      <c r="L96">
        <v>13</v>
      </c>
      <c r="M96">
        <v>5</v>
      </c>
      <c r="N96">
        <v>0</v>
      </c>
      <c r="O96">
        <v>0</v>
      </c>
      <c r="P96" s="8">
        <v>13.47</v>
      </c>
      <c r="Q96">
        <v>114</v>
      </c>
      <c r="R96">
        <v>12</v>
      </c>
      <c r="S96">
        <v>159</v>
      </c>
      <c r="T96">
        <v>314</v>
      </c>
      <c r="U96">
        <v>259</v>
      </c>
      <c r="V96">
        <v>238</v>
      </c>
      <c r="W96">
        <v>25</v>
      </c>
      <c r="X96">
        <v>180</v>
      </c>
      <c r="Y96">
        <v>127</v>
      </c>
      <c r="Z96" s="8">
        <v>3.11</v>
      </c>
      <c r="AA96" s="9">
        <v>0.41199999999999998</v>
      </c>
      <c r="AB96" s="9">
        <v>0.46200000000000002</v>
      </c>
    </row>
    <row r="97" spans="1:28">
      <c r="A97" t="str">
        <f t="shared" si="1"/>
        <v>MRSean Robinson21</v>
      </c>
      <c r="B97">
        <v>2426</v>
      </c>
      <c r="C97">
        <v>181</v>
      </c>
      <c r="D97" t="s">
        <v>1687</v>
      </c>
      <c r="E97" t="s">
        <v>1718</v>
      </c>
      <c r="F97">
        <v>0</v>
      </c>
      <c r="G97" s="10">
        <v>35511</v>
      </c>
      <c r="H97">
        <v>21</v>
      </c>
      <c r="I97" t="s">
        <v>1711</v>
      </c>
      <c r="J97" t="s">
        <v>2021</v>
      </c>
      <c r="K97">
        <v>10</v>
      </c>
      <c r="L97">
        <v>8</v>
      </c>
      <c r="M97">
        <v>5</v>
      </c>
      <c r="N97">
        <v>0</v>
      </c>
      <c r="O97">
        <v>0</v>
      </c>
      <c r="P97" s="8">
        <v>6.49</v>
      </c>
      <c r="Q97">
        <v>101</v>
      </c>
      <c r="R97">
        <v>13</v>
      </c>
      <c r="S97">
        <v>156.69999999999999</v>
      </c>
      <c r="T97">
        <v>174</v>
      </c>
      <c r="U97">
        <v>120</v>
      </c>
      <c r="V97">
        <v>113</v>
      </c>
      <c r="W97">
        <v>25</v>
      </c>
      <c r="X97">
        <v>107</v>
      </c>
      <c r="Y97">
        <v>125</v>
      </c>
      <c r="Z97" s="8">
        <v>1.79</v>
      </c>
      <c r="AA97" s="9">
        <v>0.27600000000000002</v>
      </c>
      <c r="AB97" s="9">
        <v>0.30399999999999999</v>
      </c>
    </row>
    <row r="98" spans="1:28">
      <c r="A98" t="str">
        <f t="shared" si="1"/>
        <v>SPBob Bennett21</v>
      </c>
      <c r="B98">
        <v>2573</v>
      </c>
      <c r="C98">
        <v>317</v>
      </c>
      <c r="D98" t="s">
        <v>1913</v>
      </c>
      <c r="E98" t="s">
        <v>1953</v>
      </c>
      <c r="F98">
        <v>0</v>
      </c>
      <c r="G98" s="10">
        <v>35262</v>
      </c>
      <c r="H98">
        <v>21</v>
      </c>
      <c r="I98" t="s">
        <v>1711</v>
      </c>
      <c r="J98" t="s">
        <v>2003</v>
      </c>
      <c r="K98">
        <v>5</v>
      </c>
      <c r="L98">
        <v>15</v>
      </c>
      <c r="M98">
        <v>1</v>
      </c>
      <c r="N98">
        <v>1</v>
      </c>
      <c r="O98">
        <v>0</v>
      </c>
      <c r="P98" s="8">
        <v>5.59</v>
      </c>
      <c r="Q98">
        <v>42</v>
      </c>
      <c r="R98">
        <v>36</v>
      </c>
      <c r="S98">
        <v>191.7</v>
      </c>
      <c r="T98">
        <v>237</v>
      </c>
      <c r="U98">
        <v>134</v>
      </c>
      <c r="V98">
        <v>119</v>
      </c>
      <c r="W98">
        <v>25</v>
      </c>
      <c r="X98">
        <v>80</v>
      </c>
      <c r="Y98">
        <v>123</v>
      </c>
      <c r="Z98" s="8">
        <v>1.65</v>
      </c>
      <c r="AA98" s="9">
        <v>0.30499999999999999</v>
      </c>
      <c r="AB98" s="9">
        <v>0.33</v>
      </c>
    </row>
    <row r="99" spans="1:28">
      <c r="A99" t="str">
        <f t="shared" si="1"/>
        <v>SPKeith Gordon21</v>
      </c>
      <c r="B99">
        <v>3069</v>
      </c>
      <c r="C99">
        <v>276</v>
      </c>
      <c r="D99" t="s">
        <v>1961</v>
      </c>
      <c r="E99" t="s">
        <v>1763</v>
      </c>
      <c r="F99">
        <v>0</v>
      </c>
      <c r="G99" s="10">
        <v>35560</v>
      </c>
      <c r="H99">
        <v>21</v>
      </c>
      <c r="I99" t="s">
        <v>1711</v>
      </c>
      <c r="J99" t="s">
        <v>2003</v>
      </c>
      <c r="K99">
        <v>5</v>
      </c>
      <c r="L99">
        <v>17</v>
      </c>
      <c r="M99">
        <v>0</v>
      </c>
      <c r="N99">
        <v>0</v>
      </c>
      <c r="O99">
        <v>0</v>
      </c>
      <c r="P99" s="8">
        <v>6.17</v>
      </c>
      <c r="Q99">
        <v>39</v>
      </c>
      <c r="R99">
        <v>39</v>
      </c>
      <c r="S99">
        <v>191</v>
      </c>
      <c r="T99">
        <v>248</v>
      </c>
      <c r="U99">
        <v>145</v>
      </c>
      <c r="V99">
        <v>131</v>
      </c>
      <c r="W99">
        <v>22</v>
      </c>
      <c r="X99">
        <v>87</v>
      </c>
      <c r="Y99">
        <v>123</v>
      </c>
      <c r="Z99" s="8">
        <v>1.75</v>
      </c>
      <c r="AA99" s="9">
        <v>0.312</v>
      </c>
      <c r="AB99" s="9">
        <v>0.34100000000000003</v>
      </c>
    </row>
    <row r="100" spans="1:28">
      <c r="A100" t="str">
        <f t="shared" si="1"/>
        <v>MRJesús López21</v>
      </c>
      <c r="B100">
        <v>8040</v>
      </c>
      <c r="C100">
        <v>480</v>
      </c>
      <c r="D100" t="s">
        <v>1854</v>
      </c>
      <c r="E100" t="s">
        <v>1878</v>
      </c>
      <c r="F100">
        <v>0</v>
      </c>
      <c r="G100" s="10">
        <v>35271</v>
      </c>
      <c r="H100">
        <v>21</v>
      </c>
      <c r="I100" t="s">
        <v>1711</v>
      </c>
      <c r="J100" t="s">
        <v>2021</v>
      </c>
      <c r="K100">
        <v>8</v>
      </c>
      <c r="L100">
        <v>8</v>
      </c>
      <c r="M100">
        <v>14</v>
      </c>
      <c r="N100">
        <v>0</v>
      </c>
      <c r="O100">
        <v>0</v>
      </c>
      <c r="P100" s="8">
        <v>7.65</v>
      </c>
      <c r="Q100">
        <v>111</v>
      </c>
      <c r="R100">
        <v>2</v>
      </c>
      <c r="S100">
        <v>135.30000000000001</v>
      </c>
      <c r="T100">
        <v>166</v>
      </c>
      <c r="U100">
        <v>130</v>
      </c>
      <c r="V100">
        <v>115</v>
      </c>
      <c r="W100">
        <v>25</v>
      </c>
      <c r="X100">
        <v>100</v>
      </c>
      <c r="Y100">
        <v>123</v>
      </c>
      <c r="Z100" s="8">
        <v>1.97</v>
      </c>
      <c r="AA100" s="9">
        <v>0.30099999999999999</v>
      </c>
      <c r="AB100" s="9">
        <v>0.34799999999999998</v>
      </c>
    </row>
    <row r="101" spans="1:28">
      <c r="A101" t="str">
        <f t="shared" si="1"/>
        <v>CLJorge Romero18</v>
      </c>
      <c r="B101">
        <v>13804</v>
      </c>
      <c r="C101">
        <v>255</v>
      </c>
      <c r="D101" t="s">
        <v>1832</v>
      </c>
      <c r="E101" t="s">
        <v>1745</v>
      </c>
      <c r="F101">
        <v>0</v>
      </c>
      <c r="G101" s="10">
        <v>36452</v>
      </c>
      <c r="H101">
        <v>18</v>
      </c>
      <c r="I101" t="s">
        <v>1711</v>
      </c>
      <c r="J101" t="s">
        <v>2032</v>
      </c>
      <c r="K101">
        <v>8</v>
      </c>
      <c r="L101">
        <v>16</v>
      </c>
      <c r="M101">
        <v>8</v>
      </c>
      <c r="N101">
        <v>0</v>
      </c>
      <c r="O101">
        <v>0</v>
      </c>
      <c r="P101" s="8">
        <v>9.25</v>
      </c>
      <c r="Q101">
        <v>117</v>
      </c>
      <c r="R101">
        <v>11</v>
      </c>
      <c r="S101">
        <v>144</v>
      </c>
      <c r="T101">
        <v>249</v>
      </c>
      <c r="U101">
        <v>164</v>
      </c>
      <c r="V101">
        <v>148</v>
      </c>
      <c r="W101">
        <v>26</v>
      </c>
      <c r="X101">
        <v>108</v>
      </c>
      <c r="Y101">
        <v>123</v>
      </c>
      <c r="Z101" s="8">
        <v>2.48</v>
      </c>
      <c r="AA101" s="9">
        <v>0.38100000000000001</v>
      </c>
      <c r="AB101" s="9">
        <v>0.434</v>
      </c>
    </row>
    <row r="102" spans="1:28">
      <c r="A102" t="str">
        <f t="shared" si="1"/>
        <v>SPAurelio Salazar21</v>
      </c>
      <c r="B102">
        <v>7429</v>
      </c>
      <c r="C102">
        <v>270</v>
      </c>
      <c r="D102" t="s">
        <v>1776</v>
      </c>
      <c r="E102" t="s">
        <v>391</v>
      </c>
      <c r="F102">
        <v>0</v>
      </c>
      <c r="G102" s="10">
        <v>35362</v>
      </c>
      <c r="H102">
        <v>21</v>
      </c>
      <c r="I102" t="s">
        <v>1711</v>
      </c>
      <c r="J102" t="s">
        <v>2003</v>
      </c>
      <c r="K102">
        <v>8</v>
      </c>
      <c r="L102">
        <v>21</v>
      </c>
      <c r="M102">
        <v>0</v>
      </c>
      <c r="N102">
        <v>0</v>
      </c>
      <c r="O102">
        <v>0</v>
      </c>
      <c r="P102" s="8">
        <v>7.29</v>
      </c>
      <c r="Q102">
        <v>59</v>
      </c>
      <c r="R102">
        <v>38</v>
      </c>
      <c r="S102">
        <v>210</v>
      </c>
      <c r="T102">
        <v>289</v>
      </c>
      <c r="U102">
        <v>175</v>
      </c>
      <c r="V102">
        <v>170</v>
      </c>
      <c r="W102">
        <v>29</v>
      </c>
      <c r="X102">
        <v>110</v>
      </c>
      <c r="Y102">
        <v>121</v>
      </c>
      <c r="Z102" s="8">
        <v>1.9</v>
      </c>
      <c r="AA102" s="9">
        <v>0.33100000000000002</v>
      </c>
      <c r="AB102" s="9">
        <v>0.35399999999999998</v>
      </c>
    </row>
    <row r="103" spans="1:28">
      <c r="A103" t="str">
        <f t="shared" si="1"/>
        <v>CLCurtis Robinson18</v>
      </c>
      <c r="B103">
        <v>114</v>
      </c>
      <c r="C103">
        <v>437</v>
      </c>
      <c r="D103" t="s">
        <v>1960</v>
      </c>
      <c r="E103" t="s">
        <v>1718</v>
      </c>
      <c r="F103">
        <v>0</v>
      </c>
      <c r="G103" s="10">
        <v>36467</v>
      </c>
      <c r="H103">
        <v>18</v>
      </c>
      <c r="I103" t="s">
        <v>1711</v>
      </c>
      <c r="J103" t="s">
        <v>2032</v>
      </c>
      <c r="K103">
        <v>7</v>
      </c>
      <c r="L103">
        <v>7</v>
      </c>
      <c r="M103">
        <v>17</v>
      </c>
      <c r="N103">
        <v>0</v>
      </c>
      <c r="O103">
        <v>0</v>
      </c>
      <c r="P103" s="8">
        <v>5.15</v>
      </c>
      <c r="Q103">
        <v>99</v>
      </c>
      <c r="R103">
        <v>9</v>
      </c>
      <c r="S103">
        <v>164.3</v>
      </c>
      <c r="T103">
        <v>214</v>
      </c>
      <c r="U103">
        <v>127</v>
      </c>
      <c r="V103">
        <v>94</v>
      </c>
      <c r="W103">
        <v>22</v>
      </c>
      <c r="X103">
        <v>89</v>
      </c>
      <c r="Y103">
        <v>120</v>
      </c>
      <c r="Z103" s="8">
        <v>1.84</v>
      </c>
      <c r="AA103" s="9">
        <v>0.311</v>
      </c>
      <c r="AB103" s="9">
        <v>0.34699999999999998</v>
      </c>
    </row>
    <row r="104" spans="1:28">
      <c r="A104" t="str">
        <f t="shared" si="1"/>
        <v>MRAlfred Thomas21</v>
      </c>
      <c r="B104">
        <v>5942</v>
      </c>
      <c r="C104">
        <v>134</v>
      </c>
      <c r="D104" t="s">
        <v>1672</v>
      </c>
      <c r="E104" t="s">
        <v>1879</v>
      </c>
      <c r="F104">
        <v>0</v>
      </c>
      <c r="G104" s="10">
        <v>35460</v>
      </c>
      <c r="H104">
        <v>21</v>
      </c>
      <c r="I104" t="s">
        <v>1711</v>
      </c>
      <c r="J104" t="s">
        <v>2021</v>
      </c>
      <c r="K104">
        <v>8</v>
      </c>
      <c r="L104">
        <v>4</v>
      </c>
      <c r="M104">
        <v>1</v>
      </c>
      <c r="N104">
        <v>0</v>
      </c>
      <c r="O104">
        <v>0</v>
      </c>
      <c r="P104" s="8">
        <v>6.53</v>
      </c>
      <c r="Q104">
        <v>117</v>
      </c>
      <c r="R104">
        <v>0</v>
      </c>
      <c r="S104">
        <v>132.30000000000001</v>
      </c>
      <c r="T104">
        <v>178</v>
      </c>
      <c r="U104">
        <v>102</v>
      </c>
      <c r="V104">
        <v>96</v>
      </c>
      <c r="W104">
        <v>21</v>
      </c>
      <c r="X104">
        <v>100</v>
      </c>
      <c r="Y104">
        <v>120</v>
      </c>
      <c r="Z104" s="8">
        <v>2.1</v>
      </c>
      <c r="AA104" s="9">
        <v>0.32700000000000001</v>
      </c>
      <c r="AB104" s="9">
        <v>0.378</v>
      </c>
    </row>
    <row r="105" spans="1:28">
      <c r="A105" t="str">
        <f t="shared" si="1"/>
        <v>MRSteven Crawford21</v>
      </c>
      <c r="B105">
        <v>2527</v>
      </c>
      <c r="C105">
        <v>371</v>
      </c>
      <c r="D105" t="s">
        <v>1844</v>
      </c>
      <c r="E105" t="s">
        <v>421</v>
      </c>
      <c r="F105">
        <v>0</v>
      </c>
      <c r="G105" s="10">
        <v>35262</v>
      </c>
      <c r="H105">
        <v>21</v>
      </c>
      <c r="I105" t="s">
        <v>1711</v>
      </c>
      <c r="J105" t="s">
        <v>2021</v>
      </c>
      <c r="K105">
        <v>5</v>
      </c>
      <c r="L105">
        <v>6</v>
      </c>
      <c r="M105">
        <v>8</v>
      </c>
      <c r="N105">
        <v>0</v>
      </c>
      <c r="O105">
        <v>0</v>
      </c>
      <c r="P105" s="8">
        <v>5.37</v>
      </c>
      <c r="Q105">
        <v>114</v>
      </c>
      <c r="R105">
        <v>1</v>
      </c>
      <c r="S105">
        <v>132.30000000000001</v>
      </c>
      <c r="T105">
        <v>154</v>
      </c>
      <c r="U105">
        <v>84</v>
      </c>
      <c r="V105">
        <v>79</v>
      </c>
      <c r="W105">
        <v>21</v>
      </c>
      <c r="X105">
        <v>62</v>
      </c>
      <c r="Y105">
        <v>118</v>
      </c>
      <c r="Z105" s="8">
        <v>1.63</v>
      </c>
      <c r="AA105" s="9">
        <v>0.28699999999999998</v>
      </c>
      <c r="AB105" s="9">
        <v>0.33200000000000002</v>
      </c>
    </row>
    <row r="106" spans="1:28">
      <c r="A106" t="str">
        <f t="shared" si="1"/>
        <v>SPJosé Rodríguez21</v>
      </c>
      <c r="B106">
        <v>2688</v>
      </c>
      <c r="C106">
        <v>45</v>
      </c>
      <c r="D106" t="s">
        <v>1849</v>
      </c>
      <c r="E106" t="s">
        <v>1664</v>
      </c>
      <c r="F106">
        <v>0</v>
      </c>
      <c r="G106" s="10">
        <v>35569</v>
      </c>
      <c r="H106">
        <v>21</v>
      </c>
      <c r="I106" t="s">
        <v>1711</v>
      </c>
      <c r="J106" t="s">
        <v>2003</v>
      </c>
      <c r="K106">
        <v>12</v>
      </c>
      <c r="L106">
        <v>7</v>
      </c>
      <c r="M106">
        <v>2</v>
      </c>
      <c r="N106">
        <v>1</v>
      </c>
      <c r="O106">
        <v>0</v>
      </c>
      <c r="P106" s="8">
        <v>5.55</v>
      </c>
      <c r="Q106">
        <v>37</v>
      </c>
      <c r="R106">
        <v>29</v>
      </c>
      <c r="S106">
        <v>167</v>
      </c>
      <c r="T106">
        <v>200</v>
      </c>
      <c r="U106">
        <v>112</v>
      </c>
      <c r="V106">
        <v>103</v>
      </c>
      <c r="W106">
        <v>18</v>
      </c>
      <c r="X106">
        <v>89</v>
      </c>
      <c r="Y106">
        <v>118</v>
      </c>
      <c r="Z106" s="8">
        <v>1.73</v>
      </c>
      <c r="AA106" s="9">
        <v>0.3</v>
      </c>
      <c r="AB106" s="9">
        <v>0.33700000000000002</v>
      </c>
    </row>
    <row r="107" spans="1:28">
      <c r="A107" t="str">
        <f t="shared" si="1"/>
        <v>SPGerard Ladner21</v>
      </c>
      <c r="B107">
        <v>6730</v>
      </c>
      <c r="C107">
        <v>367</v>
      </c>
      <c r="D107" t="s">
        <v>422</v>
      </c>
      <c r="E107" t="s">
        <v>423</v>
      </c>
      <c r="F107">
        <v>0</v>
      </c>
      <c r="G107" s="10">
        <v>35391</v>
      </c>
      <c r="H107">
        <v>21</v>
      </c>
      <c r="I107" t="s">
        <v>1711</v>
      </c>
      <c r="J107" t="s">
        <v>2003</v>
      </c>
      <c r="K107">
        <v>6</v>
      </c>
      <c r="L107">
        <v>9</v>
      </c>
      <c r="M107">
        <v>0</v>
      </c>
      <c r="N107">
        <v>0</v>
      </c>
      <c r="O107">
        <v>0</v>
      </c>
      <c r="P107" s="8">
        <v>6.66</v>
      </c>
      <c r="Q107">
        <v>34</v>
      </c>
      <c r="R107">
        <v>34</v>
      </c>
      <c r="S107">
        <v>173</v>
      </c>
      <c r="T107">
        <v>212</v>
      </c>
      <c r="U107">
        <v>136</v>
      </c>
      <c r="V107">
        <v>128</v>
      </c>
      <c r="W107">
        <v>20</v>
      </c>
      <c r="X107">
        <v>96</v>
      </c>
      <c r="Y107">
        <v>117</v>
      </c>
      <c r="Z107" s="8">
        <v>1.78</v>
      </c>
      <c r="AA107" s="9">
        <v>0.29899999999999999</v>
      </c>
      <c r="AB107" s="9">
        <v>0.33100000000000002</v>
      </c>
    </row>
    <row r="108" spans="1:28">
      <c r="A108" t="str">
        <f t="shared" si="1"/>
        <v>SPWilliam Gardner21</v>
      </c>
      <c r="B108">
        <v>4160</v>
      </c>
      <c r="C108">
        <v>30</v>
      </c>
      <c r="D108" t="s">
        <v>1666</v>
      </c>
      <c r="E108" t="s">
        <v>396</v>
      </c>
      <c r="F108">
        <v>0</v>
      </c>
      <c r="G108" s="10">
        <v>35528</v>
      </c>
      <c r="H108">
        <v>21</v>
      </c>
      <c r="I108" t="s">
        <v>1711</v>
      </c>
      <c r="J108" t="s">
        <v>2003</v>
      </c>
      <c r="K108">
        <v>10</v>
      </c>
      <c r="L108">
        <v>18</v>
      </c>
      <c r="M108">
        <v>0</v>
      </c>
      <c r="N108">
        <v>0</v>
      </c>
      <c r="O108">
        <v>0</v>
      </c>
      <c r="P108" s="8">
        <v>8.5500000000000007</v>
      </c>
      <c r="Q108">
        <v>65</v>
      </c>
      <c r="R108">
        <v>35</v>
      </c>
      <c r="S108">
        <v>200</v>
      </c>
      <c r="T108">
        <v>303</v>
      </c>
      <c r="U108">
        <v>206</v>
      </c>
      <c r="V108">
        <v>190</v>
      </c>
      <c r="W108">
        <v>39</v>
      </c>
      <c r="X108">
        <v>138</v>
      </c>
      <c r="Y108">
        <v>117</v>
      </c>
      <c r="Z108" s="8">
        <v>2.21</v>
      </c>
      <c r="AA108" s="9">
        <v>0.35599999999999998</v>
      </c>
      <c r="AB108" s="9">
        <v>0.374</v>
      </c>
    </row>
    <row r="109" spans="1:28">
      <c r="A109" t="str">
        <f t="shared" si="1"/>
        <v>MRCharlie McJannett21</v>
      </c>
      <c r="B109">
        <v>2372</v>
      </c>
      <c r="C109">
        <v>245</v>
      </c>
      <c r="D109" t="s">
        <v>1756</v>
      </c>
      <c r="E109" t="s">
        <v>424</v>
      </c>
      <c r="F109">
        <v>0</v>
      </c>
      <c r="G109" s="10">
        <v>35472</v>
      </c>
      <c r="H109">
        <v>21</v>
      </c>
      <c r="I109" t="s">
        <v>1711</v>
      </c>
      <c r="J109" t="s">
        <v>2021</v>
      </c>
      <c r="K109">
        <v>8</v>
      </c>
      <c r="L109">
        <v>5</v>
      </c>
      <c r="M109">
        <v>19</v>
      </c>
      <c r="N109">
        <v>0</v>
      </c>
      <c r="O109">
        <v>0</v>
      </c>
      <c r="P109" s="8">
        <v>3.72</v>
      </c>
      <c r="Q109">
        <v>75</v>
      </c>
      <c r="R109">
        <v>7</v>
      </c>
      <c r="S109">
        <v>111.3</v>
      </c>
      <c r="T109">
        <v>114</v>
      </c>
      <c r="U109">
        <v>56</v>
      </c>
      <c r="V109">
        <v>46</v>
      </c>
      <c r="W109">
        <v>10</v>
      </c>
      <c r="X109">
        <v>74</v>
      </c>
      <c r="Y109">
        <v>116</v>
      </c>
      <c r="Z109" s="8">
        <v>1.69</v>
      </c>
      <c r="AA109" s="9">
        <v>0.26400000000000001</v>
      </c>
      <c r="AB109" s="9">
        <v>0.33600000000000002</v>
      </c>
    </row>
    <row r="110" spans="1:28">
      <c r="A110" t="str">
        <f t="shared" si="1"/>
        <v>MRDavid Eaton18</v>
      </c>
      <c r="B110">
        <v>1671</v>
      </c>
      <c r="C110">
        <v>249</v>
      </c>
      <c r="D110" t="s">
        <v>1908</v>
      </c>
      <c r="E110" t="s">
        <v>425</v>
      </c>
      <c r="F110">
        <v>0</v>
      </c>
      <c r="G110" s="10">
        <v>36662</v>
      </c>
      <c r="H110">
        <v>18</v>
      </c>
      <c r="I110" t="s">
        <v>1711</v>
      </c>
      <c r="J110" t="s">
        <v>2021</v>
      </c>
      <c r="K110">
        <v>14</v>
      </c>
      <c r="L110">
        <v>9</v>
      </c>
      <c r="M110">
        <v>2</v>
      </c>
      <c r="N110">
        <v>0</v>
      </c>
      <c r="O110">
        <v>0</v>
      </c>
      <c r="P110" s="8">
        <v>6.9</v>
      </c>
      <c r="Q110">
        <v>137</v>
      </c>
      <c r="R110">
        <v>0</v>
      </c>
      <c r="S110">
        <v>154</v>
      </c>
      <c r="T110">
        <v>215</v>
      </c>
      <c r="U110">
        <v>150</v>
      </c>
      <c r="V110">
        <v>118</v>
      </c>
      <c r="W110">
        <v>14</v>
      </c>
      <c r="X110">
        <v>108</v>
      </c>
      <c r="Y110">
        <v>115</v>
      </c>
      <c r="Z110" s="8">
        <v>2.1</v>
      </c>
      <c r="AA110" s="9">
        <v>0.32800000000000001</v>
      </c>
      <c r="AB110" s="9">
        <v>0.374</v>
      </c>
    </row>
    <row r="111" spans="1:28">
      <c r="A111" t="str">
        <f t="shared" si="1"/>
        <v>SPBrent Jones21</v>
      </c>
      <c r="B111">
        <v>4137</v>
      </c>
      <c r="C111">
        <v>117</v>
      </c>
      <c r="D111" t="s">
        <v>1889</v>
      </c>
      <c r="E111" t="s">
        <v>1680</v>
      </c>
      <c r="F111">
        <v>0</v>
      </c>
      <c r="G111" s="10">
        <v>35349</v>
      </c>
      <c r="H111">
        <v>21</v>
      </c>
      <c r="I111" t="s">
        <v>1711</v>
      </c>
      <c r="J111" t="s">
        <v>2003</v>
      </c>
      <c r="K111">
        <v>8</v>
      </c>
      <c r="L111">
        <v>16</v>
      </c>
      <c r="M111">
        <v>0</v>
      </c>
      <c r="N111">
        <v>0</v>
      </c>
      <c r="O111">
        <v>0</v>
      </c>
      <c r="P111" s="8">
        <v>8.16</v>
      </c>
      <c r="Q111">
        <v>54</v>
      </c>
      <c r="R111">
        <v>36</v>
      </c>
      <c r="S111">
        <v>192</v>
      </c>
      <c r="T111">
        <v>310</v>
      </c>
      <c r="U111">
        <v>188</v>
      </c>
      <c r="V111">
        <v>174</v>
      </c>
      <c r="W111">
        <v>35</v>
      </c>
      <c r="X111">
        <v>87</v>
      </c>
      <c r="Y111">
        <v>114</v>
      </c>
      <c r="Z111" s="8">
        <v>2.0699999999999998</v>
      </c>
      <c r="AA111" s="9">
        <v>0.36299999999999999</v>
      </c>
      <c r="AB111" s="9">
        <v>0.38400000000000001</v>
      </c>
    </row>
    <row r="112" spans="1:28">
      <c r="A112" t="str">
        <f t="shared" si="1"/>
        <v>SPRalph Edwards18</v>
      </c>
      <c r="B112">
        <v>13746</v>
      </c>
      <c r="C112">
        <v>243</v>
      </c>
      <c r="D112" t="s">
        <v>1846</v>
      </c>
      <c r="E112" t="s">
        <v>1761</v>
      </c>
      <c r="F112">
        <v>0</v>
      </c>
      <c r="G112" s="10">
        <v>36424</v>
      </c>
      <c r="H112">
        <v>18</v>
      </c>
      <c r="I112" t="s">
        <v>1711</v>
      </c>
      <c r="J112" t="s">
        <v>2003</v>
      </c>
      <c r="K112">
        <v>6</v>
      </c>
      <c r="L112">
        <v>14</v>
      </c>
      <c r="M112">
        <v>1</v>
      </c>
      <c r="N112">
        <v>0</v>
      </c>
      <c r="O112">
        <v>0</v>
      </c>
      <c r="P112" s="8">
        <v>9.68</v>
      </c>
      <c r="Q112">
        <v>61</v>
      </c>
      <c r="R112">
        <v>23</v>
      </c>
      <c r="S112">
        <v>140.30000000000001</v>
      </c>
      <c r="T112">
        <v>230</v>
      </c>
      <c r="U112">
        <v>174</v>
      </c>
      <c r="V112">
        <v>151</v>
      </c>
      <c r="W112">
        <v>30</v>
      </c>
      <c r="X112">
        <v>102</v>
      </c>
      <c r="Y112">
        <v>114</v>
      </c>
      <c r="Z112" s="8">
        <v>2.37</v>
      </c>
      <c r="AA112" s="9">
        <v>0.36399999999999999</v>
      </c>
      <c r="AB112" s="9">
        <v>0.40400000000000003</v>
      </c>
    </row>
    <row r="113" spans="1:28">
      <c r="A113" t="str">
        <f t="shared" si="1"/>
        <v>CLEddie Deringer18</v>
      </c>
      <c r="B113">
        <v>1807</v>
      </c>
      <c r="C113">
        <v>101</v>
      </c>
      <c r="D113" t="s">
        <v>426</v>
      </c>
      <c r="E113" t="s">
        <v>427</v>
      </c>
      <c r="F113">
        <v>0</v>
      </c>
      <c r="G113" s="10">
        <v>36606</v>
      </c>
      <c r="H113">
        <v>18</v>
      </c>
      <c r="I113" t="s">
        <v>1711</v>
      </c>
      <c r="J113" t="s">
        <v>2032</v>
      </c>
      <c r="K113">
        <v>7</v>
      </c>
      <c r="L113">
        <v>4</v>
      </c>
      <c r="M113">
        <v>32</v>
      </c>
      <c r="N113">
        <v>0</v>
      </c>
      <c r="O113">
        <v>0</v>
      </c>
      <c r="P113" s="8">
        <v>3.79</v>
      </c>
      <c r="Q113">
        <v>93</v>
      </c>
      <c r="R113">
        <v>0</v>
      </c>
      <c r="S113">
        <v>107</v>
      </c>
      <c r="T113">
        <v>105</v>
      </c>
      <c r="U113">
        <v>50</v>
      </c>
      <c r="V113">
        <v>45</v>
      </c>
      <c r="W113">
        <v>8</v>
      </c>
      <c r="X113">
        <v>51</v>
      </c>
      <c r="Y113">
        <v>113</v>
      </c>
      <c r="Z113" s="8">
        <v>1.46</v>
      </c>
      <c r="AA113" s="9">
        <v>0.251</v>
      </c>
      <c r="AB113" s="9">
        <v>0.32300000000000001</v>
      </c>
    </row>
    <row r="114" spans="1:28">
      <c r="A114" t="str">
        <f t="shared" si="1"/>
        <v>SPMarkus Cameron18</v>
      </c>
      <c r="B114">
        <v>13828</v>
      </c>
      <c r="C114">
        <v>105</v>
      </c>
      <c r="D114" t="s">
        <v>163</v>
      </c>
      <c r="E114" t="s">
        <v>1762</v>
      </c>
      <c r="F114">
        <v>0</v>
      </c>
      <c r="G114" s="10">
        <v>36489</v>
      </c>
      <c r="H114">
        <v>18</v>
      </c>
      <c r="I114" t="s">
        <v>1711</v>
      </c>
      <c r="J114" t="s">
        <v>2003</v>
      </c>
      <c r="K114">
        <v>20</v>
      </c>
      <c r="L114">
        <v>8</v>
      </c>
      <c r="M114">
        <v>0</v>
      </c>
      <c r="N114">
        <v>3</v>
      </c>
      <c r="O114">
        <v>0</v>
      </c>
      <c r="P114" s="8">
        <v>5.16</v>
      </c>
      <c r="Q114">
        <v>43</v>
      </c>
      <c r="R114">
        <v>43</v>
      </c>
      <c r="S114">
        <v>265.3</v>
      </c>
      <c r="T114">
        <v>376</v>
      </c>
      <c r="U114">
        <v>196</v>
      </c>
      <c r="V114">
        <v>152</v>
      </c>
      <c r="W114">
        <v>23</v>
      </c>
      <c r="X114">
        <v>48</v>
      </c>
      <c r="Y114">
        <v>113</v>
      </c>
      <c r="Z114" s="8">
        <v>1.6</v>
      </c>
      <c r="AA114" s="9">
        <v>0.32400000000000001</v>
      </c>
      <c r="AB114" s="9">
        <v>0.34</v>
      </c>
    </row>
    <row r="115" spans="1:28">
      <c r="A115" t="str">
        <f t="shared" si="1"/>
        <v>SPPedro Croduitán18</v>
      </c>
      <c r="B115">
        <v>13765</v>
      </c>
      <c r="C115">
        <v>152</v>
      </c>
      <c r="D115" t="s">
        <v>1932</v>
      </c>
      <c r="E115" t="s">
        <v>166</v>
      </c>
      <c r="F115">
        <v>0</v>
      </c>
      <c r="G115" s="10">
        <v>36500</v>
      </c>
      <c r="H115">
        <v>18</v>
      </c>
      <c r="I115" t="s">
        <v>1711</v>
      </c>
      <c r="J115" t="s">
        <v>2003</v>
      </c>
      <c r="K115">
        <v>3</v>
      </c>
      <c r="L115">
        <v>13</v>
      </c>
      <c r="M115">
        <v>3</v>
      </c>
      <c r="N115">
        <v>0</v>
      </c>
      <c r="O115">
        <v>0</v>
      </c>
      <c r="P115" s="8">
        <v>8.3000000000000007</v>
      </c>
      <c r="Q115">
        <v>84</v>
      </c>
      <c r="R115">
        <v>20</v>
      </c>
      <c r="S115">
        <v>146.30000000000001</v>
      </c>
      <c r="T115">
        <v>218</v>
      </c>
      <c r="U115">
        <v>153</v>
      </c>
      <c r="V115">
        <v>135</v>
      </c>
      <c r="W115">
        <v>16</v>
      </c>
      <c r="X115">
        <v>102</v>
      </c>
      <c r="Y115">
        <v>112</v>
      </c>
      <c r="Z115" s="8">
        <v>2.19</v>
      </c>
      <c r="AA115" s="9">
        <v>0.33600000000000002</v>
      </c>
      <c r="AB115" s="9">
        <v>0.38</v>
      </c>
    </row>
    <row r="116" spans="1:28">
      <c r="A116" t="str">
        <f t="shared" si="1"/>
        <v>MRDamon Walker18</v>
      </c>
      <c r="B116">
        <v>13739</v>
      </c>
      <c r="C116">
        <v>138</v>
      </c>
      <c r="D116" t="s">
        <v>428</v>
      </c>
      <c r="E116" t="s">
        <v>1952</v>
      </c>
      <c r="F116">
        <v>0</v>
      </c>
      <c r="G116" s="10">
        <v>36422</v>
      </c>
      <c r="H116">
        <v>18</v>
      </c>
      <c r="I116" t="s">
        <v>1711</v>
      </c>
      <c r="J116" t="s">
        <v>2021</v>
      </c>
      <c r="K116">
        <v>6</v>
      </c>
      <c r="L116">
        <v>11</v>
      </c>
      <c r="M116">
        <v>3</v>
      </c>
      <c r="N116">
        <v>0</v>
      </c>
      <c r="O116">
        <v>0</v>
      </c>
      <c r="P116" s="8">
        <v>9.86</v>
      </c>
      <c r="Q116">
        <v>79</v>
      </c>
      <c r="R116">
        <v>20</v>
      </c>
      <c r="S116">
        <v>147</v>
      </c>
      <c r="T116">
        <v>249</v>
      </c>
      <c r="U116">
        <v>178</v>
      </c>
      <c r="V116">
        <v>161</v>
      </c>
      <c r="W116">
        <v>18</v>
      </c>
      <c r="X116">
        <v>108</v>
      </c>
      <c r="Y116">
        <v>111</v>
      </c>
      <c r="Z116" s="8">
        <v>2.4300000000000002</v>
      </c>
      <c r="AA116" s="9">
        <v>0.377</v>
      </c>
      <c r="AB116" s="9">
        <v>0.42899999999999999</v>
      </c>
    </row>
    <row r="117" spans="1:28">
      <c r="A117" t="str">
        <f t="shared" si="1"/>
        <v>MRJuan Campos21</v>
      </c>
      <c r="B117">
        <v>8641</v>
      </c>
      <c r="C117">
        <v>301</v>
      </c>
      <c r="D117" t="s">
        <v>1835</v>
      </c>
      <c r="E117" t="s">
        <v>429</v>
      </c>
      <c r="F117">
        <v>0</v>
      </c>
      <c r="G117" s="10">
        <v>35455</v>
      </c>
      <c r="H117">
        <v>21</v>
      </c>
      <c r="I117" t="s">
        <v>1711</v>
      </c>
      <c r="J117" t="s">
        <v>2021</v>
      </c>
      <c r="K117">
        <v>5</v>
      </c>
      <c r="L117">
        <v>5</v>
      </c>
      <c r="M117">
        <v>0</v>
      </c>
      <c r="N117">
        <v>0</v>
      </c>
      <c r="O117">
        <v>0</v>
      </c>
      <c r="P117" s="8">
        <v>5.83</v>
      </c>
      <c r="Q117">
        <v>109</v>
      </c>
      <c r="R117">
        <v>0</v>
      </c>
      <c r="S117">
        <v>126.7</v>
      </c>
      <c r="T117">
        <v>127</v>
      </c>
      <c r="U117">
        <v>88</v>
      </c>
      <c r="V117">
        <v>82</v>
      </c>
      <c r="W117">
        <v>14</v>
      </c>
      <c r="X117">
        <v>118</v>
      </c>
      <c r="Y117">
        <v>110</v>
      </c>
      <c r="Z117" s="8">
        <v>1.93</v>
      </c>
      <c r="AA117" s="9">
        <v>0.26700000000000002</v>
      </c>
      <c r="AB117" s="9">
        <v>0.316</v>
      </c>
    </row>
    <row r="118" spans="1:28">
      <c r="A118" t="str">
        <f t="shared" si="1"/>
        <v>SPRamón Deleón18</v>
      </c>
      <c r="B118">
        <v>13781</v>
      </c>
      <c r="C118">
        <v>34</v>
      </c>
      <c r="D118" t="s">
        <v>1757</v>
      </c>
      <c r="E118" t="s">
        <v>169</v>
      </c>
      <c r="F118">
        <v>0</v>
      </c>
      <c r="G118" s="10">
        <v>36390</v>
      </c>
      <c r="H118">
        <v>18</v>
      </c>
      <c r="I118" t="s">
        <v>1711</v>
      </c>
      <c r="J118" t="s">
        <v>2003</v>
      </c>
      <c r="K118">
        <v>12</v>
      </c>
      <c r="L118">
        <v>10</v>
      </c>
      <c r="M118">
        <v>0</v>
      </c>
      <c r="N118">
        <v>0</v>
      </c>
      <c r="O118">
        <v>0</v>
      </c>
      <c r="P118" s="8">
        <v>7.7</v>
      </c>
      <c r="Q118">
        <v>41</v>
      </c>
      <c r="R118">
        <v>41</v>
      </c>
      <c r="S118">
        <v>198.7</v>
      </c>
      <c r="T118">
        <v>304</v>
      </c>
      <c r="U118">
        <v>209</v>
      </c>
      <c r="V118">
        <v>170</v>
      </c>
      <c r="W118">
        <v>22</v>
      </c>
      <c r="X118">
        <v>124</v>
      </c>
      <c r="Y118">
        <v>110</v>
      </c>
      <c r="Z118" s="8">
        <v>2.15</v>
      </c>
      <c r="AA118" s="9">
        <v>0.35099999999999998</v>
      </c>
      <c r="AB118" s="9">
        <v>0.378</v>
      </c>
    </row>
    <row r="119" spans="1:28">
      <c r="A119" t="str">
        <f t="shared" si="1"/>
        <v>MRPat Dostie18</v>
      </c>
      <c r="B119">
        <v>13854</v>
      </c>
      <c r="C119">
        <v>156</v>
      </c>
      <c r="D119" t="s">
        <v>1921</v>
      </c>
      <c r="E119" t="s">
        <v>164</v>
      </c>
      <c r="F119">
        <v>0</v>
      </c>
      <c r="G119" s="10">
        <v>36319</v>
      </c>
      <c r="H119">
        <v>18</v>
      </c>
      <c r="I119" t="s">
        <v>1711</v>
      </c>
      <c r="J119" t="s">
        <v>2021</v>
      </c>
      <c r="K119">
        <v>10</v>
      </c>
      <c r="L119">
        <v>9</v>
      </c>
      <c r="M119">
        <v>1</v>
      </c>
      <c r="N119">
        <v>0</v>
      </c>
      <c r="O119">
        <v>0</v>
      </c>
      <c r="P119" s="8">
        <v>6.23</v>
      </c>
      <c r="Q119">
        <v>112</v>
      </c>
      <c r="R119">
        <v>12</v>
      </c>
      <c r="S119">
        <v>167.7</v>
      </c>
      <c r="T119">
        <v>231</v>
      </c>
      <c r="U119">
        <v>139</v>
      </c>
      <c r="V119">
        <v>116</v>
      </c>
      <c r="W119">
        <v>19</v>
      </c>
      <c r="X119">
        <v>101</v>
      </c>
      <c r="Y119">
        <v>109</v>
      </c>
      <c r="Z119" s="8">
        <v>1.98</v>
      </c>
      <c r="AA119" s="9">
        <v>0.32400000000000001</v>
      </c>
      <c r="AB119" s="9">
        <v>0.35899999999999999</v>
      </c>
    </row>
    <row r="120" spans="1:28">
      <c r="A120" t="str">
        <f t="shared" si="1"/>
        <v>MRJúlio Zamora21</v>
      </c>
      <c r="B120">
        <v>7140</v>
      </c>
      <c r="C120">
        <v>299</v>
      </c>
      <c r="D120" t="s">
        <v>1724</v>
      </c>
      <c r="E120" t="s">
        <v>165</v>
      </c>
      <c r="F120">
        <v>0</v>
      </c>
      <c r="G120" s="10">
        <v>35410</v>
      </c>
      <c r="H120">
        <v>21</v>
      </c>
      <c r="I120" t="s">
        <v>1711</v>
      </c>
      <c r="J120" t="s">
        <v>2021</v>
      </c>
      <c r="K120">
        <v>7</v>
      </c>
      <c r="L120">
        <v>13</v>
      </c>
      <c r="M120">
        <v>3</v>
      </c>
      <c r="N120">
        <v>1</v>
      </c>
      <c r="O120">
        <v>0</v>
      </c>
      <c r="P120" s="8">
        <v>7.63</v>
      </c>
      <c r="Q120">
        <v>62</v>
      </c>
      <c r="R120">
        <v>19</v>
      </c>
      <c r="S120">
        <v>155.69999999999999</v>
      </c>
      <c r="T120">
        <v>205</v>
      </c>
      <c r="U120">
        <v>146</v>
      </c>
      <c r="V120">
        <v>132</v>
      </c>
      <c r="W120">
        <v>29</v>
      </c>
      <c r="X120">
        <v>95</v>
      </c>
      <c r="Y120">
        <v>109</v>
      </c>
      <c r="Z120" s="8">
        <v>1.93</v>
      </c>
      <c r="AA120" s="9">
        <v>0.318</v>
      </c>
      <c r="AB120" s="9">
        <v>0.34</v>
      </c>
    </row>
    <row r="121" spans="1:28">
      <c r="A121" t="str">
        <f t="shared" si="1"/>
        <v>SPJim Cox18</v>
      </c>
      <c r="B121">
        <v>13918</v>
      </c>
      <c r="C121">
        <v>163</v>
      </c>
      <c r="D121" t="s">
        <v>1777</v>
      </c>
      <c r="E121" t="s">
        <v>1781</v>
      </c>
      <c r="F121">
        <v>0</v>
      </c>
      <c r="G121" s="10">
        <v>36408</v>
      </c>
      <c r="H121">
        <v>18</v>
      </c>
      <c r="I121" t="s">
        <v>1711</v>
      </c>
      <c r="J121" t="s">
        <v>2003</v>
      </c>
      <c r="K121">
        <v>3</v>
      </c>
      <c r="L121">
        <v>11</v>
      </c>
      <c r="M121">
        <v>0</v>
      </c>
      <c r="N121">
        <v>0</v>
      </c>
      <c r="O121">
        <v>0</v>
      </c>
      <c r="P121" s="8">
        <v>9.27</v>
      </c>
      <c r="Q121">
        <v>27</v>
      </c>
      <c r="R121">
        <v>27</v>
      </c>
      <c r="S121">
        <v>120.3</v>
      </c>
      <c r="T121">
        <v>159</v>
      </c>
      <c r="U121">
        <v>139</v>
      </c>
      <c r="V121">
        <v>124</v>
      </c>
      <c r="W121">
        <v>24</v>
      </c>
      <c r="X121">
        <v>92</v>
      </c>
      <c r="Y121">
        <v>109</v>
      </c>
      <c r="Z121" s="8">
        <v>2.09</v>
      </c>
      <c r="AA121" s="9">
        <v>0.317</v>
      </c>
      <c r="AB121" s="9">
        <v>0.35799999999999998</v>
      </c>
    </row>
    <row r="122" spans="1:28">
      <c r="A122" t="str">
        <f t="shared" si="1"/>
        <v>SPVincente Murillo21</v>
      </c>
      <c r="B122">
        <v>2169</v>
      </c>
      <c r="C122">
        <v>341</v>
      </c>
      <c r="D122" t="s">
        <v>328</v>
      </c>
      <c r="E122" t="s">
        <v>458</v>
      </c>
      <c r="F122">
        <v>0</v>
      </c>
      <c r="G122" s="10">
        <v>35418</v>
      </c>
      <c r="H122">
        <v>21</v>
      </c>
      <c r="I122" t="s">
        <v>1711</v>
      </c>
      <c r="J122" t="s">
        <v>2003</v>
      </c>
      <c r="K122">
        <v>9</v>
      </c>
      <c r="L122">
        <v>13</v>
      </c>
      <c r="M122">
        <v>1</v>
      </c>
      <c r="N122">
        <v>1</v>
      </c>
      <c r="O122">
        <v>0</v>
      </c>
      <c r="P122" s="8">
        <v>6.03</v>
      </c>
      <c r="Q122">
        <v>39</v>
      </c>
      <c r="R122">
        <v>32</v>
      </c>
      <c r="S122">
        <v>182</v>
      </c>
      <c r="T122">
        <v>209</v>
      </c>
      <c r="U122">
        <v>138</v>
      </c>
      <c r="V122">
        <v>122</v>
      </c>
      <c r="W122">
        <v>19</v>
      </c>
      <c r="X122">
        <v>96</v>
      </c>
      <c r="Y122">
        <v>108</v>
      </c>
      <c r="Z122" s="8">
        <v>1.68</v>
      </c>
      <c r="AA122" s="9">
        <v>0.28699999999999998</v>
      </c>
      <c r="AB122" s="9">
        <v>0.312</v>
      </c>
    </row>
    <row r="123" spans="1:28">
      <c r="A123" t="str">
        <f t="shared" si="1"/>
        <v>MRKokaji Muriithi18</v>
      </c>
      <c r="B123">
        <v>1493</v>
      </c>
      <c r="C123">
        <v>426</v>
      </c>
      <c r="D123" t="s">
        <v>170</v>
      </c>
      <c r="E123" t="s">
        <v>171</v>
      </c>
      <c r="F123">
        <v>0</v>
      </c>
      <c r="G123" s="10">
        <v>36478</v>
      </c>
      <c r="H123">
        <v>18</v>
      </c>
      <c r="I123" t="s">
        <v>1711</v>
      </c>
      <c r="J123" t="s">
        <v>2021</v>
      </c>
      <c r="K123">
        <v>6</v>
      </c>
      <c r="L123">
        <v>13</v>
      </c>
      <c r="M123">
        <v>18</v>
      </c>
      <c r="N123">
        <v>0</v>
      </c>
      <c r="O123">
        <v>0</v>
      </c>
      <c r="P123" s="8">
        <v>8.06</v>
      </c>
      <c r="Q123">
        <v>114</v>
      </c>
      <c r="R123">
        <v>0</v>
      </c>
      <c r="S123">
        <v>120.7</v>
      </c>
      <c r="T123">
        <v>169</v>
      </c>
      <c r="U123">
        <v>119</v>
      </c>
      <c r="V123">
        <v>108</v>
      </c>
      <c r="W123">
        <v>18</v>
      </c>
      <c r="X123">
        <v>92</v>
      </c>
      <c r="Y123">
        <v>108</v>
      </c>
      <c r="Z123" s="8">
        <v>2.16</v>
      </c>
      <c r="AA123" s="9">
        <v>0.33900000000000002</v>
      </c>
      <c r="AB123" s="9">
        <v>0.39800000000000002</v>
      </c>
    </row>
    <row r="124" spans="1:28">
      <c r="A124" t="str">
        <f t="shared" si="1"/>
        <v>MRDavid García18</v>
      </c>
      <c r="B124">
        <v>13915</v>
      </c>
      <c r="C124">
        <v>115</v>
      </c>
      <c r="D124" t="s">
        <v>1908</v>
      </c>
      <c r="E124" t="s">
        <v>1831</v>
      </c>
      <c r="F124">
        <v>0</v>
      </c>
      <c r="G124" s="10">
        <v>36652</v>
      </c>
      <c r="H124">
        <v>18</v>
      </c>
      <c r="I124" t="s">
        <v>1711</v>
      </c>
      <c r="J124" t="s">
        <v>2021</v>
      </c>
      <c r="K124">
        <v>5</v>
      </c>
      <c r="L124">
        <v>13</v>
      </c>
      <c r="M124">
        <v>2</v>
      </c>
      <c r="N124">
        <v>0</v>
      </c>
      <c r="O124">
        <v>0</v>
      </c>
      <c r="P124" s="8">
        <v>10.38</v>
      </c>
      <c r="Q124">
        <v>71</v>
      </c>
      <c r="R124">
        <v>27</v>
      </c>
      <c r="S124">
        <v>161.30000000000001</v>
      </c>
      <c r="T124">
        <v>300</v>
      </c>
      <c r="U124">
        <v>220</v>
      </c>
      <c r="V124">
        <v>186</v>
      </c>
      <c r="W124">
        <v>28</v>
      </c>
      <c r="X124">
        <v>97</v>
      </c>
      <c r="Y124">
        <v>108</v>
      </c>
      <c r="Z124" s="8">
        <v>2.46</v>
      </c>
      <c r="AA124" s="9">
        <v>0.39800000000000002</v>
      </c>
      <c r="AB124" s="9">
        <v>0.43</v>
      </c>
    </row>
    <row r="125" spans="1:28">
      <c r="A125" t="str">
        <f t="shared" si="1"/>
        <v>SPFelipe Soriano18</v>
      </c>
      <c r="B125">
        <v>13841</v>
      </c>
      <c r="C125">
        <v>142</v>
      </c>
      <c r="D125" t="s">
        <v>1934</v>
      </c>
      <c r="E125" t="s">
        <v>175</v>
      </c>
      <c r="F125">
        <v>0</v>
      </c>
      <c r="G125" s="10">
        <v>36661</v>
      </c>
      <c r="H125">
        <v>18</v>
      </c>
      <c r="I125" t="s">
        <v>1711</v>
      </c>
      <c r="J125" t="s">
        <v>2003</v>
      </c>
      <c r="K125">
        <v>8</v>
      </c>
      <c r="L125">
        <v>16</v>
      </c>
      <c r="M125">
        <v>0</v>
      </c>
      <c r="N125">
        <v>0</v>
      </c>
      <c r="O125">
        <v>0</v>
      </c>
      <c r="P125" s="8">
        <v>7.35</v>
      </c>
      <c r="Q125">
        <v>33</v>
      </c>
      <c r="R125">
        <v>33</v>
      </c>
      <c r="S125">
        <v>147</v>
      </c>
      <c r="T125">
        <v>224</v>
      </c>
      <c r="U125">
        <v>158</v>
      </c>
      <c r="V125">
        <v>120</v>
      </c>
      <c r="W125">
        <v>32</v>
      </c>
      <c r="X125">
        <v>48</v>
      </c>
      <c r="Y125">
        <v>107</v>
      </c>
      <c r="Z125" s="8">
        <v>1.85</v>
      </c>
      <c r="AA125" s="9">
        <v>0.34100000000000003</v>
      </c>
      <c r="AB125" s="9">
        <v>0.36699999999999999</v>
      </c>
    </row>
    <row r="126" spans="1:28">
      <c r="A126" t="str">
        <f t="shared" si="1"/>
        <v>MRBrennan Woodward21</v>
      </c>
      <c r="B126">
        <v>4089</v>
      </c>
      <c r="C126">
        <v>83</v>
      </c>
      <c r="D126" t="s">
        <v>167</v>
      </c>
      <c r="E126" t="s">
        <v>168</v>
      </c>
      <c r="F126">
        <v>0</v>
      </c>
      <c r="G126" s="10">
        <v>35368</v>
      </c>
      <c r="H126">
        <v>21</v>
      </c>
      <c r="I126" t="s">
        <v>1711</v>
      </c>
      <c r="J126" t="s">
        <v>2021</v>
      </c>
      <c r="K126">
        <v>8</v>
      </c>
      <c r="L126">
        <v>6</v>
      </c>
      <c r="M126">
        <v>4</v>
      </c>
      <c r="N126">
        <v>0</v>
      </c>
      <c r="O126">
        <v>0</v>
      </c>
      <c r="P126" s="8">
        <v>8.2899999999999991</v>
      </c>
      <c r="Q126">
        <v>113</v>
      </c>
      <c r="R126">
        <v>1</v>
      </c>
      <c r="S126">
        <v>127</v>
      </c>
      <c r="T126">
        <v>191</v>
      </c>
      <c r="U126">
        <v>137</v>
      </c>
      <c r="V126">
        <v>117</v>
      </c>
      <c r="W126">
        <v>24</v>
      </c>
      <c r="X126">
        <v>100</v>
      </c>
      <c r="Y126">
        <v>107</v>
      </c>
      <c r="Z126" s="8">
        <v>2.29</v>
      </c>
      <c r="AA126" s="9">
        <v>0.34499999999999997</v>
      </c>
      <c r="AB126" s="9">
        <v>0.39200000000000002</v>
      </c>
    </row>
    <row r="127" spans="1:28">
      <c r="A127" t="str">
        <f t="shared" si="1"/>
        <v>SPGeorge Wolfe21</v>
      </c>
      <c r="B127">
        <v>13910</v>
      </c>
      <c r="C127">
        <v>244</v>
      </c>
      <c r="D127" t="s">
        <v>1772</v>
      </c>
      <c r="E127" t="s">
        <v>1910</v>
      </c>
      <c r="F127">
        <v>0</v>
      </c>
      <c r="G127" s="10">
        <v>35472</v>
      </c>
      <c r="H127">
        <v>21</v>
      </c>
      <c r="I127" t="s">
        <v>1711</v>
      </c>
      <c r="J127" t="s">
        <v>2003</v>
      </c>
      <c r="K127">
        <v>12</v>
      </c>
      <c r="L127">
        <v>16</v>
      </c>
      <c r="M127">
        <v>0</v>
      </c>
      <c r="N127">
        <v>0</v>
      </c>
      <c r="O127">
        <v>0</v>
      </c>
      <c r="P127" s="8">
        <v>4.75</v>
      </c>
      <c r="Q127">
        <v>49</v>
      </c>
      <c r="R127">
        <v>49</v>
      </c>
      <c r="S127">
        <v>278.7</v>
      </c>
      <c r="T127">
        <v>355</v>
      </c>
      <c r="U127">
        <v>186</v>
      </c>
      <c r="V127">
        <v>147</v>
      </c>
      <c r="W127">
        <v>39</v>
      </c>
      <c r="X127">
        <v>61</v>
      </c>
      <c r="Y127">
        <v>105</v>
      </c>
      <c r="Z127" s="8">
        <v>1.49</v>
      </c>
      <c r="AA127" s="9">
        <v>0.307</v>
      </c>
      <c r="AB127" s="9">
        <v>0.309</v>
      </c>
    </row>
    <row r="128" spans="1:28">
      <c r="A128" t="str">
        <f t="shared" si="1"/>
        <v>SPJon Burris18</v>
      </c>
      <c r="B128">
        <v>13757</v>
      </c>
      <c r="C128">
        <v>204</v>
      </c>
      <c r="D128" t="s">
        <v>1833</v>
      </c>
      <c r="E128" t="s">
        <v>172</v>
      </c>
      <c r="F128">
        <v>0</v>
      </c>
      <c r="G128" s="10">
        <v>36446</v>
      </c>
      <c r="H128">
        <v>18</v>
      </c>
      <c r="I128" t="s">
        <v>1711</v>
      </c>
      <c r="J128" t="s">
        <v>2003</v>
      </c>
      <c r="K128">
        <v>5</v>
      </c>
      <c r="L128">
        <v>13</v>
      </c>
      <c r="M128">
        <v>0</v>
      </c>
      <c r="N128">
        <v>0</v>
      </c>
      <c r="O128">
        <v>0</v>
      </c>
      <c r="P128" s="8">
        <v>6.68</v>
      </c>
      <c r="Q128">
        <v>36</v>
      </c>
      <c r="R128">
        <v>35</v>
      </c>
      <c r="S128">
        <v>172.3</v>
      </c>
      <c r="T128">
        <v>255</v>
      </c>
      <c r="U128">
        <v>153</v>
      </c>
      <c r="V128">
        <v>128</v>
      </c>
      <c r="W128">
        <v>10</v>
      </c>
      <c r="X128">
        <v>77</v>
      </c>
      <c r="Y128">
        <v>105</v>
      </c>
      <c r="Z128" s="8">
        <v>1.93</v>
      </c>
      <c r="AA128" s="9">
        <v>0.33700000000000002</v>
      </c>
      <c r="AB128" s="9">
        <v>0.38</v>
      </c>
    </row>
    <row r="129" spans="1:28">
      <c r="A129" t="str">
        <f t="shared" si="1"/>
        <v>SPTeh-huai Rao21</v>
      </c>
      <c r="B129">
        <v>2816</v>
      </c>
      <c r="C129">
        <v>212</v>
      </c>
      <c r="D129" t="s">
        <v>173</v>
      </c>
      <c r="E129" t="s">
        <v>174</v>
      </c>
      <c r="F129">
        <v>0</v>
      </c>
      <c r="G129" s="10">
        <v>35371</v>
      </c>
      <c r="H129">
        <v>21</v>
      </c>
      <c r="I129" t="s">
        <v>1711</v>
      </c>
      <c r="J129" t="s">
        <v>2003</v>
      </c>
      <c r="K129">
        <v>8</v>
      </c>
      <c r="L129">
        <v>15</v>
      </c>
      <c r="M129">
        <v>2</v>
      </c>
      <c r="N129">
        <v>0</v>
      </c>
      <c r="O129">
        <v>0</v>
      </c>
      <c r="P129" s="8">
        <v>6.94</v>
      </c>
      <c r="Q129">
        <v>49</v>
      </c>
      <c r="R129">
        <v>36</v>
      </c>
      <c r="S129">
        <v>177.7</v>
      </c>
      <c r="T129">
        <v>245</v>
      </c>
      <c r="U129">
        <v>149</v>
      </c>
      <c r="V129">
        <v>137</v>
      </c>
      <c r="W129">
        <v>23</v>
      </c>
      <c r="X129">
        <v>123</v>
      </c>
      <c r="Y129">
        <v>104</v>
      </c>
      <c r="Z129" s="8">
        <v>2.0699999999999998</v>
      </c>
      <c r="AA129" s="9">
        <v>0.33</v>
      </c>
      <c r="AB129" s="9">
        <v>0.35399999999999998</v>
      </c>
    </row>
    <row r="130" spans="1:28">
      <c r="A130" t="str">
        <f t="shared" si="1"/>
        <v>CLAnthony Greene21</v>
      </c>
      <c r="B130">
        <v>4133</v>
      </c>
      <c r="C130">
        <v>79</v>
      </c>
      <c r="D130" t="s">
        <v>1916</v>
      </c>
      <c r="E130" t="s">
        <v>343</v>
      </c>
      <c r="F130">
        <v>0</v>
      </c>
      <c r="G130" s="10">
        <v>35302</v>
      </c>
      <c r="H130">
        <v>21</v>
      </c>
      <c r="I130" t="s">
        <v>1711</v>
      </c>
      <c r="J130" t="s">
        <v>2032</v>
      </c>
      <c r="K130">
        <v>11</v>
      </c>
      <c r="L130">
        <v>12</v>
      </c>
      <c r="M130">
        <v>12</v>
      </c>
      <c r="N130">
        <v>0</v>
      </c>
      <c r="O130">
        <v>0</v>
      </c>
      <c r="P130" s="8">
        <v>5.84</v>
      </c>
      <c r="Q130">
        <v>95</v>
      </c>
      <c r="R130">
        <v>12</v>
      </c>
      <c r="S130">
        <v>166.3</v>
      </c>
      <c r="T130">
        <v>225</v>
      </c>
      <c r="U130">
        <v>120</v>
      </c>
      <c r="V130">
        <v>108</v>
      </c>
      <c r="W130">
        <v>29</v>
      </c>
      <c r="X130">
        <v>65</v>
      </c>
      <c r="Y130">
        <v>103</v>
      </c>
      <c r="Z130" s="8">
        <v>1.74</v>
      </c>
      <c r="AA130" s="9">
        <v>0.32600000000000001</v>
      </c>
      <c r="AB130" s="9">
        <v>0.34699999999999998</v>
      </c>
    </row>
    <row r="131" spans="1:28">
      <c r="A131" t="str">
        <f t="shared" ref="A131:A194" si="2">J131&amp;D131&amp;" "&amp;E131&amp;H131</f>
        <v>MRDennis Wright18</v>
      </c>
      <c r="B131">
        <v>13834</v>
      </c>
      <c r="C131">
        <v>298</v>
      </c>
      <c r="D131" t="s">
        <v>1930</v>
      </c>
      <c r="E131" t="s">
        <v>1780</v>
      </c>
      <c r="F131">
        <v>0</v>
      </c>
      <c r="G131" s="10">
        <v>36612</v>
      </c>
      <c r="H131">
        <v>18</v>
      </c>
      <c r="I131" t="s">
        <v>1711</v>
      </c>
      <c r="J131" t="s">
        <v>2021</v>
      </c>
      <c r="K131">
        <v>7</v>
      </c>
      <c r="L131">
        <v>7</v>
      </c>
      <c r="M131">
        <v>1</v>
      </c>
      <c r="N131">
        <v>0</v>
      </c>
      <c r="O131">
        <v>0</v>
      </c>
      <c r="P131" s="8">
        <v>6.9</v>
      </c>
      <c r="Q131">
        <v>111</v>
      </c>
      <c r="R131">
        <v>0</v>
      </c>
      <c r="S131">
        <v>135.69999999999999</v>
      </c>
      <c r="T131">
        <v>185</v>
      </c>
      <c r="U131">
        <v>121</v>
      </c>
      <c r="V131">
        <v>104</v>
      </c>
      <c r="W131">
        <v>13</v>
      </c>
      <c r="X131">
        <v>85</v>
      </c>
      <c r="Y131">
        <v>103</v>
      </c>
      <c r="Z131" s="8">
        <v>1.99</v>
      </c>
      <c r="AA131" s="9">
        <v>0.33300000000000002</v>
      </c>
      <c r="AB131" s="9">
        <v>0.38</v>
      </c>
    </row>
    <row r="132" spans="1:28">
      <c r="A132" t="str">
        <f t="shared" si="2"/>
        <v>MRRyan Brown18</v>
      </c>
      <c r="B132">
        <v>13776</v>
      </c>
      <c r="C132">
        <v>22</v>
      </c>
      <c r="D132" t="s">
        <v>1912</v>
      </c>
      <c r="E132" t="s">
        <v>1845</v>
      </c>
      <c r="F132">
        <v>0</v>
      </c>
      <c r="G132" s="10">
        <v>36448</v>
      </c>
      <c r="H132">
        <v>18</v>
      </c>
      <c r="I132" t="s">
        <v>1711</v>
      </c>
      <c r="J132" t="s">
        <v>2021</v>
      </c>
      <c r="K132">
        <v>11</v>
      </c>
      <c r="L132">
        <v>14</v>
      </c>
      <c r="M132">
        <v>1</v>
      </c>
      <c r="N132">
        <v>0</v>
      </c>
      <c r="O132">
        <v>0</v>
      </c>
      <c r="P132" s="8">
        <v>8.18</v>
      </c>
      <c r="Q132">
        <v>127</v>
      </c>
      <c r="R132">
        <v>1</v>
      </c>
      <c r="S132">
        <v>135.30000000000001</v>
      </c>
      <c r="T132">
        <v>211</v>
      </c>
      <c r="U132">
        <v>151</v>
      </c>
      <c r="V132">
        <v>123</v>
      </c>
      <c r="W132">
        <v>23</v>
      </c>
      <c r="X132">
        <v>107</v>
      </c>
      <c r="Y132">
        <v>103</v>
      </c>
      <c r="Z132" s="8">
        <v>2.35</v>
      </c>
      <c r="AA132" s="9">
        <v>0.35599999999999998</v>
      </c>
      <c r="AB132" s="9">
        <v>0.39800000000000002</v>
      </c>
    </row>
    <row r="133" spans="1:28">
      <c r="A133" t="str">
        <f t="shared" si="2"/>
        <v>SPMike Morgan21</v>
      </c>
      <c r="B133">
        <v>2467</v>
      </c>
      <c r="C133">
        <v>120</v>
      </c>
      <c r="D133" t="s">
        <v>1863</v>
      </c>
      <c r="E133" t="s">
        <v>336</v>
      </c>
      <c r="F133">
        <v>0</v>
      </c>
      <c r="G133" s="10">
        <v>35514</v>
      </c>
      <c r="H133">
        <v>21</v>
      </c>
      <c r="I133" t="s">
        <v>1711</v>
      </c>
      <c r="J133" t="s">
        <v>2003</v>
      </c>
      <c r="K133">
        <v>1</v>
      </c>
      <c r="L133">
        <v>6</v>
      </c>
      <c r="M133">
        <v>0</v>
      </c>
      <c r="N133">
        <v>0</v>
      </c>
      <c r="O133">
        <v>0</v>
      </c>
      <c r="P133" s="8">
        <v>7.25</v>
      </c>
      <c r="Q133">
        <v>80</v>
      </c>
      <c r="R133">
        <v>9</v>
      </c>
      <c r="S133">
        <v>125.3</v>
      </c>
      <c r="T133">
        <v>148</v>
      </c>
      <c r="U133">
        <v>109</v>
      </c>
      <c r="V133">
        <v>101</v>
      </c>
      <c r="W133">
        <v>14</v>
      </c>
      <c r="X133">
        <v>93</v>
      </c>
      <c r="Y133">
        <v>102</v>
      </c>
      <c r="Z133" s="8">
        <v>1.92</v>
      </c>
      <c r="AA133" s="9">
        <v>0.29699999999999999</v>
      </c>
      <c r="AB133" s="9">
        <v>0.34599999999999997</v>
      </c>
    </row>
    <row r="134" spans="1:28">
      <c r="A134" t="str">
        <f t="shared" si="2"/>
        <v>SPMike Moore21</v>
      </c>
      <c r="B134">
        <v>8194</v>
      </c>
      <c r="C134">
        <v>201</v>
      </c>
      <c r="D134" t="s">
        <v>1863</v>
      </c>
      <c r="E134" t="s">
        <v>1771</v>
      </c>
      <c r="F134">
        <v>0</v>
      </c>
      <c r="G134" s="10">
        <v>35444</v>
      </c>
      <c r="H134">
        <v>21</v>
      </c>
      <c r="I134" t="s">
        <v>1711</v>
      </c>
      <c r="J134" t="s">
        <v>2003</v>
      </c>
      <c r="K134">
        <v>4</v>
      </c>
      <c r="L134">
        <v>7</v>
      </c>
      <c r="M134">
        <v>3</v>
      </c>
      <c r="N134">
        <v>0</v>
      </c>
      <c r="O134">
        <v>0</v>
      </c>
      <c r="P134" s="8">
        <v>6.19</v>
      </c>
      <c r="Q134">
        <v>63</v>
      </c>
      <c r="R134">
        <v>12</v>
      </c>
      <c r="S134">
        <v>109</v>
      </c>
      <c r="T134">
        <v>119</v>
      </c>
      <c r="U134">
        <v>87</v>
      </c>
      <c r="V134">
        <v>75</v>
      </c>
      <c r="W134">
        <v>11</v>
      </c>
      <c r="X134">
        <v>79</v>
      </c>
      <c r="Y134">
        <v>100</v>
      </c>
      <c r="Z134" s="8">
        <v>1.82</v>
      </c>
      <c r="AA134" s="9">
        <v>0.28000000000000003</v>
      </c>
      <c r="AB134" s="9">
        <v>0.34100000000000003</v>
      </c>
    </row>
    <row r="135" spans="1:28">
      <c r="A135" t="str">
        <f t="shared" si="2"/>
        <v>MRKenneth Colón21</v>
      </c>
      <c r="B135">
        <v>7170</v>
      </c>
      <c r="C135">
        <v>333</v>
      </c>
      <c r="D135" t="s">
        <v>176</v>
      </c>
      <c r="E135" t="s">
        <v>1719</v>
      </c>
      <c r="F135">
        <v>0</v>
      </c>
      <c r="G135" s="10">
        <v>35329</v>
      </c>
      <c r="H135">
        <v>21</v>
      </c>
      <c r="I135" t="s">
        <v>1711</v>
      </c>
      <c r="J135" t="s">
        <v>2021</v>
      </c>
      <c r="K135">
        <v>11</v>
      </c>
      <c r="L135">
        <v>3</v>
      </c>
      <c r="M135">
        <v>1</v>
      </c>
      <c r="N135">
        <v>0</v>
      </c>
      <c r="O135">
        <v>0</v>
      </c>
      <c r="P135" s="8">
        <v>7.38</v>
      </c>
      <c r="Q135">
        <v>128</v>
      </c>
      <c r="R135">
        <v>0</v>
      </c>
      <c r="S135">
        <v>136.69999999999999</v>
      </c>
      <c r="T135">
        <v>168</v>
      </c>
      <c r="U135">
        <v>127</v>
      </c>
      <c r="V135">
        <v>112</v>
      </c>
      <c r="W135">
        <v>21</v>
      </c>
      <c r="X135">
        <v>119</v>
      </c>
      <c r="Y135">
        <v>99</v>
      </c>
      <c r="Z135" s="8">
        <v>2.1</v>
      </c>
      <c r="AA135" s="9">
        <v>0.309</v>
      </c>
      <c r="AB135" s="9">
        <v>0.34</v>
      </c>
    </row>
    <row r="136" spans="1:28">
      <c r="A136" t="str">
        <f t="shared" si="2"/>
        <v>SPWill Montero21</v>
      </c>
      <c r="B136">
        <v>9315</v>
      </c>
      <c r="C136">
        <v>294</v>
      </c>
      <c r="D136" t="s">
        <v>544</v>
      </c>
      <c r="E136" t="s">
        <v>177</v>
      </c>
      <c r="F136">
        <v>0</v>
      </c>
      <c r="G136" s="10">
        <v>35435</v>
      </c>
      <c r="H136">
        <v>21</v>
      </c>
      <c r="I136" t="s">
        <v>1711</v>
      </c>
      <c r="J136" t="s">
        <v>2003</v>
      </c>
      <c r="K136">
        <v>10</v>
      </c>
      <c r="L136">
        <v>7</v>
      </c>
      <c r="M136">
        <v>17</v>
      </c>
      <c r="N136">
        <v>0</v>
      </c>
      <c r="O136">
        <v>0</v>
      </c>
      <c r="P136" s="8">
        <v>4.42</v>
      </c>
      <c r="Q136">
        <v>105</v>
      </c>
      <c r="R136">
        <v>6</v>
      </c>
      <c r="S136">
        <v>146.69999999999999</v>
      </c>
      <c r="T136">
        <v>141</v>
      </c>
      <c r="U136">
        <v>76</v>
      </c>
      <c r="V136">
        <v>72</v>
      </c>
      <c r="W136">
        <v>26</v>
      </c>
      <c r="X136">
        <v>28</v>
      </c>
      <c r="Y136">
        <v>98</v>
      </c>
      <c r="Z136" s="8">
        <v>1.1499999999999999</v>
      </c>
      <c r="AA136" s="9">
        <v>0.248</v>
      </c>
      <c r="AB136" s="9">
        <v>0.25900000000000001</v>
      </c>
    </row>
    <row r="137" spans="1:28">
      <c r="A137" t="str">
        <f t="shared" si="2"/>
        <v>MRCris Hernández18</v>
      </c>
      <c r="B137">
        <v>13788</v>
      </c>
      <c r="C137">
        <v>361</v>
      </c>
      <c r="D137" t="s">
        <v>1954</v>
      </c>
      <c r="E137" t="s">
        <v>1885</v>
      </c>
      <c r="F137">
        <v>0</v>
      </c>
      <c r="G137" s="10">
        <v>36370</v>
      </c>
      <c r="H137">
        <v>18</v>
      </c>
      <c r="I137" t="s">
        <v>1711</v>
      </c>
      <c r="J137" t="s">
        <v>2021</v>
      </c>
      <c r="K137">
        <v>3</v>
      </c>
      <c r="L137">
        <v>13</v>
      </c>
      <c r="M137">
        <v>10</v>
      </c>
      <c r="N137">
        <v>0</v>
      </c>
      <c r="O137">
        <v>0</v>
      </c>
      <c r="P137" s="8">
        <v>8.06</v>
      </c>
      <c r="Q137">
        <v>101</v>
      </c>
      <c r="R137">
        <v>11</v>
      </c>
      <c r="S137">
        <v>118.3</v>
      </c>
      <c r="T137">
        <v>165</v>
      </c>
      <c r="U137">
        <v>125</v>
      </c>
      <c r="V137">
        <v>106</v>
      </c>
      <c r="W137">
        <v>17</v>
      </c>
      <c r="X137">
        <v>104</v>
      </c>
      <c r="Y137">
        <v>98</v>
      </c>
      <c r="Z137" s="8">
        <v>2.27</v>
      </c>
      <c r="AA137" s="9">
        <v>0.32900000000000001</v>
      </c>
      <c r="AB137" s="9">
        <v>0.377</v>
      </c>
    </row>
    <row r="138" spans="1:28">
      <c r="A138" t="str">
        <f t="shared" si="2"/>
        <v>CLClay Thompson21</v>
      </c>
      <c r="B138">
        <v>2299</v>
      </c>
      <c r="C138">
        <v>167</v>
      </c>
      <c r="D138" t="s">
        <v>355</v>
      </c>
      <c r="E138" t="s">
        <v>1940</v>
      </c>
      <c r="F138">
        <v>0</v>
      </c>
      <c r="G138" s="10">
        <v>35372</v>
      </c>
      <c r="H138">
        <v>21</v>
      </c>
      <c r="I138" t="s">
        <v>1711</v>
      </c>
      <c r="J138" t="s">
        <v>2032</v>
      </c>
      <c r="K138">
        <v>5</v>
      </c>
      <c r="L138">
        <v>8</v>
      </c>
      <c r="M138">
        <v>28</v>
      </c>
      <c r="N138">
        <v>0</v>
      </c>
      <c r="O138">
        <v>0</v>
      </c>
      <c r="P138" s="8">
        <v>5.33</v>
      </c>
      <c r="Q138">
        <v>85</v>
      </c>
      <c r="R138">
        <v>0</v>
      </c>
      <c r="S138">
        <v>81</v>
      </c>
      <c r="T138">
        <v>82</v>
      </c>
      <c r="U138">
        <v>52</v>
      </c>
      <c r="V138">
        <v>48</v>
      </c>
      <c r="W138">
        <v>17</v>
      </c>
      <c r="X138">
        <v>39</v>
      </c>
      <c r="Y138">
        <v>97</v>
      </c>
      <c r="Z138" s="8">
        <v>1.49</v>
      </c>
      <c r="AA138" s="9">
        <v>0.26</v>
      </c>
      <c r="AB138" s="9">
        <v>0.317</v>
      </c>
    </row>
    <row r="139" spans="1:28">
      <c r="A139" t="str">
        <f t="shared" si="2"/>
        <v>CLRob Magee18</v>
      </c>
      <c r="B139">
        <v>13809</v>
      </c>
      <c r="C139">
        <v>325</v>
      </c>
      <c r="D139" t="s">
        <v>1883</v>
      </c>
      <c r="E139" t="s">
        <v>179</v>
      </c>
      <c r="F139">
        <v>0</v>
      </c>
      <c r="G139" s="10">
        <v>36500</v>
      </c>
      <c r="H139">
        <v>18</v>
      </c>
      <c r="I139" t="s">
        <v>1711</v>
      </c>
      <c r="J139" t="s">
        <v>2032</v>
      </c>
      <c r="K139">
        <v>5</v>
      </c>
      <c r="L139">
        <v>9</v>
      </c>
      <c r="M139">
        <v>19</v>
      </c>
      <c r="N139">
        <v>0</v>
      </c>
      <c r="O139">
        <v>0</v>
      </c>
      <c r="P139" s="8">
        <v>6.49</v>
      </c>
      <c r="Q139">
        <v>107</v>
      </c>
      <c r="R139">
        <v>0</v>
      </c>
      <c r="S139">
        <v>120.7</v>
      </c>
      <c r="T139">
        <v>167</v>
      </c>
      <c r="U139">
        <v>100</v>
      </c>
      <c r="V139">
        <v>87</v>
      </c>
      <c r="W139">
        <v>24</v>
      </c>
      <c r="X139">
        <v>61</v>
      </c>
      <c r="Y139">
        <v>95</v>
      </c>
      <c r="Z139" s="8">
        <v>1.89</v>
      </c>
      <c r="AA139" s="9">
        <v>0.33200000000000002</v>
      </c>
      <c r="AB139" s="9">
        <v>0.36599999999999999</v>
      </c>
    </row>
    <row r="140" spans="1:28">
      <c r="A140" t="str">
        <f t="shared" si="2"/>
        <v>MRMichael Johnson21</v>
      </c>
      <c r="B140">
        <v>3008</v>
      </c>
      <c r="C140">
        <v>208</v>
      </c>
      <c r="D140" t="s">
        <v>1841</v>
      </c>
      <c r="E140" t="s">
        <v>1855</v>
      </c>
      <c r="F140">
        <v>0</v>
      </c>
      <c r="G140" s="10">
        <v>35388</v>
      </c>
      <c r="H140">
        <v>21</v>
      </c>
      <c r="I140" t="s">
        <v>1711</v>
      </c>
      <c r="J140" t="s">
        <v>2021</v>
      </c>
      <c r="K140">
        <v>5</v>
      </c>
      <c r="L140">
        <v>13</v>
      </c>
      <c r="M140">
        <v>3</v>
      </c>
      <c r="N140">
        <v>0</v>
      </c>
      <c r="O140">
        <v>0</v>
      </c>
      <c r="P140" s="8">
        <v>7.02</v>
      </c>
      <c r="Q140">
        <v>83</v>
      </c>
      <c r="R140">
        <v>11</v>
      </c>
      <c r="S140">
        <v>133.30000000000001</v>
      </c>
      <c r="T140">
        <v>179</v>
      </c>
      <c r="U140">
        <v>112</v>
      </c>
      <c r="V140">
        <v>104</v>
      </c>
      <c r="W140">
        <v>15</v>
      </c>
      <c r="X140">
        <v>103</v>
      </c>
      <c r="Y140">
        <v>95</v>
      </c>
      <c r="Z140" s="8">
        <v>2.12</v>
      </c>
      <c r="AA140" s="9">
        <v>0.32800000000000001</v>
      </c>
      <c r="AB140" s="9">
        <v>0.36899999999999999</v>
      </c>
    </row>
    <row r="141" spans="1:28">
      <c r="A141" t="str">
        <f t="shared" si="2"/>
        <v>MRCarlos Castro21</v>
      </c>
      <c r="B141">
        <v>7617</v>
      </c>
      <c r="C141">
        <v>221</v>
      </c>
      <c r="D141" t="s">
        <v>1974</v>
      </c>
      <c r="E141" t="s">
        <v>178</v>
      </c>
      <c r="F141">
        <v>0</v>
      </c>
      <c r="G141" s="10">
        <v>35575</v>
      </c>
      <c r="H141">
        <v>21</v>
      </c>
      <c r="I141" t="s">
        <v>1711</v>
      </c>
      <c r="J141" t="s">
        <v>2021</v>
      </c>
      <c r="K141">
        <v>7</v>
      </c>
      <c r="L141">
        <v>12</v>
      </c>
      <c r="M141">
        <v>2</v>
      </c>
      <c r="N141">
        <v>0</v>
      </c>
      <c r="O141">
        <v>0</v>
      </c>
      <c r="P141" s="8">
        <v>7.99</v>
      </c>
      <c r="Q141">
        <v>67</v>
      </c>
      <c r="R141">
        <v>24</v>
      </c>
      <c r="S141">
        <v>163.30000000000001</v>
      </c>
      <c r="T141">
        <v>242</v>
      </c>
      <c r="U141">
        <v>162</v>
      </c>
      <c r="V141">
        <v>145</v>
      </c>
      <c r="W141">
        <v>26</v>
      </c>
      <c r="X141">
        <v>100</v>
      </c>
      <c r="Y141">
        <v>95</v>
      </c>
      <c r="Z141" s="8">
        <v>2.09</v>
      </c>
      <c r="AA141" s="9">
        <v>0.34599999999999997</v>
      </c>
      <c r="AB141" s="9">
        <v>0.36699999999999999</v>
      </c>
    </row>
    <row r="142" spans="1:28">
      <c r="A142" t="str">
        <f t="shared" si="2"/>
        <v>MRRobbie Ward21</v>
      </c>
      <c r="B142">
        <v>6598</v>
      </c>
      <c r="C142">
        <v>143</v>
      </c>
      <c r="D142" t="s">
        <v>1964</v>
      </c>
      <c r="E142" t="s">
        <v>1911</v>
      </c>
      <c r="F142">
        <v>0</v>
      </c>
      <c r="G142" s="10">
        <v>35505</v>
      </c>
      <c r="H142">
        <v>21</v>
      </c>
      <c r="I142" t="s">
        <v>1711</v>
      </c>
      <c r="J142" t="s">
        <v>2021</v>
      </c>
      <c r="K142">
        <v>14</v>
      </c>
      <c r="L142">
        <v>14</v>
      </c>
      <c r="M142">
        <v>1</v>
      </c>
      <c r="N142">
        <v>1</v>
      </c>
      <c r="O142">
        <v>0</v>
      </c>
      <c r="P142" s="8">
        <v>5.56</v>
      </c>
      <c r="Q142">
        <v>46</v>
      </c>
      <c r="R142">
        <v>38</v>
      </c>
      <c r="S142">
        <v>220</v>
      </c>
      <c r="T142">
        <v>285</v>
      </c>
      <c r="U142">
        <v>163</v>
      </c>
      <c r="V142">
        <v>136</v>
      </c>
      <c r="W142">
        <v>26</v>
      </c>
      <c r="X142">
        <v>87</v>
      </c>
      <c r="Y142">
        <v>94</v>
      </c>
      <c r="Z142" s="8">
        <v>1.69</v>
      </c>
      <c r="AA142" s="9">
        <v>0.314</v>
      </c>
      <c r="AB142" s="9">
        <v>0.32300000000000001</v>
      </c>
    </row>
    <row r="143" spans="1:28">
      <c r="A143" t="str">
        <f t="shared" si="2"/>
        <v>SPBrian Buckner18</v>
      </c>
      <c r="B143">
        <v>13768</v>
      </c>
      <c r="C143">
        <v>219</v>
      </c>
      <c r="D143" t="s">
        <v>1957</v>
      </c>
      <c r="E143" t="s">
        <v>184</v>
      </c>
      <c r="F143">
        <v>0</v>
      </c>
      <c r="G143" s="10">
        <v>36564</v>
      </c>
      <c r="H143">
        <v>18</v>
      </c>
      <c r="I143" t="s">
        <v>1711</v>
      </c>
      <c r="J143" t="s">
        <v>2003</v>
      </c>
      <c r="K143">
        <v>10</v>
      </c>
      <c r="L143">
        <v>9</v>
      </c>
      <c r="M143">
        <v>0</v>
      </c>
      <c r="N143">
        <v>0</v>
      </c>
      <c r="O143">
        <v>0</v>
      </c>
      <c r="P143" s="8">
        <v>5.94</v>
      </c>
      <c r="Q143">
        <v>34</v>
      </c>
      <c r="R143">
        <v>33</v>
      </c>
      <c r="S143">
        <v>163.69999999999999</v>
      </c>
      <c r="T143">
        <v>187</v>
      </c>
      <c r="U143">
        <v>123</v>
      </c>
      <c r="V143">
        <v>108</v>
      </c>
      <c r="W143">
        <v>20</v>
      </c>
      <c r="X143">
        <v>99</v>
      </c>
      <c r="Y143">
        <v>94</v>
      </c>
      <c r="Z143" s="8">
        <v>1.75</v>
      </c>
      <c r="AA143" s="9">
        <v>0.28799999999999998</v>
      </c>
      <c r="AB143" s="9">
        <v>0.30599999999999999</v>
      </c>
    </row>
    <row r="144" spans="1:28">
      <c r="A144" t="str">
        <f t="shared" si="2"/>
        <v>MRCary Johnson18</v>
      </c>
      <c r="B144">
        <v>1371</v>
      </c>
      <c r="C144">
        <v>127</v>
      </c>
      <c r="D144" t="s">
        <v>185</v>
      </c>
      <c r="E144" t="s">
        <v>1855</v>
      </c>
      <c r="F144">
        <v>0</v>
      </c>
      <c r="G144" s="10">
        <v>36648</v>
      </c>
      <c r="H144">
        <v>18</v>
      </c>
      <c r="I144" t="s">
        <v>1711</v>
      </c>
      <c r="J144" t="s">
        <v>2021</v>
      </c>
      <c r="K144">
        <v>6</v>
      </c>
      <c r="L144">
        <v>5</v>
      </c>
      <c r="M144">
        <v>4</v>
      </c>
      <c r="N144">
        <v>0</v>
      </c>
      <c r="O144">
        <v>0</v>
      </c>
      <c r="P144" s="8">
        <v>6.4</v>
      </c>
      <c r="Q144">
        <v>91</v>
      </c>
      <c r="R144">
        <v>0</v>
      </c>
      <c r="S144">
        <v>115.3</v>
      </c>
      <c r="T144">
        <v>165</v>
      </c>
      <c r="U144">
        <v>94</v>
      </c>
      <c r="V144">
        <v>82</v>
      </c>
      <c r="W144">
        <v>16</v>
      </c>
      <c r="X144">
        <v>60</v>
      </c>
      <c r="Y144">
        <v>94</v>
      </c>
      <c r="Z144" s="8">
        <v>1.95</v>
      </c>
      <c r="AA144" s="9">
        <v>0.34</v>
      </c>
      <c r="AB144" s="9">
        <v>0.39100000000000001</v>
      </c>
    </row>
    <row r="145" spans="1:28">
      <c r="A145" t="str">
        <f t="shared" si="2"/>
        <v>SPBruce Benson21</v>
      </c>
      <c r="B145">
        <v>6873</v>
      </c>
      <c r="C145">
        <v>10</v>
      </c>
      <c r="D145" t="s">
        <v>1673</v>
      </c>
      <c r="E145" t="s">
        <v>381</v>
      </c>
      <c r="F145">
        <v>0</v>
      </c>
      <c r="G145" s="10">
        <v>35424</v>
      </c>
      <c r="H145">
        <v>21</v>
      </c>
      <c r="I145" t="s">
        <v>1711</v>
      </c>
      <c r="J145" t="s">
        <v>2003</v>
      </c>
      <c r="K145">
        <v>5</v>
      </c>
      <c r="L145">
        <v>11</v>
      </c>
      <c r="M145">
        <v>3</v>
      </c>
      <c r="N145">
        <v>0</v>
      </c>
      <c r="O145">
        <v>0</v>
      </c>
      <c r="P145" s="8">
        <v>8.02</v>
      </c>
      <c r="Q145">
        <v>43</v>
      </c>
      <c r="R145">
        <v>25</v>
      </c>
      <c r="S145">
        <v>131.30000000000001</v>
      </c>
      <c r="T145">
        <v>178</v>
      </c>
      <c r="U145">
        <v>124</v>
      </c>
      <c r="V145">
        <v>117</v>
      </c>
      <c r="W145">
        <v>16</v>
      </c>
      <c r="X145">
        <v>95</v>
      </c>
      <c r="Y145">
        <v>94</v>
      </c>
      <c r="Z145" s="8">
        <v>2.08</v>
      </c>
      <c r="AA145" s="9">
        <v>0.32200000000000001</v>
      </c>
      <c r="AB145" s="9">
        <v>0.36099999999999999</v>
      </c>
    </row>
    <row r="146" spans="1:28">
      <c r="A146" t="str">
        <f t="shared" si="2"/>
        <v>SPHenry Vinson21</v>
      </c>
      <c r="B146">
        <v>8189</v>
      </c>
      <c r="C146">
        <v>74</v>
      </c>
      <c r="D146" t="s">
        <v>1847</v>
      </c>
      <c r="E146" t="s">
        <v>180</v>
      </c>
      <c r="F146">
        <v>0</v>
      </c>
      <c r="G146" s="10">
        <v>35489</v>
      </c>
      <c r="H146">
        <v>21</v>
      </c>
      <c r="I146" t="s">
        <v>1711</v>
      </c>
      <c r="J146" t="s">
        <v>2003</v>
      </c>
      <c r="K146">
        <v>12</v>
      </c>
      <c r="L146">
        <v>11</v>
      </c>
      <c r="M146">
        <v>16</v>
      </c>
      <c r="N146">
        <v>1</v>
      </c>
      <c r="O146">
        <v>0</v>
      </c>
      <c r="P146" s="8">
        <v>5.0199999999999996</v>
      </c>
      <c r="Q146">
        <v>67</v>
      </c>
      <c r="R146">
        <v>21</v>
      </c>
      <c r="S146">
        <v>175.7</v>
      </c>
      <c r="T146">
        <v>226</v>
      </c>
      <c r="U146">
        <v>110</v>
      </c>
      <c r="V146">
        <v>98</v>
      </c>
      <c r="W146">
        <v>17</v>
      </c>
      <c r="X146">
        <v>60</v>
      </c>
      <c r="Y146">
        <v>93</v>
      </c>
      <c r="Z146" s="8">
        <v>1.63</v>
      </c>
      <c r="AA146" s="9">
        <v>0.31</v>
      </c>
      <c r="AB146" s="9">
        <v>0.33300000000000002</v>
      </c>
    </row>
    <row r="147" spans="1:28">
      <c r="A147" t="str">
        <f t="shared" si="2"/>
        <v>MRDan Lutz21</v>
      </c>
      <c r="B147">
        <v>9392</v>
      </c>
      <c r="C147">
        <v>391</v>
      </c>
      <c r="D147" t="s">
        <v>1939</v>
      </c>
      <c r="E147" t="s">
        <v>181</v>
      </c>
      <c r="F147">
        <v>0</v>
      </c>
      <c r="G147" s="10">
        <v>35317</v>
      </c>
      <c r="H147">
        <v>21</v>
      </c>
      <c r="I147" t="s">
        <v>1711</v>
      </c>
      <c r="J147" t="s">
        <v>2021</v>
      </c>
      <c r="K147">
        <v>5</v>
      </c>
      <c r="L147">
        <v>16</v>
      </c>
      <c r="M147">
        <v>0</v>
      </c>
      <c r="N147">
        <v>0</v>
      </c>
      <c r="O147">
        <v>0</v>
      </c>
      <c r="P147" s="8">
        <v>7.74</v>
      </c>
      <c r="Q147">
        <v>60</v>
      </c>
      <c r="R147">
        <v>20</v>
      </c>
      <c r="S147">
        <v>143</v>
      </c>
      <c r="T147">
        <v>201</v>
      </c>
      <c r="U147">
        <v>137</v>
      </c>
      <c r="V147">
        <v>123</v>
      </c>
      <c r="W147">
        <v>18</v>
      </c>
      <c r="X147">
        <v>114</v>
      </c>
      <c r="Y147">
        <v>93</v>
      </c>
      <c r="Z147" s="8">
        <v>2.2000000000000002</v>
      </c>
      <c r="AA147" s="9">
        <v>0.32900000000000001</v>
      </c>
      <c r="AB147" s="9">
        <v>0.36299999999999999</v>
      </c>
    </row>
    <row r="148" spans="1:28">
      <c r="A148" t="str">
        <f t="shared" si="2"/>
        <v>SPJonathan Lauton18</v>
      </c>
      <c r="B148">
        <v>1177</v>
      </c>
      <c r="C148">
        <v>389</v>
      </c>
      <c r="D148" t="s">
        <v>361</v>
      </c>
      <c r="E148" t="s">
        <v>188</v>
      </c>
      <c r="F148">
        <v>0</v>
      </c>
      <c r="G148" s="10">
        <v>36463</v>
      </c>
      <c r="H148">
        <v>18</v>
      </c>
      <c r="I148" t="s">
        <v>1711</v>
      </c>
      <c r="J148" t="s">
        <v>2003</v>
      </c>
      <c r="K148">
        <v>5</v>
      </c>
      <c r="L148">
        <v>19</v>
      </c>
      <c r="M148">
        <v>0</v>
      </c>
      <c r="N148">
        <v>0</v>
      </c>
      <c r="O148">
        <v>0</v>
      </c>
      <c r="P148" s="8">
        <v>10.07</v>
      </c>
      <c r="Q148">
        <v>31</v>
      </c>
      <c r="R148">
        <v>29</v>
      </c>
      <c r="S148">
        <v>120.7</v>
      </c>
      <c r="T148">
        <v>209</v>
      </c>
      <c r="U148">
        <v>163</v>
      </c>
      <c r="V148">
        <v>135</v>
      </c>
      <c r="W148">
        <v>14</v>
      </c>
      <c r="X148">
        <v>85</v>
      </c>
      <c r="Y148">
        <v>93</v>
      </c>
      <c r="Z148" s="8">
        <v>2.44</v>
      </c>
      <c r="AA148" s="9">
        <v>0.372</v>
      </c>
      <c r="AB148" s="9">
        <v>0.41599999999999998</v>
      </c>
    </row>
    <row r="149" spans="1:28">
      <c r="A149" t="str">
        <f t="shared" si="2"/>
        <v>MRSteven Franklin21</v>
      </c>
      <c r="B149">
        <v>2385</v>
      </c>
      <c r="C149">
        <v>417</v>
      </c>
      <c r="D149" t="s">
        <v>1844</v>
      </c>
      <c r="E149" t="s">
        <v>182</v>
      </c>
      <c r="F149">
        <v>0</v>
      </c>
      <c r="G149" s="10">
        <v>35242</v>
      </c>
      <c r="H149">
        <v>21</v>
      </c>
      <c r="I149" t="s">
        <v>1711</v>
      </c>
      <c r="J149" t="s">
        <v>2021</v>
      </c>
      <c r="K149">
        <v>4</v>
      </c>
      <c r="L149">
        <v>11</v>
      </c>
      <c r="M149">
        <v>1</v>
      </c>
      <c r="N149">
        <v>0</v>
      </c>
      <c r="O149">
        <v>0</v>
      </c>
      <c r="P149" s="8">
        <v>11.86</v>
      </c>
      <c r="Q149">
        <v>51</v>
      </c>
      <c r="R149">
        <v>25</v>
      </c>
      <c r="S149">
        <v>104</v>
      </c>
      <c r="T149">
        <v>175</v>
      </c>
      <c r="U149">
        <v>139</v>
      </c>
      <c r="V149">
        <v>137</v>
      </c>
      <c r="W149">
        <v>12</v>
      </c>
      <c r="X149">
        <v>107</v>
      </c>
      <c r="Y149">
        <v>93</v>
      </c>
      <c r="Z149" s="8">
        <v>2.71</v>
      </c>
      <c r="AA149" s="9">
        <v>0.376</v>
      </c>
      <c r="AB149" s="9">
        <v>0.439</v>
      </c>
    </row>
    <row r="150" spans="1:28">
      <c r="A150" t="str">
        <f t="shared" si="2"/>
        <v>SPChris Longworth21</v>
      </c>
      <c r="B150">
        <v>2149</v>
      </c>
      <c r="C150">
        <v>366</v>
      </c>
      <c r="D150" t="s">
        <v>1942</v>
      </c>
      <c r="E150" t="s">
        <v>183</v>
      </c>
      <c r="F150">
        <v>0</v>
      </c>
      <c r="G150" s="10">
        <v>35241</v>
      </c>
      <c r="H150">
        <v>21</v>
      </c>
      <c r="I150" t="s">
        <v>1711</v>
      </c>
      <c r="J150" t="s">
        <v>2003</v>
      </c>
      <c r="K150">
        <v>4</v>
      </c>
      <c r="L150">
        <v>10</v>
      </c>
      <c r="M150">
        <v>0</v>
      </c>
      <c r="N150">
        <v>0</v>
      </c>
      <c r="O150">
        <v>0</v>
      </c>
      <c r="P150" s="8">
        <v>7.41</v>
      </c>
      <c r="Q150">
        <v>34</v>
      </c>
      <c r="R150">
        <v>23</v>
      </c>
      <c r="S150">
        <v>111.7</v>
      </c>
      <c r="T150">
        <v>159</v>
      </c>
      <c r="U150">
        <v>105</v>
      </c>
      <c r="V150">
        <v>92</v>
      </c>
      <c r="W150">
        <v>22</v>
      </c>
      <c r="X150">
        <v>69</v>
      </c>
      <c r="Y150">
        <v>92</v>
      </c>
      <c r="Z150" s="8">
        <v>2.04</v>
      </c>
      <c r="AA150" s="9">
        <v>0.33700000000000002</v>
      </c>
      <c r="AB150" s="9">
        <v>0.376</v>
      </c>
    </row>
    <row r="151" spans="1:28">
      <c r="A151" t="str">
        <f t="shared" si="2"/>
        <v>SPJosé Chávez21</v>
      </c>
      <c r="B151">
        <v>9476</v>
      </c>
      <c r="C151">
        <v>187</v>
      </c>
      <c r="D151" t="s">
        <v>1849</v>
      </c>
      <c r="E151" t="s">
        <v>462</v>
      </c>
      <c r="F151">
        <v>0</v>
      </c>
      <c r="G151" s="10">
        <v>35355</v>
      </c>
      <c r="H151">
        <v>21</v>
      </c>
      <c r="I151" t="s">
        <v>1711</v>
      </c>
      <c r="J151" t="s">
        <v>2003</v>
      </c>
      <c r="K151">
        <v>7</v>
      </c>
      <c r="L151">
        <v>8</v>
      </c>
      <c r="M151">
        <v>2</v>
      </c>
      <c r="N151">
        <v>0</v>
      </c>
      <c r="O151">
        <v>0</v>
      </c>
      <c r="P151" s="8">
        <v>6.32</v>
      </c>
      <c r="Q151">
        <v>77</v>
      </c>
      <c r="R151">
        <v>9</v>
      </c>
      <c r="S151">
        <v>125.3</v>
      </c>
      <c r="T151">
        <v>143</v>
      </c>
      <c r="U151">
        <v>102</v>
      </c>
      <c r="V151">
        <v>88</v>
      </c>
      <c r="W151">
        <v>18</v>
      </c>
      <c r="X151">
        <v>97</v>
      </c>
      <c r="Y151">
        <v>91</v>
      </c>
      <c r="Z151" s="8">
        <v>1.91</v>
      </c>
      <c r="AA151" s="9">
        <v>0.28899999999999998</v>
      </c>
      <c r="AB151" s="9">
        <v>0.314</v>
      </c>
    </row>
    <row r="152" spans="1:28">
      <c r="A152" t="str">
        <f t="shared" si="2"/>
        <v>MRDave Bass21</v>
      </c>
      <c r="B152">
        <v>2135</v>
      </c>
      <c r="C152">
        <v>324</v>
      </c>
      <c r="D152" t="s">
        <v>1830</v>
      </c>
      <c r="E152" t="s">
        <v>186</v>
      </c>
      <c r="F152">
        <v>0</v>
      </c>
      <c r="G152" s="10">
        <v>35351</v>
      </c>
      <c r="H152">
        <v>21</v>
      </c>
      <c r="I152" t="s">
        <v>1711</v>
      </c>
      <c r="J152" t="s">
        <v>2021</v>
      </c>
      <c r="K152">
        <v>3</v>
      </c>
      <c r="L152">
        <v>3</v>
      </c>
      <c r="M152">
        <v>1</v>
      </c>
      <c r="N152">
        <v>0</v>
      </c>
      <c r="O152">
        <v>0</v>
      </c>
      <c r="P152" s="8">
        <v>6.5</v>
      </c>
      <c r="Q152">
        <v>94</v>
      </c>
      <c r="R152">
        <v>0</v>
      </c>
      <c r="S152">
        <v>106.7</v>
      </c>
      <c r="T152">
        <v>137</v>
      </c>
      <c r="U152">
        <v>80</v>
      </c>
      <c r="V152">
        <v>77</v>
      </c>
      <c r="W152">
        <v>14</v>
      </c>
      <c r="X152">
        <v>74</v>
      </c>
      <c r="Y152">
        <v>89</v>
      </c>
      <c r="Z152" s="8">
        <v>1.98</v>
      </c>
      <c r="AA152" s="9">
        <v>0.31900000000000001</v>
      </c>
      <c r="AB152" s="9">
        <v>0.36799999999999999</v>
      </c>
    </row>
    <row r="153" spans="1:28">
      <c r="A153" t="str">
        <f t="shared" si="2"/>
        <v>MRMatt Barnes21</v>
      </c>
      <c r="B153">
        <v>8085</v>
      </c>
      <c r="C153">
        <v>332</v>
      </c>
      <c r="D153" t="s">
        <v>1848</v>
      </c>
      <c r="E153" t="s">
        <v>187</v>
      </c>
      <c r="F153">
        <v>0</v>
      </c>
      <c r="G153" s="10">
        <v>35346</v>
      </c>
      <c r="H153">
        <v>21</v>
      </c>
      <c r="I153" t="s">
        <v>1711</v>
      </c>
      <c r="J153" t="s">
        <v>2021</v>
      </c>
      <c r="K153">
        <v>9</v>
      </c>
      <c r="L153">
        <v>8</v>
      </c>
      <c r="M153">
        <v>1</v>
      </c>
      <c r="N153">
        <v>0</v>
      </c>
      <c r="O153">
        <v>0</v>
      </c>
      <c r="P153" s="8">
        <v>7.23</v>
      </c>
      <c r="Q153">
        <v>136</v>
      </c>
      <c r="R153">
        <v>0</v>
      </c>
      <c r="S153">
        <v>159.30000000000001</v>
      </c>
      <c r="T153">
        <v>221</v>
      </c>
      <c r="U153">
        <v>134</v>
      </c>
      <c r="V153">
        <v>128</v>
      </c>
      <c r="W153">
        <v>23</v>
      </c>
      <c r="X153">
        <v>106</v>
      </c>
      <c r="Y153">
        <v>89</v>
      </c>
      <c r="Z153" s="8">
        <v>2.0499999999999998</v>
      </c>
      <c r="AA153" s="9">
        <v>0.33800000000000002</v>
      </c>
      <c r="AB153" s="9">
        <v>0.35599999999999998</v>
      </c>
    </row>
    <row r="154" spans="1:28">
      <c r="A154" t="str">
        <f t="shared" si="2"/>
        <v>CLJorge Martínez21</v>
      </c>
      <c r="B154">
        <v>3486</v>
      </c>
      <c r="C154">
        <v>73</v>
      </c>
      <c r="D154" t="s">
        <v>1832</v>
      </c>
      <c r="E154" t="s">
        <v>1933</v>
      </c>
      <c r="F154">
        <v>0</v>
      </c>
      <c r="G154" s="10">
        <v>35528</v>
      </c>
      <c r="H154">
        <v>21</v>
      </c>
      <c r="I154" t="s">
        <v>1711</v>
      </c>
      <c r="J154" t="s">
        <v>2032</v>
      </c>
      <c r="K154">
        <v>10</v>
      </c>
      <c r="L154">
        <v>8</v>
      </c>
      <c r="M154">
        <v>31</v>
      </c>
      <c r="N154">
        <v>0</v>
      </c>
      <c r="O154">
        <v>0</v>
      </c>
      <c r="P154" s="8">
        <v>3.42</v>
      </c>
      <c r="Q154">
        <v>108</v>
      </c>
      <c r="R154">
        <v>0</v>
      </c>
      <c r="S154">
        <v>121</v>
      </c>
      <c r="T154">
        <v>136</v>
      </c>
      <c r="U154">
        <v>54</v>
      </c>
      <c r="V154">
        <v>46</v>
      </c>
      <c r="W154">
        <v>6</v>
      </c>
      <c r="X154">
        <v>49</v>
      </c>
      <c r="Y154">
        <v>86</v>
      </c>
      <c r="Z154" s="8">
        <v>1.53</v>
      </c>
      <c r="AA154" s="9">
        <v>0.28399999999999997</v>
      </c>
      <c r="AB154" s="9">
        <v>0.33400000000000002</v>
      </c>
    </row>
    <row r="155" spans="1:28">
      <c r="A155" t="str">
        <f t="shared" si="2"/>
        <v>MRJúlio Parra21</v>
      </c>
      <c r="B155">
        <v>5794</v>
      </c>
      <c r="C155">
        <v>346</v>
      </c>
      <c r="D155" t="s">
        <v>1724</v>
      </c>
      <c r="E155" t="s">
        <v>189</v>
      </c>
      <c r="F155">
        <v>0</v>
      </c>
      <c r="G155" s="10">
        <v>35420</v>
      </c>
      <c r="H155">
        <v>21</v>
      </c>
      <c r="I155" t="s">
        <v>1711</v>
      </c>
      <c r="J155" t="s">
        <v>2021</v>
      </c>
      <c r="K155">
        <v>8</v>
      </c>
      <c r="L155">
        <v>4</v>
      </c>
      <c r="M155">
        <v>4</v>
      </c>
      <c r="N155">
        <v>0</v>
      </c>
      <c r="O155">
        <v>0</v>
      </c>
      <c r="P155" s="8">
        <v>5.88</v>
      </c>
      <c r="Q155">
        <v>100</v>
      </c>
      <c r="R155">
        <v>0</v>
      </c>
      <c r="S155">
        <v>90.3</v>
      </c>
      <c r="T155">
        <v>96</v>
      </c>
      <c r="U155">
        <v>68</v>
      </c>
      <c r="V155">
        <v>59</v>
      </c>
      <c r="W155">
        <v>14</v>
      </c>
      <c r="X155">
        <v>86</v>
      </c>
      <c r="Y155">
        <v>86</v>
      </c>
      <c r="Z155" s="8">
        <v>2.0099999999999998</v>
      </c>
      <c r="AA155" s="9">
        <v>0.27800000000000002</v>
      </c>
      <c r="AB155" s="9">
        <v>0.33100000000000002</v>
      </c>
    </row>
    <row r="156" spans="1:28">
      <c r="A156" t="str">
        <f t="shared" si="2"/>
        <v>CLNorberto Espinoza21</v>
      </c>
      <c r="B156">
        <v>7036</v>
      </c>
      <c r="C156">
        <v>360</v>
      </c>
      <c r="D156" t="s">
        <v>464</v>
      </c>
      <c r="E156" t="s">
        <v>1676</v>
      </c>
      <c r="F156">
        <v>0</v>
      </c>
      <c r="G156" s="10">
        <v>35310</v>
      </c>
      <c r="H156">
        <v>21</v>
      </c>
      <c r="I156" t="s">
        <v>1711</v>
      </c>
      <c r="J156" t="s">
        <v>2032</v>
      </c>
      <c r="K156">
        <v>6</v>
      </c>
      <c r="L156">
        <v>6</v>
      </c>
      <c r="M156">
        <v>9</v>
      </c>
      <c r="N156">
        <v>0</v>
      </c>
      <c r="O156">
        <v>0</v>
      </c>
      <c r="P156" s="8">
        <v>5.09</v>
      </c>
      <c r="Q156">
        <v>85</v>
      </c>
      <c r="R156">
        <v>0</v>
      </c>
      <c r="S156">
        <v>106</v>
      </c>
      <c r="T156">
        <v>132</v>
      </c>
      <c r="U156">
        <v>68</v>
      </c>
      <c r="V156">
        <v>60</v>
      </c>
      <c r="W156">
        <v>15</v>
      </c>
      <c r="X156">
        <v>43</v>
      </c>
      <c r="Y156">
        <v>85</v>
      </c>
      <c r="Z156" s="8">
        <v>1.65</v>
      </c>
      <c r="AA156" s="9">
        <v>0.29499999999999998</v>
      </c>
      <c r="AB156" s="9">
        <v>0.33500000000000002</v>
      </c>
    </row>
    <row r="157" spans="1:28">
      <c r="A157" t="str">
        <f t="shared" si="2"/>
        <v>CLRobert Williams18</v>
      </c>
      <c r="B157">
        <v>13766</v>
      </c>
      <c r="C157">
        <v>78</v>
      </c>
      <c r="D157" t="s">
        <v>524</v>
      </c>
      <c r="E157" t="s">
        <v>1905</v>
      </c>
      <c r="F157">
        <v>0</v>
      </c>
      <c r="G157" s="10">
        <v>36363</v>
      </c>
      <c r="H157">
        <v>18</v>
      </c>
      <c r="I157" t="s">
        <v>1711</v>
      </c>
      <c r="J157" t="s">
        <v>2032</v>
      </c>
      <c r="K157">
        <v>11</v>
      </c>
      <c r="L157">
        <v>10</v>
      </c>
      <c r="M157">
        <v>5</v>
      </c>
      <c r="N157">
        <v>0</v>
      </c>
      <c r="O157">
        <v>0</v>
      </c>
      <c r="P157" s="8">
        <v>5.86</v>
      </c>
      <c r="Q157">
        <v>85</v>
      </c>
      <c r="R157">
        <v>24</v>
      </c>
      <c r="S157">
        <v>204.3</v>
      </c>
      <c r="T157">
        <v>283</v>
      </c>
      <c r="U157">
        <v>155</v>
      </c>
      <c r="V157">
        <v>133</v>
      </c>
      <c r="W157">
        <v>19</v>
      </c>
      <c r="X157">
        <v>72</v>
      </c>
      <c r="Y157">
        <v>85</v>
      </c>
      <c r="Z157" s="8">
        <v>1.74</v>
      </c>
      <c r="AA157" s="9">
        <v>0.32300000000000001</v>
      </c>
      <c r="AB157" s="9">
        <v>0.33600000000000002</v>
      </c>
    </row>
    <row r="158" spans="1:28">
      <c r="A158" t="str">
        <f t="shared" si="2"/>
        <v>MRSteve Jowett21</v>
      </c>
      <c r="B158">
        <v>2144</v>
      </c>
      <c r="C158">
        <v>233</v>
      </c>
      <c r="D158" t="s">
        <v>1850</v>
      </c>
      <c r="E158" t="s">
        <v>190</v>
      </c>
      <c r="F158">
        <v>0</v>
      </c>
      <c r="G158" s="10">
        <v>35253</v>
      </c>
      <c r="H158">
        <v>21</v>
      </c>
      <c r="I158" t="s">
        <v>1711</v>
      </c>
      <c r="J158" t="s">
        <v>2021</v>
      </c>
      <c r="K158">
        <v>8</v>
      </c>
      <c r="L158">
        <v>7</v>
      </c>
      <c r="M158">
        <v>4</v>
      </c>
      <c r="N158">
        <v>0</v>
      </c>
      <c r="O158">
        <v>0</v>
      </c>
      <c r="P158" s="8">
        <v>6.55</v>
      </c>
      <c r="Q158">
        <v>69</v>
      </c>
      <c r="R158">
        <v>11</v>
      </c>
      <c r="S158">
        <v>123.7</v>
      </c>
      <c r="T158">
        <v>160</v>
      </c>
      <c r="U158">
        <v>98</v>
      </c>
      <c r="V158">
        <v>90</v>
      </c>
      <c r="W158">
        <v>18</v>
      </c>
      <c r="X158">
        <v>67</v>
      </c>
      <c r="Y158">
        <v>85</v>
      </c>
      <c r="Z158" s="8">
        <v>1.84</v>
      </c>
      <c r="AA158" s="9">
        <v>0.313</v>
      </c>
      <c r="AB158" s="9">
        <v>0.34699999999999998</v>
      </c>
    </row>
    <row r="159" spans="1:28">
      <c r="A159" t="str">
        <f t="shared" si="2"/>
        <v>MRVincent Huff22</v>
      </c>
      <c r="B159">
        <v>1350</v>
      </c>
      <c r="C159">
        <v>72</v>
      </c>
      <c r="D159" t="s">
        <v>1888</v>
      </c>
      <c r="E159" t="s">
        <v>1744</v>
      </c>
      <c r="F159">
        <v>0</v>
      </c>
      <c r="G159" s="10">
        <v>35112</v>
      </c>
      <c r="H159">
        <v>22</v>
      </c>
      <c r="I159" t="s">
        <v>1711</v>
      </c>
      <c r="J159" t="s">
        <v>2021</v>
      </c>
      <c r="K159">
        <v>4</v>
      </c>
      <c r="L159">
        <v>7</v>
      </c>
      <c r="M159">
        <v>2</v>
      </c>
      <c r="N159">
        <v>0</v>
      </c>
      <c r="O159">
        <v>0</v>
      </c>
      <c r="P159" s="8">
        <v>5.81</v>
      </c>
      <c r="Q159">
        <v>94</v>
      </c>
      <c r="R159">
        <v>10</v>
      </c>
      <c r="S159">
        <v>139.30000000000001</v>
      </c>
      <c r="T159">
        <v>176</v>
      </c>
      <c r="U159">
        <v>105</v>
      </c>
      <c r="V159">
        <v>90</v>
      </c>
      <c r="W159">
        <v>17</v>
      </c>
      <c r="X159">
        <v>93</v>
      </c>
      <c r="Y159">
        <v>84</v>
      </c>
      <c r="Z159" s="8">
        <v>1.93</v>
      </c>
      <c r="AA159" s="9">
        <v>0.31</v>
      </c>
      <c r="AB159" s="9">
        <v>0.33300000000000002</v>
      </c>
    </row>
    <row r="160" spans="1:28">
      <c r="A160" t="str">
        <f t="shared" si="2"/>
        <v>SPKevin Dycus17</v>
      </c>
      <c r="B160">
        <v>13767</v>
      </c>
      <c r="C160">
        <v>229</v>
      </c>
      <c r="D160" t="s">
        <v>1904</v>
      </c>
      <c r="E160" t="s">
        <v>193</v>
      </c>
      <c r="F160">
        <v>0</v>
      </c>
      <c r="G160" s="10">
        <v>36672</v>
      </c>
      <c r="H160">
        <v>17</v>
      </c>
      <c r="I160" t="s">
        <v>1711</v>
      </c>
      <c r="J160" t="s">
        <v>2003</v>
      </c>
      <c r="K160">
        <v>2</v>
      </c>
      <c r="L160">
        <v>9</v>
      </c>
      <c r="M160">
        <v>0</v>
      </c>
      <c r="N160">
        <v>0</v>
      </c>
      <c r="O160">
        <v>0</v>
      </c>
      <c r="P160" s="8">
        <v>7.97</v>
      </c>
      <c r="Q160">
        <v>21</v>
      </c>
      <c r="R160">
        <v>21</v>
      </c>
      <c r="S160">
        <v>105</v>
      </c>
      <c r="T160">
        <v>163</v>
      </c>
      <c r="U160">
        <v>99</v>
      </c>
      <c r="V160">
        <v>93</v>
      </c>
      <c r="W160">
        <v>14</v>
      </c>
      <c r="X160">
        <v>56</v>
      </c>
      <c r="Y160">
        <v>84</v>
      </c>
      <c r="Z160" s="8">
        <v>2.09</v>
      </c>
      <c r="AA160" s="9">
        <v>0.35</v>
      </c>
      <c r="AB160" s="9">
        <v>0.39700000000000002</v>
      </c>
    </row>
    <row r="161" spans="1:28">
      <c r="A161" t="str">
        <f t="shared" si="2"/>
        <v>CLNathan Wade18</v>
      </c>
      <c r="B161">
        <v>13782</v>
      </c>
      <c r="C161">
        <v>162</v>
      </c>
      <c r="D161" t="s">
        <v>1973</v>
      </c>
      <c r="E161" t="s">
        <v>194</v>
      </c>
      <c r="F161">
        <v>0</v>
      </c>
      <c r="G161" s="10">
        <v>36418</v>
      </c>
      <c r="H161">
        <v>18</v>
      </c>
      <c r="I161" t="s">
        <v>1711</v>
      </c>
      <c r="J161" t="s">
        <v>2032</v>
      </c>
      <c r="K161">
        <v>10</v>
      </c>
      <c r="L161">
        <v>9</v>
      </c>
      <c r="M161">
        <v>24</v>
      </c>
      <c r="N161">
        <v>0</v>
      </c>
      <c r="O161">
        <v>0</v>
      </c>
      <c r="P161" s="8">
        <v>5.56</v>
      </c>
      <c r="Q161">
        <v>63</v>
      </c>
      <c r="R161">
        <v>20</v>
      </c>
      <c r="S161">
        <v>136</v>
      </c>
      <c r="T161">
        <v>195</v>
      </c>
      <c r="U161">
        <v>106</v>
      </c>
      <c r="V161">
        <v>84</v>
      </c>
      <c r="W161">
        <v>12</v>
      </c>
      <c r="X161">
        <v>60</v>
      </c>
      <c r="Y161">
        <v>83</v>
      </c>
      <c r="Z161" s="8">
        <v>1.88</v>
      </c>
      <c r="AA161" s="9">
        <v>0.32800000000000001</v>
      </c>
      <c r="AB161" s="9">
        <v>0.36199999999999999</v>
      </c>
    </row>
    <row r="162" spans="1:28">
      <c r="A162" t="str">
        <f t="shared" si="2"/>
        <v>MRDuane Kidd21</v>
      </c>
      <c r="B162">
        <v>2454</v>
      </c>
      <c r="C162">
        <v>169</v>
      </c>
      <c r="D162" t="s">
        <v>191</v>
      </c>
      <c r="E162" t="s">
        <v>192</v>
      </c>
      <c r="F162">
        <v>0</v>
      </c>
      <c r="G162" s="10">
        <v>35551</v>
      </c>
      <c r="H162">
        <v>21</v>
      </c>
      <c r="I162" t="s">
        <v>1711</v>
      </c>
      <c r="J162" t="s">
        <v>2021</v>
      </c>
      <c r="K162">
        <v>7</v>
      </c>
      <c r="L162">
        <v>3</v>
      </c>
      <c r="M162">
        <v>4</v>
      </c>
      <c r="N162">
        <v>0</v>
      </c>
      <c r="O162">
        <v>0</v>
      </c>
      <c r="P162" s="8">
        <v>6.06</v>
      </c>
      <c r="Q162">
        <v>100</v>
      </c>
      <c r="R162">
        <v>0</v>
      </c>
      <c r="S162">
        <v>111.3</v>
      </c>
      <c r="T162">
        <v>126</v>
      </c>
      <c r="U162">
        <v>77</v>
      </c>
      <c r="V162">
        <v>75</v>
      </c>
      <c r="W162">
        <v>20</v>
      </c>
      <c r="X162">
        <v>69</v>
      </c>
      <c r="Y162">
        <v>83</v>
      </c>
      <c r="Z162" s="8">
        <v>1.75</v>
      </c>
      <c r="AA162" s="9">
        <v>0.28899999999999998</v>
      </c>
      <c r="AB162" s="9">
        <v>0.317</v>
      </c>
    </row>
    <row r="163" spans="1:28">
      <c r="A163" t="str">
        <f t="shared" si="2"/>
        <v>MRGreg Hathaway21</v>
      </c>
      <c r="B163">
        <v>2289</v>
      </c>
      <c r="C163">
        <v>252</v>
      </c>
      <c r="D163" t="s">
        <v>1890</v>
      </c>
      <c r="E163" t="s">
        <v>1731</v>
      </c>
      <c r="F163">
        <v>0</v>
      </c>
      <c r="G163" s="10">
        <v>35571</v>
      </c>
      <c r="H163">
        <v>21</v>
      </c>
      <c r="I163" t="s">
        <v>1711</v>
      </c>
      <c r="J163" t="s">
        <v>2021</v>
      </c>
      <c r="K163">
        <v>4</v>
      </c>
      <c r="L163">
        <v>4</v>
      </c>
      <c r="M163">
        <v>4</v>
      </c>
      <c r="N163">
        <v>0</v>
      </c>
      <c r="O163">
        <v>0</v>
      </c>
      <c r="P163" s="8">
        <v>7.97</v>
      </c>
      <c r="Q163">
        <v>95</v>
      </c>
      <c r="R163">
        <v>0</v>
      </c>
      <c r="S163">
        <v>101.7</v>
      </c>
      <c r="T163">
        <v>127</v>
      </c>
      <c r="U163">
        <v>100</v>
      </c>
      <c r="V163">
        <v>90</v>
      </c>
      <c r="W163">
        <v>14</v>
      </c>
      <c r="X163">
        <v>77</v>
      </c>
      <c r="Y163">
        <v>83</v>
      </c>
      <c r="Z163" s="8">
        <v>2.0099999999999998</v>
      </c>
      <c r="AA163" s="9">
        <v>0.30499999999999999</v>
      </c>
      <c r="AB163" s="9">
        <v>0.35</v>
      </c>
    </row>
    <row r="164" spans="1:28">
      <c r="A164" t="str">
        <f t="shared" si="2"/>
        <v>MRRonald Williams21</v>
      </c>
      <c r="B164">
        <v>8960</v>
      </c>
      <c r="C164">
        <v>393</v>
      </c>
      <c r="D164" t="s">
        <v>1975</v>
      </c>
      <c r="E164" t="s">
        <v>1905</v>
      </c>
      <c r="F164">
        <v>0</v>
      </c>
      <c r="G164" s="10">
        <v>35350</v>
      </c>
      <c r="H164">
        <v>21</v>
      </c>
      <c r="I164" t="s">
        <v>1711</v>
      </c>
      <c r="J164" t="s">
        <v>2021</v>
      </c>
      <c r="K164">
        <v>2</v>
      </c>
      <c r="L164">
        <v>3</v>
      </c>
      <c r="M164">
        <v>1</v>
      </c>
      <c r="N164">
        <v>0</v>
      </c>
      <c r="O164">
        <v>0</v>
      </c>
      <c r="P164" s="8">
        <v>6.89</v>
      </c>
      <c r="Q164">
        <v>91</v>
      </c>
      <c r="R164">
        <v>0</v>
      </c>
      <c r="S164">
        <v>95.3</v>
      </c>
      <c r="T164">
        <v>113</v>
      </c>
      <c r="U164">
        <v>77</v>
      </c>
      <c r="V164">
        <v>73</v>
      </c>
      <c r="W164">
        <v>14</v>
      </c>
      <c r="X164">
        <v>77</v>
      </c>
      <c r="Y164">
        <v>81</v>
      </c>
      <c r="Z164" s="8">
        <v>1.99</v>
      </c>
      <c r="AA164" s="9">
        <v>0.30499999999999999</v>
      </c>
      <c r="AB164" s="9">
        <v>0.34699999999999998</v>
      </c>
    </row>
    <row r="165" spans="1:28">
      <c r="A165" t="str">
        <f t="shared" si="2"/>
        <v>MRJorge Rodríguez21</v>
      </c>
      <c r="B165">
        <v>8645</v>
      </c>
      <c r="C165">
        <v>224</v>
      </c>
      <c r="D165" t="s">
        <v>1832</v>
      </c>
      <c r="E165" t="s">
        <v>1664</v>
      </c>
      <c r="F165">
        <v>0</v>
      </c>
      <c r="G165" s="10">
        <v>35224</v>
      </c>
      <c r="H165">
        <v>21</v>
      </c>
      <c r="I165" t="s">
        <v>1711</v>
      </c>
      <c r="J165" t="s">
        <v>2021</v>
      </c>
      <c r="K165">
        <v>5</v>
      </c>
      <c r="L165">
        <v>8</v>
      </c>
      <c r="M165">
        <v>1</v>
      </c>
      <c r="N165">
        <v>0</v>
      </c>
      <c r="O165">
        <v>0</v>
      </c>
      <c r="P165" s="8">
        <v>8.15</v>
      </c>
      <c r="Q165">
        <v>101</v>
      </c>
      <c r="R165">
        <v>0</v>
      </c>
      <c r="S165">
        <v>109.3</v>
      </c>
      <c r="T165">
        <v>166</v>
      </c>
      <c r="U165">
        <v>106</v>
      </c>
      <c r="V165">
        <v>99</v>
      </c>
      <c r="W165">
        <v>13</v>
      </c>
      <c r="X165">
        <v>83</v>
      </c>
      <c r="Y165">
        <v>81</v>
      </c>
      <c r="Z165" s="8">
        <v>2.2799999999999998</v>
      </c>
      <c r="AA165" s="9">
        <v>0.35499999999999998</v>
      </c>
      <c r="AB165" s="9">
        <v>0.40200000000000002</v>
      </c>
    </row>
    <row r="166" spans="1:28">
      <c r="A166" t="str">
        <f t="shared" si="2"/>
        <v>MRPaul Fisher18</v>
      </c>
      <c r="B166">
        <v>13738</v>
      </c>
      <c r="C166">
        <v>199</v>
      </c>
      <c r="D166" t="s">
        <v>1922</v>
      </c>
      <c r="E166" t="s">
        <v>1927</v>
      </c>
      <c r="F166">
        <v>0</v>
      </c>
      <c r="G166" s="10">
        <v>36652</v>
      </c>
      <c r="H166">
        <v>18</v>
      </c>
      <c r="I166" t="s">
        <v>1711</v>
      </c>
      <c r="J166" t="s">
        <v>2021</v>
      </c>
      <c r="K166">
        <v>11</v>
      </c>
      <c r="L166">
        <v>11</v>
      </c>
      <c r="M166">
        <v>1</v>
      </c>
      <c r="N166">
        <v>0</v>
      </c>
      <c r="O166">
        <v>0</v>
      </c>
      <c r="P166" s="8">
        <v>8.52</v>
      </c>
      <c r="Q166">
        <v>134</v>
      </c>
      <c r="R166">
        <v>0</v>
      </c>
      <c r="S166">
        <v>136.30000000000001</v>
      </c>
      <c r="T166">
        <v>212</v>
      </c>
      <c r="U166">
        <v>155</v>
      </c>
      <c r="V166">
        <v>129</v>
      </c>
      <c r="W166">
        <v>24</v>
      </c>
      <c r="X166">
        <v>94</v>
      </c>
      <c r="Y166">
        <v>80</v>
      </c>
      <c r="Z166" s="8">
        <v>2.2400000000000002</v>
      </c>
      <c r="AA166" s="9">
        <v>0.35299999999999998</v>
      </c>
      <c r="AB166" s="9">
        <v>0.371</v>
      </c>
    </row>
    <row r="167" spans="1:28">
      <c r="A167" t="str">
        <f t="shared" si="2"/>
        <v>SPStan Richmond21</v>
      </c>
      <c r="B167">
        <v>13911</v>
      </c>
      <c r="C167">
        <v>191</v>
      </c>
      <c r="D167" t="s">
        <v>1972</v>
      </c>
      <c r="E167" t="s">
        <v>195</v>
      </c>
      <c r="F167">
        <v>0</v>
      </c>
      <c r="G167" s="10">
        <v>35461</v>
      </c>
      <c r="H167">
        <v>21</v>
      </c>
      <c r="I167" t="s">
        <v>1711</v>
      </c>
      <c r="J167" t="s">
        <v>2003</v>
      </c>
      <c r="K167">
        <v>11</v>
      </c>
      <c r="L167">
        <v>3</v>
      </c>
      <c r="M167">
        <v>1</v>
      </c>
      <c r="N167">
        <v>0</v>
      </c>
      <c r="O167">
        <v>0</v>
      </c>
      <c r="P167" s="8">
        <v>6.02</v>
      </c>
      <c r="Q167">
        <v>50</v>
      </c>
      <c r="R167">
        <v>12</v>
      </c>
      <c r="S167">
        <v>113.7</v>
      </c>
      <c r="T167">
        <v>143</v>
      </c>
      <c r="U167">
        <v>79</v>
      </c>
      <c r="V167">
        <v>76</v>
      </c>
      <c r="W167">
        <v>8</v>
      </c>
      <c r="X167">
        <v>68</v>
      </c>
      <c r="Y167">
        <v>79</v>
      </c>
      <c r="Z167" s="8">
        <v>1.86</v>
      </c>
      <c r="AA167" s="9">
        <v>0.315</v>
      </c>
      <c r="AB167" s="9">
        <v>0.36399999999999999</v>
      </c>
    </row>
    <row r="168" spans="1:28">
      <c r="A168" t="str">
        <f t="shared" si="2"/>
        <v>MRFilip de Gast21</v>
      </c>
      <c r="B168">
        <v>1957</v>
      </c>
      <c r="C168">
        <v>416</v>
      </c>
      <c r="D168" t="s">
        <v>196</v>
      </c>
      <c r="E168" t="s">
        <v>197</v>
      </c>
      <c r="F168">
        <v>0</v>
      </c>
      <c r="G168" s="10">
        <v>35529</v>
      </c>
      <c r="H168">
        <v>21</v>
      </c>
      <c r="I168" t="s">
        <v>1711</v>
      </c>
      <c r="J168" t="s">
        <v>2021</v>
      </c>
      <c r="K168">
        <v>2</v>
      </c>
      <c r="L168">
        <v>6</v>
      </c>
      <c r="M168">
        <v>8</v>
      </c>
      <c r="N168">
        <v>0</v>
      </c>
      <c r="O168">
        <v>0</v>
      </c>
      <c r="P168" s="8">
        <v>6.86</v>
      </c>
      <c r="Q168">
        <v>91</v>
      </c>
      <c r="R168">
        <v>0</v>
      </c>
      <c r="S168">
        <v>98.3</v>
      </c>
      <c r="T168">
        <v>126</v>
      </c>
      <c r="U168">
        <v>83</v>
      </c>
      <c r="V168">
        <v>75</v>
      </c>
      <c r="W168">
        <v>15</v>
      </c>
      <c r="X168">
        <v>70</v>
      </c>
      <c r="Y168">
        <v>78</v>
      </c>
      <c r="Z168" s="8">
        <v>1.99</v>
      </c>
      <c r="AA168" s="9">
        <v>0.311</v>
      </c>
      <c r="AB168" s="9">
        <v>0.35</v>
      </c>
    </row>
    <row r="169" spans="1:28">
      <c r="A169" t="str">
        <f t="shared" si="2"/>
        <v>MRPancho González21</v>
      </c>
      <c r="B169">
        <v>2295</v>
      </c>
      <c r="C169">
        <v>289</v>
      </c>
      <c r="D169" t="s">
        <v>198</v>
      </c>
      <c r="E169" t="s">
        <v>1877</v>
      </c>
      <c r="F169">
        <v>0</v>
      </c>
      <c r="G169" s="10">
        <v>35297</v>
      </c>
      <c r="H169">
        <v>21</v>
      </c>
      <c r="I169" t="s">
        <v>1711</v>
      </c>
      <c r="J169" t="s">
        <v>2021</v>
      </c>
      <c r="K169">
        <v>4</v>
      </c>
      <c r="L169">
        <v>4</v>
      </c>
      <c r="M169">
        <v>2</v>
      </c>
      <c r="N169">
        <v>0</v>
      </c>
      <c r="O169">
        <v>0</v>
      </c>
      <c r="P169" s="8">
        <v>7.09</v>
      </c>
      <c r="Q169">
        <v>121</v>
      </c>
      <c r="R169">
        <v>0</v>
      </c>
      <c r="S169">
        <v>132</v>
      </c>
      <c r="T169">
        <v>183</v>
      </c>
      <c r="U169">
        <v>121</v>
      </c>
      <c r="V169">
        <v>104</v>
      </c>
      <c r="W169">
        <v>18</v>
      </c>
      <c r="X169">
        <v>99</v>
      </c>
      <c r="Y169">
        <v>78</v>
      </c>
      <c r="Z169" s="8">
        <v>2.14</v>
      </c>
      <c r="AA169" s="9">
        <v>0.33400000000000002</v>
      </c>
      <c r="AB169" s="9">
        <v>0.35299999999999998</v>
      </c>
    </row>
    <row r="170" spans="1:28">
      <c r="A170" t="str">
        <f t="shared" si="2"/>
        <v>MRRamiro González21</v>
      </c>
      <c r="B170">
        <v>2105</v>
      </c>
      <c r="C170">
        <v>370</v>
      </c>
      <c r="D170" t="s">
        <v>199</v>
      </c>
      <c r="E170" t="s">
        <v>1877</v>
      </c>
      <c r="F170">
        <v>0</v>
      </c>
      <c r="G170" s="10">
        <v>35278</v>
      </c>
      <c r="H170">
        <v>21</v>
      </c>
      <c r="I170" t="s">
        <v>1711</v>
      </c>
      <c r="J170" t="s">
        <v>2021</v>
      </c>
      <c r="K170">
        <v>5</v>
      </c>
      <c r="L170">
        <v>4</v>
      </c>
      <c r="M170">
        <v>3</v>
      </c>
      <c r="N170">
        <v>0</v>
      </c>
      <c r="O170">
        <v>0</v>
      </c>
      <c r="P170" s="8">
        <v>7.15</v>
      </c>
      <c r="Q170">
        <v>117</v>
      </c>
      <c r="R170">
        <v>1</v>
      </c>
      <c r="S170">
        <v>151</v>
      </c>
      <c r="T170">
        <v>213</v>
      </c>
      <c r="U170">
        <v>134</v>
      </c>
      <c r="V170">
        <v>120</v>
      </c>
      <c r="W170">
        <v>19</v>
      </c>
      <c r="X170">
        <v>83</v>
      </c>
      <c r="Y170">
        <v>77</v>
      </c>
      <c r="Z170" s="8">
        <v>1.96</v>
      </c>
      <c r="AA170" s="9">
        <v>0.33400000000000002</v>
      </c>
      <c r="AB170" s="9">
        <v>0.35399999999999998</v>
      </c>
    </row>
    <row r="171" spans="1:28">
      <c r="A171" t="str">
        <f t="shared" si="2"/>
        <v>MRRick Wilson18</v>
      </c>
      <c r="B171">
        <v>13802</v>
      </c>
      <c r="C171">
        <v>334</v>
      </c>
      <c r="D171" t="s">
        <v>339</v>
      </c>
      <c r="E171" t="s">
        <v>1884</v>
      </c>
      <c r="F171">
        <v>0</v>
      </c>
      <c r="G171" s="10">
        <v>36542</v>
      </c>
      <c r="H171">
        <v>18</v>
      </c>
      <c r="I171" t="s">
        <v>1711</v>
      </c>
      <c r="J171" t="s">
        <v>2021</v>
      </c>
      <c r="K171">
        <v>6</v>
      </c>
      <c r="L171">
        <v>5</v>
      </c>
      <c r="M171">
        <v>1</v>
      </c>
      <c r="N171">
        <v>0</v>
      </c>
      <c r="O171">
        <v>0</v>
      </c>
      <c r="P171" s="8">
        <v>10.72</v>
      </c>
      <c r="Q171">
        <v>106</v>
      </c>
      <c r="R171">
        <v>0</v>
      </c>
      <c r="S171">
        <v>106.7</v>
      </c>
      <c r="T171">
        <v>184</v>
      </c>
      <c r="U171">
        <v>144</v>
      </c>
      <c r="V171">
        <v>127</v>
      </c>
      <c r="W171">
        <v>11</v>
      </c>
      <c r="X171">
        <v>86</v>
      </c>
      <c r="Y171">
        <v>77</v>
      </c>
      <c r="Z171" s="8">
        <v>2.5299999999999998</v>
      </c>
      <c r="AA171" s="9">
        <v>0.379</v>
      </c>
      <c r="AB171" s="9">
        <v>0.42599999999999999</v>
      </c>
    </row>
    <row r="172" spans="1:28">
      <c r="A172" t="str">
        <f t="shared" si="2"/>
        <v>MRGeorge Beck21</v>
      </c>
      <c r="B172">
        <v>8756</v>
      </c>
      <c r="C172">
        <v>180</v>
      </c>
      <c r="D172" t="s">
        <v>1772</v>
      </c>
      <c r="E172" t="s">
        <v>1946</v>
      </c>
      <c r="F172">
        <v>0</v>
      </c>
      <c r="G172" s="10">
        <v>35246</v>
      </c>
      <c r="H172">
        <v>21</v>
      </c>
      <c r="I172" t="s">
        <v>1711</v>
      </c>
      <c r="J172" t="s">
        <v>2021</v>
      </c>
      <c r="K172">
        <v>8</v>
      </c>
      <c r="L172">
        <v>11</v>
      </c>
      <c r="M172">
        <v>0</v>
      </c>
      <c r="N172">
        <v>0</v>
      </c>
      <c r="O172">
        <v>0</v>
      </c>
      <c r="P172" s="8">
        <v>6.6</v>
      </c>
      <c r="Q172">
        <v>97</v>
      </c>
      <c r="R172">
        <v>1</v>
      </c>
      <c r="S172">
        <v>103.7</v>
      </c>
      <c r="T172">
        <v>136</v>
      </c>
      <c r="U172">
        <v>87</v>
      </c>
      <c r="V172">
        <v>76</v>
      </c>
      <c r="W172">
        <v>13</v>
      </c>
      <c r="X172">
        <v>62</v>
      </c>
      <c r="Y172">
        <v>75</v>
      </c>
      <c r="Z172" s="8">
        <v>1.91</v>
      </c>
      <c r="AA172" s="9">
        <v>0.308</v>
      </c>
      <c r="AB172" s="9">
        <v>0.34100000000000003</v>
      </c>
    </row>
    <row r="173" spans="1:28">
      <c r="A173" t="str">
        <f t="shared" si="2"/>
        <v>SPFrancisco Gonales21</v>
      </c>
      <c r="B173">
        <v>7512</v>
      </c>
      <c r="C173">
        <v>306</v>
      </c>
      <c r="D173" t="s">
        <v>1752</v>
      </c>
      <c r="E173" t="s">
        <v>200</v>
      </c>
      <c r="F173">
        <v>0</v>
      </c>
      <c r="G173" s="10">
        <v>35509</v>
      </c>
      <c r="H173">
        <v>21</v>
      </c>
      <c r="I173" t="s">
        <v>1711</v>
      </c>
      <c r="J173" t="s">
        <v>2003</v>
      </c>
      <c r="K173">
        <v>8</v>
      </c>
      <c r="L173">
        <v>11</v>
      </c>
      <c r="M173">
        <v>9</v>
      </c>
      <c r="N173">
        <v>0</v>
      </c>
      <c r="O173">
        <v>0</v>
      </c>
      <c r="P173" s="8">
        <v>7.28</v>
      </c>
      <c r="Q173">
        <v>45</v>
      </c>
      <c r="R173">
        <v>22</v>
      </c>
      <c r="S173">
        <v>136</v>
      </c>
      <c r="T173">
        <v>189</v>
      </c>
      <c r="U173">
        <v>114</v>
      </c>
      <c r="V173">
        <v>110</v>
      </c>
      <c r="W173">
        <v>12</v>
      </c>
      <c r="X173">
        <v>85</v>
      </c>
      <c r="Y173">
        <v>75</v>
      </c>
      <c r="Z173" s="8">
        <v>2.0099999999999998</v>
      </c>
      <c r="AA173" s="9">
        <v>0.33500000000000002</v>
      </c>
      <c r="AB173" s="9">
        <v>0.36599999999999999</v>
      </c>
    </row>
    <row r="174" spans="1:28">
      <c r="A174" t="str">
        <f t="shared" si="2"/>
        <v>SPDaniel Quillen18</v>
      </c>
      <c r="B174">
        <v>13816</v>
      </c>
      <c r="C174">
        <v>274</v>
      </c>
      <c r="D174" t="s">
        <v>1721</v>
      </c>
      <c r="E174" t="s">
        <v>204</v>
      </c>
      <c r="F174">
        <v>0</v>
      </c>
      <c r="G174" s="10">
        <v>36600</v>
      </c>
      <c r="H174">
        <v>18</v>
      </c>
      <c r="I174" t="s">
        <v>1711</v>
      </c>
      <c r="J174" t="s">
        <v>2003</v>
      </c>
      <c r="K174">
        <v>5</v>
      </c>
      <c r="L174">
        <v>6</v>
      </c>
      <c r="M174">
        <v>5</v>
      </c>
      <c r="N174">
        <v>0</v>
      </c>
      <c r="O174">
        <v>0</v>
      </c>
      <c r="P174" s="8">
        <v>7.38</v>
      </c>
      <c r="Q174">
        <v>114</v>
      </c>
      <c r="R174">
        <v>6</v>
      </c>
      <c r="S174">
        <v>142.69999999999999</v>
      </c>
      <c r="T174">
        <v>212</v>
      </c>
      <c r="U174">
        <v>139</v>
      </c>
      <c r="V174">
        <v>117</v>
      </c>
      <c r="W174">
        <v>13</v>
      </c>
      <c r="X174">
        <v>70</v>
      </c>
      <c r="Y174">
        <v>75</v>
      </c>
      <c r="Z174" s="8">
        <v>1.98</v>
      </c>
      <c r="AA174" s="9">
        <v>0.34499999999999997</v>
      </c>
      <c r="AB174" s="9">
        <v>0.37</v>
      </c>
    </row>
    <row r="175" spans="1:28">
      <c r="A175" t="str">
        <f t="shared" si="2"/>
        <v>MRMichael Burgess21</v>
      </c>
      <c r="B175">
        <v>2847</v>
      </c>
      <c r="C175">
        <v>357</v>
      </c>
      <c r="D175" t="s">
        <v>1841</v>
      </c>
      <c r="E175" t="s">
        <v>1955</v>
      </c>
      <c r="F175">
        <v>0</v>
      </c>
      <c r="G175" s="10">
        <v>35463</v>
      </c>
      <c r="H175">
        <v>21</v>
      </c>
      <c r="I175" t="s">
        <v>1711</v>
      </c>
      <c r="J175" t="s">
        <v>2021</v>
      </c>
      <c r="K175">
        <v>5</v>
      </c>
      <c r="L175">
        <v>7</v>
      </c>
      <c r="M175">
        <v>14</v>
      </c>
      <c r="N175">
        <v>0</v>
      </c>
      <c r="O175">
        <v>0</v>
      </c>
      <c r="P175" s="8">
        <v>8.93</v>
      </c>
      <c r="Q175">
        <v>84</v>
      </c>
      <c r="R175">
        <v>0</v>
      </c>
      <c r="S175">
        <v>84.7</v>
      </c>
      <c r="T175">
        <v>122</v>
      </c>
      <c r="U175">
        <v>86</v>
      </c>
      <c r="V175">
        <v>84</v>
      </c>
      <c r="W175">
        <v>18</v>
      </c>
      <c r="X175">
        <v>63</v>
      </c>
      <c r="Y175">
        <v>75</v>
      </c>
      <c r="Z175" s="8">
        <v>2.19</v>
      </c>
      <c r="AA175" s="9">
        <v>0.35299999999999998</v>
      </c>
      <c r="AB175" s="9">
        <v>0.40500000000000003</v>
      </c>
    </row>
    <row r="176" spans="1:28">
      <c r="A176" t="str">
        <f t="shared" si="2"/>
        <v>MRGilberto Ortíz18</v>
      </c>
      <c r="B176">
        <v>13758</v>
      </c>
      <c r="C176">
        <v>315</v>
      </c>
      <c r="D176" t="s">
        <v>202</v>
      </c>
      <c r="E176" t="s">
        <v>1858</v>
      </c>
      <c r="F176">
        <v>0</v>
      </c>
      <c r="G176" s="10">
        <v>36527</v>
      </c>
      <c r="H176">
        <v>18</v>
      </c>
      <c r="I176" t="s">
        <v>1711</v>
      </c>
      <c r="J176" t="s">
        <v>2021</v>
      </c>
      <c r="K176">
        <v>10</v>
      </c>
      <c r="L176">
        <v>13</v>
      </c>
      <c r="M176">
        <v>3</v>
      </c>
      <c r="N176">
        <v>0</v>
      </c>
      <c r="O176">
        <v>0</v>
      </c>
      <c r="P176" s="8">
        <v>12.56</v>
      </c>
      <c r="Q176">
        <v>133</v>
      </c>
      <c r="R176">
        <v>1</v>
      </c>
      <c r="S176">
        <v>149</v>
      </c>
      <c r="T176">
        <v>287</v>
      </c>
      <c r="U176">
        <v>225</v>
      </c>
      <c r="V176">
        <v>208</v>
      </c>
      <c r="W176">
        <v>24</v>
      </c>
      <c r="X176">
        <v>115</v>
      </c>
      <c r="Y176">
        <v>75</v>
      </c>
      <c r="Z176" s="8">
        <v>2.7</v>
      </c>
      <c r="AA176" s="9">
        <v>0.40500000000000003</v>
      </c>
      <c r="AB176" s="9">
        <v>0.42599999999999999</v>
      </c>
    </row>
    <row r="177" spans="1:28">
      <c r="A177" t="str">
        <f t="shared" si="2"/>
        <v>MREric Yates21</v>
      </c>
      <c r="B177">
        <v>13909</v>
      </c>
      <c r="C177">
        <v>238</v>
      </c>
      <c r="D177" t="s">
        <v>1968</v>
      </c>
      <c r="E177" t="s">
        <v>201</v>
      </c>
      <c r="F177">
        <v>0</v>
      </c>
      <c r="G177" s="10">
        <v>35502</v>
      </c>
      <c r="H177">
        <v>21</v>
      </c>
      <c r="I177" t="s">
        <v>1711</v>
      </c>
      <c r="J177" t="s">
        <v>2021</v>
      </c>
      <c r="K177">
        <v>7</v>
      </c>
      <c r="L177">
        <v>10</v>
      </c>
      <c r="M177">
        <v>12</v>
      </c>
      <c r="N177">
        <v>0</v>
      </c>
      <c r="O177">
        <v>0</v>
      </c>
      <c r="P177" s="8">
        <v>6.55</v>
      </c>
      <c r="Q177">
        <v>89</v>
      </c>
      <c r="R177">
        <v>12</v>
      </c>
      <c r="S177">
        <v>137.30000000000001</v>
      </c>
      <c r="T177">
        <v>174</v>
      </c>
      <c r="U177">
        <v>115</v>
      </c>
      <c r="V177">
        <v>100</v>
      </c>
      <c r="W177">
        <v>22</v>
      </c>
      <c r="X177">
        <v>81</v>
      </c>
      <c r="Y177">
        <v>74</v>
      </c>
      <c r="Z177" s="8">
        <v>1.86</v>
      </c>
      <c r="AA177" s="9">
        <v>0.311</v>
      </c>
      <c r="AB177" s="9">
        <v>0.32300000000000001</v>
      </c>
    </row>
    <row r="178" spans="1:28">
      <c r="A178" t="str">
        <f t="shared" si="2"/>
        <v>MRRob Lee21</v>
      </c>
      <c r="B178">
        <v>3003</v>
      </c>
      <c r="C178">
        <v>415</v>
      </c>
      <c r="D178" t="s">
        <v>1883</v>
      </c>
      <c r="E178" t="s">
        <v>1967</v>
      </c>
      <c r="F178">
        <v>0</v>
      </c>
      <c r="G178" s="10">
        <v>35484</v>
      </c>
      <c r="H178">
        <v>21</v>
      </c>
      <c r="I178" t="s">
        <v>1711</v>
      </c>
      <c r="J178" t="s">
        <v>2021</v>
      </c>
      <c r="K178">
        <v>8</v>
      </c>
      <c r="L178">
        <v>1</v>
      </c>
      <c r="M178">
        <v>2</v>
      </c>
      <c r="N178">
        <v>0</v>
      </c>
      <c r="O178">
        <v>0</v>
      </c>
      <c r="P178" s="8">
        <v>4.79</v>
      </c>
      <c r="Q178">
        <v>80</v>
      </c>
      <c r="R178">
        <v>0</v>
      </c>
      <c r="S178">
        <v>88.3</v>
      </c>
      <c r="T178">
        <v>103</v>
      </c>
      <c r="U178">
        <v>57</v>
      </c>
      <c r="V178">
        <v>47</v>
      </c>
      <c r="W178">
        <v>9</v>
      </c>
      <c r="X178">
        <v>44</v>
      </c>
      <c r="Y178">
        <v>73</v>
      </c>
      <c r="Z178" s="8">
        <v>1.66</v>
      </c>
      <c r="AA178" s="9">
        <v>0.28899999999999998</v>
      </c>
      <c r="AB178" s="9">
        <v>0.33700000000000002</v>
      </c>
    </row>
    <row r="179" spans="1:28">
      <c r="A179" t="str">
        <f t="shared" si="2"/>
        <v>MRAnderson Sheehan21</v>
      </c>
      <c r="B179">
        <v>3934</v>
      </c>
      <c r="C179">
        <v>258</v>
      </c>
      <c r="D179" t="s">
        <v>1667</v>
      </c>
      <c r="E179" t="s">
        <v>203</v>
      </c>
      <c r="F179">
        <v>0</v>
      </c>
      <c r="G179" s="10">
        <v>35470</v>
      </c>
      <c r="H179">
        <v>21</v>
      </c>
      <c r="I179" t="s">
        <v>1711</v>
      </c>
      <c r="J179" t="s">
        <v>2021</v>
      </c>
      <c r="K179">
        <v>9</v>
      </c>
      <c r="L179">
        <v>4</v>
      </c>
      <c r="M179">
        <v>3</v>
      </c>
      <c r="N179">
        <v>0</v>
      </c>
      <c r="O179">
        <v>0</v>
      </c>
      <c r="P179" s="8">
        <v>6.68</v>
      </c>
      <c r="Q179">
        <v>86</v>
      </c>
      <c r="R179">
        <v>3</v>
      </c>
      <c r="S179">
        <v>102.3</v>
      </c>
      <c r="T179">
        <v>126</v>
      </c>
      <c r="U179">
        <v>84</v>
      </c>
      <c r="V179">
        <v>76</v>
      </c>
      <c r="W179">
        <v>12</v>
      </c>
      <c r="X179">
        <v>70</v>
      </c>
      <c r="Y179">
        <v>72</v>
      </c>
      <c r="Z179" s="8">
        <v>1.92</v>
      </c>
      <c r="AA179" s="9">
        <v>0.308</v>
      </c>
      <c r="AB179" s="9">
        <v>0.34599999999999997</v>
      </c>
    </row>
    <row r="180" spans="1:28">
      <c r="A180" t="str">
        <f t="shared" si="2"/>
        <v>SPKarl Jordan21</v>
      </c>
      <c r="B180">
        <v>2396</v>
      </c>
      <c r="C180">
        <v>316</v>
      </c>
      <c r="D180" t="s">
        <v>1861</v>
      </c>
      <c r="E180" t="s">
        <v>1785</v>
      </c>
      <c r="F180">
        <v>0</v>
      </c>
      <c r="G180" s="10">
        <v>35355</v>
      </c>
      <c r="H180">
        <v>21</v>
      </c>
      <c r="I180" t="s">
        <v>1711</v>
      </c>
      <c r="J180" t="s">
        <v>2003</v>
      </c>
      <c r="K180">
        <v>4</v>
      </c>
      <c r="L180">
        <v>8</v>
      </c>
      <c r="M180">
        <v>0</v>
      </c>
      <c r="N180">
        <v>0</v>
      </c>
      <c r="O180">
        <v>0</v>
      </c>
      <c r="P180" s="8">
        <v>6.8</v>
      </c>
      <c r="Q180">
        <v>49</v>
      </c>
      <c r="R180">
        <v>18</v>
      </c>
      <c r="S180">
        <v>131</v>
      </c>
      <c r="T180">
        <v>162</v>
      </c>
      <c r="U180">
        <v>109</v>
      </c>
      <c r="V180">
        <v>99</v>
      </c>
      <c r="W180">
        <v>17</v>
      </c>
      <c r="X180">
        <v>95</v>
      </c>
      <c r="Y180">
        <v>72</v>
      </c>
      <c r="Z180" s="8">
        <v>1.96</v>
      </c>
      <c r="AA180" s="9">
        <v>0.30199999999999999</v>
      </c>
      <c r="AB180" s="9">
        <v>0.32100000000000001</v>
      </c>
    </row>
    <row r="181" spans="1:28">
      <c r="A181" t="str">
        <f t="shared" si="2"/>
        <v>SPJudd Alexander21</v>
      </c>
      <c r="B181">
        <v>9377</v>
      </c>
      <c r="C181">
        <v>216</v>
      </c>
      <c r="D181" t="s">
        <v>205</v>
      </c>
      <c r="E181" t="s">
        <v>408</v>
      </c>
      <c r="F181">
        <v>0</v>
      </c>
      <c r="G181" s="10">
        <v>35481</v>
      </c>
      <c r="H181">
        <v>21</v>
      </c>
      <c r="I181" t="s">
        <v>1711</v>
      </c>
      <c r="J181" t="s">
        <v>2003</v>
      </c>
      <c r="K181">
        <v>4</v>
      </c>
      <c r="L181">
        <v>14</v>
      </c>
      <c r="M181">
        <v>1</v>
      </c>
      <c r="N181">
        <v>0</v>
      </c>
      <c r="O181">
        <v>0</v>
      </c>
      <c r="P181" s="8">
        <v>8.74</v>
      </c>
      <c r="Q181">
        <v>30</v>
      </c>
      <c r="R181">
        <v>26</v>
      </c>
      <c r="S181">
        <v>124.7</v>
      </c>
      <c r="T181">
        <v>192</v>
      </c>
      <c r="U181">
        <v>135</v>
      </c>
      <c r="V181">
        <v>121</v>
      </c>
      <c r="W181">
        <v>14</v>
      </c>
      <c r="X181">
        <v>89</v>
      </c>
      <c r="Y181">
        <v>72</v>
      </c>
      <c r="Z181" s="8">
        <v>2.25</v>
      </c>
      <c r="AA181" s="9">
        <v>0.35</v>
      </c>
      <c r="AB181" s="9">
        <v>0.38</v>
      </c>
    </row>
    <row r="182" spans="1:28">
      <c r="A182" t="str">
        <f t="shared" si="2"/>
        <v>MREdmond Pals21</v>
      </c>
      <c r="B182">
        <v>6410</v>
      </c>
      <c r="C182">
        <v>137</v>
      </c>
      <c r="D182" t="s">
        <v>206</v>
      </c>
      <c r="E182" t="s">
        <v>207</v>
      </c>
      <c r="F182">
        <v>0</v>
      </c>
      <c r="G182" s="10">
        <v>35545</v>
      </c>
      <c r="H182">
        <v>21</v>
      </c>
      <c r="I182" t="s">
        <v>1711</v>
      </c>
      <c r="J182" t="s">
        <v>2021</v>
      </c>
      <c r="K182">
        <v>11</v>
      </c>
      <c r="L182">
        <v>12</v>
      </c>
      <c r="M182">
        <v>1</v>
      </c>
      <c r="N182">
        <v>0</v>
      </c>
      <c r="O182">
        <v>0</v>
      </c>
      <c r="P182" s="8">
        <v>6.99</v>
      </c>
      <c r="Q182">
        <v>62</v>
      </c>
      <c r="R182">
        <v>22</v>
      </c>
      <c r="S182">
        <v>143</v>
      </c>
      <c r="T182">
        <v>190</v>
      </c>
      <c r="U182">
        <v>126</v>
      </c>
      <c r="V182">
        <v>111</v>
      </c>
      <c r="W182">
        <v>8</v>
      </c>
      <c r="X182">
        <v>84</v>
      </c>
      <c r="Y182">
        <v>70</v>
      </c>
      <c r="Z182" s="8">
        <v>1.92</v>
      </c>
      <c r="AA182" s="9">
        <v>0.318</v>
      </c>
      <c r="AB182" s="9">
        <v>0.34599999999999997</v>
      </c>
    </row>
    <row r="183" spans="1:28">
      <c r="A183" t="str">
        <f t="shared" si="2"/>
        <v>MRSergio Sandoval18</v>
      </c>
      <c r="B183">
        <v>13799</v>
      </c>
      <c r="C183">
        <v>322</v>
      </c>
      <c r="D183" t="s">
        <v>1887</v>
      </c>
      <c r="E183" t="s">
        <v>1853</v>
      </c>
      <c r="F183">
        <v>0</v>
      </c>
      <c r="G183" s="10">
        <v>36630</v>
      </c>
      <c r="H183">
        <v>18</v>
      </c>
      <c r="I183" t="s">
        <v>1711</v>
      </c>
      <c r="J183" t="s">
        <v>2021</v>
      </c>
      <c r="K183">
        <v>8</v>
      </c>
      <c r="L183">
        <v>10</v>
      </c>
      <c r="M183">
        <v>1</v>
      </c>
      <c r="N183">
        <v>0</v>
      </c>
      <c r="O183">
        <v>0</v>
      </c>
      <c r="P183" s="8">
        <v>7.57</v>
      </c>
      <c r="Q183">
        <v>116</v>
      </c>
      <c r="R183">
        <v>11</v>
      </c>
      <c r="S183">
        <v>165.3</v>
      </c>
      <c r="T183">
        <v>236</v>
      </c>
      <c r="U183">
        <v>159</v>
      </c>
      <c r="V183">
        <v>139</v>
      </c>
      <c r="W183">
        <v>22</v>
      </c>
      <c r="X183">
        <v>105</v>
      </c>
      <c r="Y183">
        <v>70</v>
      </c>
      <c r="Z183" s="8">
        <v>2.06</v>
      </c>
      <c r="AA183" s="9">
        <v>0.34200000000000003</v>
      </c>
      <c r="AB183" s="9">
        <v>0.34699999999999998</v>
      </c>
    </row>
    <row r="184" spans="1:28">
      <c r="A184" t="str">
        <f t="shared" si="2"/>
        <v>MRJack Miller21</v>
      </c>
      <c r="B184">
        <v>2958</v>
      </c>
      <c r="C184">
        <v>388</v>
      </c>
      <c r="D184" t="s">
        <v>1856</v>
      </c>
      <c r="E184" t="s">
        <v>1892</v>
      </c>
      <c r="F184">
        <v>0</v>
      </c>
      <c r="G184" s="10">
        <v>35408</v>
      </c>
      <c r="H184">
        <v>21</v>
      </c>
      <c r="I184" t="s">
        <v>1711</v>
      </c>
      <c r="J184" t="s">
        <v>2021</v>
      </c>
      <c r="K184">
        <v>5</v>
      </c>
      <c r="L184">
        <v>4</v>
      </c>
      <c r="M184">
        <v>3</v>
      </c>
      <c r="N184">
        <v>0</v>
      </c>
      <c r="O184">
        <v>0</v>
      </c>
      <c r="P184" s="8">
        <v>7.79</v>
      </c>
      <c r="Q184">
        <v>87</v>
      </c>
      <c r="R184">
        <v>0</v>
      </c>
      <c r="S184">
        <v>84.3</v>
      </c>
      <c r="T184">
        <v>110</v>
      </c>
      <c r="U184">
        <v>75</v>
      </c>
      <c r="V184">
        <v>73</v>
      </c>
      <c r="W184">
        <v>8</v>
      </c>
      <c r="X184">
        <v>67</v>
      </c>
      <c r="Y184">
        <v>70</v>
      </c>
      <c r="Z184" s="8">
        <v>2.1</v>
      </c>
      <c r="AA184" s="9">
        <v>0.33</v>
      </c>
      <c r="AB184" s="9">
        <v>0.38600000000000001</v>
      </c>
    </row>
    <row r="185" spans="1:28">
      <c r="A185" t="str">
        <f t="shared" si="2"/>
        <v>MRKen Mullen21</v>
      </c>
      <c r="B185">
        <v>1996</v>
      </c>
      <c r="C185">
        <v>288</v>
      </c>
      <c r="D185" t="s">
        <v>1852</v>
      </c>
      <c r="E185" t="s">
        <v>208</v>
      </c>
      <c r="F185">
        <v>0</v>
      </c>
      <c r="G185" s="10">
        <v>35518</v>
      </c>
      <c r="H185">
        <v>21</v>
      </c>
      <c r="I185" t="s">
        <v>1711</v>
      </c>
      <c r="J185" t="s">
        <v>2021</v>
      </c>
      <c r="K185">
        <v>7</v>
      </c>
      <c r="L185">
        <v>5</v>
      </c>
      <c r="M185">
        <v>2</v>
      </c>
      <c r="N185">
        <v>0</v>
      </c>
      <c r="O185">
        <v>0</v>
      </c>
      <c r="P185" s="8">
        <v>8.19</v>
      </c>
      <c r="Q185">
        <v>103</v>
      </c>
      <c r="R185">
        <v>0</v>
      </c>
      <c r="S185">
        <v>107.7</v>
      </c>
      <c r="T185">
        <v>146</v>
      </c>
      <c r="U185">
        <v>120</v>
      </c>
      <c r="V185">
        <v>98</v>
      </c>
      <c r="W185">
        <v>13</v>
      </c>
      <c r="X185">
        <v>82</v>
      </c>
      <c r="Y185">
        <v>70</v>
      </c>
      <c r="Z185" s="8">
        <v>2.12</v>
      </c>
      <c r="AA185" s="9">
        <v>0.32</v>
      </c>
      <c r="AB185" s="9">
        <v>0.35299999999999998</v>
      </c>
    </row>
    <row r="186" spans="1:28">
      <c r="A186" t="str">
        <f t="shared" si="2"/>
        <v>SPWillis Warren18</v>
      </c>
      <c r="B186">
        <v>13761</v>
      </c>
      <c r="C186">
        <v>223</v>
      </c>
      <c r="D186" t="s">
        <v>209</v>
      </c>
      <c r="E186" t="s">
        <v>1782</v>
      </c>
      <c r="F186">
        <v>0</v>
      </c>
      <c r="G186" s="10">
        <v>36667</v>
      </c>
      <c r="H186">
        <v>18</v>
      </c>
      <c r="I186" t="s">
        <v>1711</v>
      </c>
      <c r="J186" t="s">
        <v>2003</v>
      </c>
      <c r="K186">
        <v>7</v>
      </c>
      <c r="L186">
        <v>10</v>
      </c>
      <c r="M186">
        <v>0</v>
      </c>
      <c r="N186">
        <v>0</v>
      </c>
      <c r="O186">
        <v>0</v>
      </c>
      <c r="P186" s="8">
        <v>8.85</v>
      </c>
      <c r="Q186">
        <v>27</v>
      </c>
      <c r="R186">
        <v>27</v>
      </c>
      <c r="S186">
        <v>118</v>
      </c>
      <c r="T186">
        <v>175</v>
      </c>
      <c r="U186">
        <v>123</v>
      </c>
      <c r="V186">
        <v>116</v>
      </c>
      <c r="W186">
        <v>15</v>
      </c>
      <c r="X186">
        <v>72</v>
      </c>
      <c r="Y186">
        <v>70</v>
      </c>
      <c r="Z186" s="8">
        <v>2.09</v>
      </c>
      <c r="AA186" s="9">
        <v>0.34899999999999998</v>
      </c>
      <c r="AB186" s="9">
        <v>0.375</v>
      </c>
    </row>
    <row r="187" spans="1:28">
      <c r="A187" t="str">
        <f t="shared" si="2"/>
        <v>MRDarwin Miller18</v>
      </c>
      <c r="B187">
        <v>13842</v>
      </c>
      <c r="C187">
        <v>194</v>
      </c>
      <c r="D187" t="s">
        <v>210</v>
      </c>
      <c r="E187" t="s">
        <v>1892</v>
      </c>
      <c r="F187">
        <v>0</v>
      </c>
      <c r="G187" s="10">
        <v>36515</v>
      </c>
      <c r="H187">
        <v>18</v>
      </c>
      <c r="I187" t="s">
        <v>1711</v>
      </c>
      <c r="J187" t="s">
        <v>2021</v>
      </c>
      <c r="K187">
        <v>3</v>
      </c>
      <c r="L187">
        <v>3</v>
      </c>
      <c r="M187">
        <v>1</v>
      </c>
      <c r="N187">
        <v>0</v>
      </c>
      <c r="O187">
        <v>0</v>
      </c>
      <c r="P187" s="8">
        <v>10.02</v>
      </c>
      <c r="Q187">
        <v>102</v>
      </c>
      <c r="R187">
        <v>0</v>
      </c>
      <c r="S187">
        <v>108.7</v>
      </c>
      <c r="T187">
        <v>186</v>
      </c>
      <c r="U187">
        <v>140</v>
      </c>
      <c r="V187">
        <v>121</v>
      </c>
      <c r="W187">
        <v>24</v>
      </c>
      <c r="X187">
        <v>81</v>
      </c>
      <c r="Y187">
        <v>69</v>
      </c>
      <c r="Z187" s="8">
        <v>2.46</v>
      </c>
      <c r="AA187" s="9">
        <v>0.376</v>
      </c>
      <c r="AB187" s="9">
        <v>0.39500000000000002</v>
      </c>
    </row>
    <row r="188" spans="1:28">
      <c r="A188" t="str">
        <f t="shared" si="2"/>
        <v>MRRamón Rodríguez21</v>
      </c>
      <c r="B188">
        <v>7318</v>
      </c>
      <c r="C188">
        <v>63</v>
      </c>
      <c r="D188" t="s">
        <v>1757</v>
      </c>
      <c r="E188" t="s">
        <v>1664</v>
      </c>
      <c r="F188">
        <v>0</v>
      </c>
      <c r="G188" s="10">
        <v>35235</v>
      </c>
      <c r="H188">
        <v>21</v>
      </c>
      <c r="I188" t="s">
        <v>1711</v>
      </c>
      <c r="J188" t="s">
        <v>2021</v>
      </c>
      <c r="K188">
        <v>7</v>
      </c>
      <c r="L188">
        <v>6</v>
      </c>
      <c r="M188">
        <v>1</v>
      </c>
      <c r="N188">
        <v>0</v>
      </c>
      <c r="O188">
        <v>0</v>
      </c>
      <c r="P188" s="8">
        <v>7.67</v>
      </c>
      <c r="Q188">
        <v>122</v>
      </c>
      <c r="R188">
        <v>0</v>
      </c>
      <c r="S188">
        <v>135</v>
      </c>
      <c r="T188">
        <v>187</v>
      </c>
      <c r="U188">
        <v>119</v>
      </c>
      <c r="V188">
        <v>115</v>
      </c>
      <c r="W188">
        <v>26</v>
      </c>
      <c r="X188">
        <v>94</v>
      </c>
      <c r="Y188">
        <v>68</v>
      </c>
      <c r="Z188" s="8">
        <v>2.08</v>
      </c>
      <c r="AA188" s="9">
        <v>0.33500000000000002</v>
      </c>
      <c r="AB188" s="9">
        <v>0.33900000000000002</v>
      </c>
    </row>
    <row r="189" spans="1:28">
      <c r="A189" t="str">
        <f t="shared" si="2"/>
        <v>SPWill Sutherland21</v>
      </c>
      <c r="B189">
        <v>5872</v>
      </c>
      <c r="C189">
        <v>61</v>
      </c>
      <c r="D189" t="s">
        <v>544</v>
      </c>
      <c r="E189" t="s">
        <v>211</v>
      </c>
      <c r="F189">
        <v>0</v>
      </c>
      <c r="G189" s="10">
        <v>35468</v>
      </c>
      <c r="H189">
        <v>21</v>
      </c>
      <c r="I189" t="s">
        <v>1711</v>
      </c>
      <c r="J189" t="s">
        <v>2003</v>
      </c>
      <c r="K189">
        <v>2</v>
      </c>
      <c r="L189">
        <v>8</v>
      </c>
      <c r="M189">
        <v>1</v>
      </c>
      <c r="N189">
        <v>0</v>
      </c>
      <c r="O189">
        <v>0</v>
      </c>
      <c r="P189" s="8">
        <v>12.85</v>
      </c>
      <c r="Q189">
        <v>86</v>
      </c>
      <c r="R189">
        <v>11</v>
      </c>
      <c r="S189">
        <v>111.3</v>
      </c>
      <c r="T189">
        <v>196</v>
      </c>
      <c r="U189">
        <v>173</v>
      </c>
      <c r="V189">
        <v>159</v>
      </c>
      <c r="W189">
        <v>22</v>
      </c>
      <c r="X189">
        <v>102</v>
      </c>
      <c r="Y189">
        <v>67</v>
      </c>
      <c r="Z189" s="8">
        <v>2.68</v>
      </c>
      <c r="AA189" s="9">
        <v>0.38600000000000001</v>
      </c>
      <c r="AB189" s="9">
        <v>0.40600000000000003</v>
      </c>
    </row>
    <row r="190" spans="1:28">
      <c r="A190" t="str">
        <f t="shared" si="2"/>
        <v>MRBrooks Bates21</v>
      </c>
      <c r="B190">
        <v>4159</v>
      </c>
      <c r="C190">
        <v>75</v>
      </c>
      <c r="D190" t="s">
        <v>212</v>
      </c>
      <c r="E190" t="s">
        <v>213</v>
      </c>
      <c r="F190">
        <v>0</v>
      </c>
      <c r="G190" s="10">
        <v>35421</v>
      </c>
      <c r="H190">
        <v>21</v>
      </c>
      <c r="I190" t="s">
        <v>1711</v>
      </c>
      <c r="J190" t="s">
        <v>2021</v>
      </c>
      <c r="K190">
        <v>7</v>
      </c>
      <c r="L190">
        <v>4</v>
      </c>
      <c r="M190">
        <v>3</v>
      </c>
      <c r="N190">
        <v>0</v>
      </c>
      <c r="O190">
        <v>0</v>
      </c>
      <c r="P190" s="8">
        <v>8.33</v>
      </c>
      <c r="Q190">
        <v>116</v>
      </c>
      <c r="R190">
        <v>0</v>
      </c>
      <c r="S190">
        <v>135</v>
      </c>
      <c r="T190">
        <v>204</v>
      </c>
      <c r="U190">
        <v>137</v>
      </c>
      <c r="V190">
        <v>125</v>
      </c>
      <c r="W190">
        <v>26</v>
      </c>
      <c r="X190">
        <v>84</v>
      </c>
      <c r="Y190">
        <v>66</v>
      </c>
      <c r="Z190" s="8">
        <v>2.13</v>
      </c>
      <c r="AA190" s="9">
        <v>0.35499999999999998</v>
      </c>
      <c r="AB190" s="9">
        <v>0.36199999999999999</v>
      </c>
    </row>
    <row r="191" spans="1:28">
      <c r="A191" t="str">
        <f t="shared" si="2"/>
        <v>MRCarl Lilly21</v>
      </c>
      <c r="B191">
        <v>9250</v>
      </c>
      <c r="C191">
        <v>38</v>
      </c>
      <c r="D191" t="s">
        <v>1741</v>
      </c>
      <c r="E191" t="s">
        <v>389</v>
      </c>
      <c r="F191">
        <v>0</v>
      </c>
      <c r="G191" s="10">
        <v>35463</v>
      </c>
      <c r="H191">
        <v>21</v>
      </c>
      <c r="I191" t="s">
        <v>1711</v>
      </c>
      <c r="J191" t="s">
        <v>2021</v>
      </c>
      <c r="K191">
        <v>6</v>
      </c>
      <c r="L191">
        <v>2</v>
      </c>
      <c r="M191">
        <v>0</v>
      </c>
      <c r="N191">
        <v>0</v>
      </c>
      <c r="O191">
        <v>0</v>
      </c>
      <c r="P191" s="8">
        <v>6.72</v>
      </c>
      <c r="Q191">
        <v>69</v>
      </c>
      <c r="R191">
        <v>2</v>
      </c>
      <c r="S191">
        <v>85.7</v>
      </c>
      <c r="T191">
        <v>119</v>
      </c>
      <c r="U191">
        <v>65</v>
      </c>
      <c r="V191">
        <v>64</v>
      </c>
      <c r="W191">
        <v>12</v>
      </c>
      <c r="X191">
        <v>76</v>
      </c>
      <c r="Y191">
        <v>65</v>
      </c>
      <c r="Z191" s="8">
        <v>2.2799999999999998</v>
      </c>
      <c r="AA191" s="9">
        <v>0.33100000000000002</v>
      </c>
      <c r="AB191" s="9">
        <v>0.375</v>
      </c>
    </row>
    <row r="192" spans="1:28">
      <c r="A192" t="str">
        <f t="shared" si="2"/>
        <v>MRRobun Mori21</v>
      </c>
      <c r="B192">
        <v>3234</v>
      </c>
      <c r="C192">
        <v>184</v>
      </c>
      <c r="D192" t="s">
        <v>214</v>
      </c>
      <c r="E192" t="s">
        <v>215</v>
      </c>
      <c r="F192">
        <v>0</v>
      </c>
      <c r="G192" s="10">
        <v>35543</v>
      </c>
      <c r="H192">
        <v>21</v>
      </c>
      <c r="I192" t="s">
        <v>1711</v>
      </c>
      <c r="J192" t="s">
        <v>2021</v>
      </c>
      <c r="K192">
        <v>9</v>
      </c>
      <c r="L192">
        <v>8</v>
      </c>
      <c r="M192">
        <v>3</v>
      </c>
      <c r="N192">
        <v>0</v>
      </c>
      <c r="O192">
        <v>0</v>
      </c>
      <c r="P192" s="8">
        <v>9.98</v>
      </c>
      <c r="Q192">
        <v>87</v>
      </c>
      <c r="R192">
        <v>0</v>
      </c>
      <c r="S192">
        <v>110</v>
      </c>
      <c r="T192">
        <v>172</v>
      </c>
      <c r="U192">
        <v>135</v>
      </c>
      <c r="V192">
        <v>122</v>
      </c>
      <c r="W192">
        <v>23</v>
      </c>
      <c r="X192">
        <v>70</v>
      </c>
      <c r="Y192">
        <v>65</v>
      </c>
      <c r="Z192" s="8">
        <v>2.2000000000000002</v>
      </c>
      <c r="AA192" s="9">
        <v>0.36</v>
      </c>
      <c r="AB192" s="9">
        <v>0.374</v>
      </c>
    </row>
    <row r="193" spans="1:28">
      <c r="A193" t="str">
        <f t="shared" si="2"/>
        <v>SPJosé Bautista18</v>
      </c>
      <c r="B193">
        <v>211</v>
      </c>
      <c r="C193">
        <v>259</v>
      </c>
      <c r="D193" t="s">
        <v>1849</v>
      </c>
      <c r="E193" t="s">
        <v>217</v>
      </c>
      <c r="F193">
        <v>0</v>
      </c>
      <c r="G193" s="10">
        <v>36483</v>
      </c>
      <c r="H193">
        <v>18</v>
      </c>
      <c r="I193" t="s">
        <v>1711</v>
      </c>
      <c r="J193" t="s">
        <v>2003</v>
      </c>
      <c r="K193">
        <v>5</v>
      </c>
      <c r="L193">
        <v>6</v>
      </c>
      <c r="M193">
        <v>2</v>
      </c>
      <c r="N193">
        <v>1</v>
      </c>
      <c r="O193">
        <v>0</v>
      </c>
      <c r="P193" s="8">
        <v>6.95</v>
      </c>
      <c r="Q193">
        <v>44</v>
      </c>
      <c r="R193">
        <v>14</v>
      </c>
      <c r="S193">
        <v>114</v>
      </c>
      <c r="T193">
        <v>155</v>
      </c>
      <c r="U193">
        <v>93</v>
      </c>
      <c r="V193">
        <v>88</v>
      </c>
      <c r="W193">
        <v>9</v>
      </c>
      <c r="X193">
        <v>68</v>
      </c>
      <c r="Y193">
        <v>64</v>
      </c>
      <c r="Z193" s="8">
        <v>1.96</v>
      </c>
      <c r="AA193" s="9">
        <v>0.32700000000000001</v>
      </c>
      <c r="AB193" s="9">
        <v>0.35699999999999998</v>
      </c>
    </row>
    <row r="194" spans="1:28">
      <c r="A194" t="str">
        <f t="shared" si="2"/>
        <v>SPKeith Neal21</v>
      </c>
      <c r="B194">
        <v>3028</v>
      </c>
      <c r="C194">
        <v>149</v>
      </c>
      <c r="D194" t="s">
        <v>1961</v>
      </c>
      <c r="E194" t="s">
        <v>1684</v>
      </c>
      <c r="F194">
        <v>0</v>
      </c>
      <c r="G194" s="10">
        <v>35483</v>
      </c>
      <c r="H194">
        <v>21</v>
      </c>
      <c r="I194" t="s">
        <v>1711</v>
      </c>
      <c r="J194" t="s">
        <v>2003</v>
      </c>
      <c r="K194">
        <v>5</v>
      </c>
      <c r="L194">
        <v>10</v>
      </c>
      <c r="M194">
        <v>0</v>
      </c>
      <c r="N194">
        <v>0</v>
      </c>
      <c r="O194">
        <v>0</v>
      </c>
      <c r="P194" s="8">
        <v>7.81</v>
      </c>
      <c r="Q194">
        <v>22</v>
      </c>
      <c r="R194">
        <v>22</v>
      </c>
      <c r="S194">
        <v>95.7</v>
      </c>
      <c r="T194">
        <v>140</v>
      </c>
      <c r="U194">
        <v>101</v>
      </c>
      <c r="V194">
        <v>83</v>
      </c>
      <c r="W194">
        <v>19</v>
      </c>
      <c r="X194">
        <v>60</v>
      </c>
      <c r="Y194">
        <v>64</v>
      </c>
      <c r="Z194" s="8">
        <v>2.09</v>
      </c>
      <c r="AA194" s="9">
        <v>0.33800000000000002</v>
      </c>
      <c r="AB194" s="9">
        <v>0.35899999999999999</v>
      </c>
    </row>
    <row r="195" spans="1:28">
      <c r="A195" t="str">
        <f t="shared" ref="A195:A243" si="3">J195&amp;D195&amp;" "&amp;E195&amp;H195</f>
        <v>SPDan McClain18</v>
      </c>
      <c r="B195">
        <v>1104</v>
      </c>
      <c r="C195">
        <v>175</v>
      </c>
      <c r="D195" t="s">
        <v>1939</v>
      </c>
      <c r="E195" t="s">
        <v>216</v>
      </c>
      <c r="F195">
        <v>0</v>
      </c>
      <c r="G195" s="10">
        <v>36331</v>
      </c>
      <c r="H195">
        <v>18</v>
      </c>
      <c r="I195" t="s">
        <v>1711</v>
      </c>
      <c r="J195" t="s">
        <v>2003</v>
      </c>
      <c r="K195">
        <v>3</v>
      </c>
      <c r="L195">
        <v>5</v>
      </c>
      <c r="M195">
        <v>18</v>
      </c>
      <c r="N195">
        <v>0</v>
      </c>
      <c r="O195">
        <v>0</v>
      </c>
      <c r="P195" s="8">
        <v>3.32</v>
      </c>
      <c r="Q195">
        <v>39</v>
      </c>
      <c r="R195">
        <v>11</v>
      </c>
      <c r="S195">
        <v>84</v>
      </c>
      <c r="T195">
        <v>95</v>
      </c>
      <c r="U195">
        <v>41</v>
      </c>
      <c r="V195">
        <v>31</v>
      </c>
      <c r="W195">
        <v>9</v>
      </c>
      <c r="X195">
        <v>18</v>
      </c>
      <c r="Y195">
        <v>62</v>
      </c>
      <c r="Z195" s="8">
        <v>1.35</v>
      </c>
      <c r="AA195" s="9">
        <v>0.27300000000000002</v>
      </c>
      <c r="AB195" s="9">
        <v>0.307</v>
      </c>
    </row>
    <row r="196" spans="1:28">
      <c r="A196" t="str">
        <f t="shared" si="3"/>
        <v>MRRoberto Hernández18</v>
      </c>
      <c r="B196">
        <v>13747</v>
      </c>
      <c r="C196">
        <v>189</v>
      </c>
      <c r="D196" t="s">
        <v>471</v>
      </c>
      <c r="E196" t="s">
        <v>1885</v>
      </c>
      <c r="F196">
        <v>0</v>
      </c>
      <c r="G196" s="10">
        <v>36431</v>
      </c>
      <c r="H196">
        <v>18</v>
      </c>
      <c r="I196" t="s">
        <v>1711</v>
      </c>
      <c r="J196" t="s">
        <v>2021</v>
      </c>
      <c r="K196">
        <v>9</v>
      </c>
      <c r="L196">
        <v>2</v>
      </c>
      <c r="M196">
        <v>3</v>
      </c>
      <c r="N196">
        <v>0</v>
      </c>
      <c r="O196">
        <v>0</v>
      </c>
      <c r="P196" s="8">
        <v>6.18</v>
      </c>
      <c r="Q196">
        <v>58</v>
      </c>
      <c r="R196">
        <v>0</v>
      </c>
      <c r="S196">
        <v>67</v>
      </c>
      <c r="T196">
        <v>92</v>
      </c>
      <c r="U196">
        <v>57</v>
      </c>
      <c r="V196">
        <v>46</v>
      </c>
      <c r="W196">
        <v>16</v>
      </c>
      <c r="X196">
        <v>34</v>
      </c>
      <c r="Y196">
        <v>62</v>
      </c>
      <c r="Z196" s="8">
        <v>1.88</v>
      </c>
      <c r="AA196" s="9">
        <v>0.316</v>
      </c>
      <c r="AB196" s="9">
        <v>0.35499999999999998</v>
      </c>
    </row>
    <row r="197" spans="1:28">
      <c r="A197" t="str">
        <f t="shared" si="3"/>
        <v>MRMarcos Quintana20</v>
      </c>
      <c r="B197">
        <v>7823</v>
      </c>
      <c r="C197">
        <v>119</v>
      </c>
      <c r="D197" t="s">
        <v>497</v>
      </c>
      <c r="E197" t="s">
        <v>218</v>
      </c>
      <c r="F197">
        <v>0</v>
      </c>
      <c r="G197" s="10">
        <v>35581</v>
      </c>
      <c r="H197">
        <v>20</v>
      </c>
      <c r="I197" t="s">
        <v>1711</v>
      </c>
      <c r="J197" t="s">
        <v>2021</v>
      </c>
      <c r="K197">
        <v>7</v>
      </c>
      <c r="L197">
        <v>5</v>
      </c>
      <c r="M197">
        <v>0</v>
      </c>
      <c r="N197">
        <v>0</v>
      </c>
      <c r="O197">
        <v>0</v>
      </c>
      <c r="P197" s="8">
        <v>8.49</v>
      </c>
      <c r="Q197">
        <v>20</v>
      </c>
      <c r="R197">
        <v>20</v>
      </c>
      <c r="S197">
        <v>99.7</v>
      </c>
      <c r="T197">
        <v>157</v>
      </c>
      <c r="U197">
        <v>101</v>
      </c>
      <c r="V197">
        <v>94</v>
      </c>
      <c r="W197">
        <v>10</v>
      </c>
      <c r="X197">
        <v>60</v>
      </c>
      <c r="Y197">
        <v>62</v>
      </c>
      <c r="Z197" s="8">
        <v>2.1800000000000002</v>
      </c>
      <c r="AA197" s="9">
        <v>0.35599999999999998</v>
      </c>
      <c r="AB197" s="9">
        <v>0.39100000000000001</v>
      </c>
    </row>
    <row r="198" spans="1:28">
      <c r="A198" t="str">
        <f t="shared" si="3"/>
        <v>SPNick Keys21</v>
      </c>
      <c r="B198">
        <v>13908</v>
      </c>
      <c r="C198">
        <v>369</v>
      </c>
      <c r="D198" t="s">
        <v>1713</v>
      </c>
      <c r="E198" t="s">
        <v>219</v>
      </c>
      <c r="F198">
        <v>0</v>
      </c>
      <c r="G198" s="10">
        <v>35464</v>
      </c>
      <c r="H198">
        <v>21</v>
      </c>
      <c r="I198" t="s">
        <v>1711</v>
      </c>
      <c r="J198" t="s">
        <v>2003</v>
      </c>
      <c r="K198">
        <v>10</v>
      </c>
      <c r="L198">
        <v>10</v>
      </c>
      <c r="M198">
        <v>0</v>
      </c>
      <c r="N198">
        <v>0</v>
      </c>
      <c r="O198">
        <v>0</v>
      </c>
      <c r="P198" s="8">
        <v>6.85</v>
      </c>
      <c r="Q198">
        <v>60</v>
      </c>
      <c r="R198">
        <v>12</v>
      </c>
      <c r="S198">
        <v>109</v>
      </c>
      <c r="T198">
        <v>135</v>
      </c>
      <c r="U198">
        <v>92</v>
      </c>
      <c r="V198">
        <v>83</v>
      </c>
      <c r="W198">
        <v>13</v>
      </c>
      <c r="X198">
        <v>80</v>
      </c>
      <c r="Y198">
        <v>60</v>
      </c>
      <c r="Z198" s="8">
        <v>1.97</v>
      </c>
      <c r="AA198" s="9">
        <v>0.30399999999999999</v>
      </c>
      <c r="AB198" s="9">
        <v>0.32200000000000001</v>
      </c>
    </row>
    <row r="199" spans="1:28">
      <c r="A199" t="str">
        <f t="shared" si="3"/>
        <v>MRJimmy Glenn21</v>
      </c>
      <c r="B199">
        <v>9364</v>
      </c>
      <c r="C199">
        <v>262</v>
      </c>
      <c r="D199" t="s">
        <v>1896</v>
      </c>
      <c r="E199" t="s">
        <v>1670</v>
      </c>
      <c r="F199">
        <v>0</v>
      </c>
      <c r="G199" s="10">
        <v>35435</v>
      </c>
      <c r="H199">
        <v>21</v>
      </c>
      <c r="I199" t="s">
        <v>1711</v>
      </c>
      <c r="J199" t="s">
        <v>2021</v>
      </c>
      <c r="K199">
        <v>6</v>
      </c>
      <c r="L199">
        <v>10</v>
      </c>
      <c r="M199">
        <v>0</v>
      </c>
      <c r="N199">
        <v>0</v>
      </c>
      <c r="O199">
        <v>0</v>
      </c>
      <c r="P199" s="8">
        <v>7.83</v>
      </c>
      <c r="Q199">
        <v>114</v>
      </c>
      <c r="R199">
        <v>0</v>
      </c>
      <c r="S199">
        <v>125.3</v>
      </c>
      <c r="T199">
        <v>175</v>
      </c>
      <c r="U199">
        <v>125</v>
      </c>
      <c r="V199">
        <v>109</v>
      </c>
      <c r="W199">
        <v>15</v>
      </c>
      <c r="X199">
        <v>102</v>
      </c>
      <c r="Y199">
        <v>58</v>
      </c>
      <c r="Z199" s="8">
        <v>2.21</v>
      </c>
      <c r="AA199" s="9">
        <v>0.33700000000000002</v>
      </c>
      <c r="AB199" s="9">
        <v>0.35399999999999998</v>
      </c>
    </row>
    <row r="200" spans="1:28">
      <c r="A200" t="str">
        <f t="shared" si="3"/>
        <v>MRRaymond Larson21</v>
      </c>
      <c r="B200">
        <v>9397</v>
      </c>
      <c r="C200">
        <v>425</v>
      </c>
      <c r="D200" t="s">
        <v>295</v>
      </c>
      <c r="E200" t="s">
        <v>1956</v>
      </c>
      <c r="F200">
        <v>0</v>
      </c>
      <c r="G200" s="10">
        <v>35403</v>
      </c>
      <c r="H200">
        <v>21</v>
      </c>
      <c r="I200" t="s">
        <v>1711</v>
      </c>
      <c r="J200" t="s">
        <v>2021</v>
      </c>
      <c r="K200">
        <v>4</v>
      </c>
      <c r="L200">
        <v>6</v>
      </c>
      <c r="M200">
        <v>2</v>
      </c>
      <c r="N200">
        <v>0</v>
      </c>
      <c r="O200">
        <v>0</v>
      </c>
      <c r="P200" s="8">
        <v>8.0399999999999991</v>
      </c>
      <c r="Q200">
        <v>81</v>
      </c>
      <c r="R200">
        <v>0</v>
      </c>
      <c r="S200">
        <v>84</v>
      </c>
      <c r="T200">
        <v>125</v>
      </c>
      <c r="U200">
        <v>79</v>
      </c>
      <c r="V200">
        <v>75</v>
      </c>
      <c r="W200">
        <v>13</v>
      </c>
      <c r="X200">
        <v>56</v>
      </c>
      <c r="Y200">
        <v>58</v>
      </c>
      <c r="Z200" s="8">
        <v>2.15</v>
      </c>
      <c r="AA200" s="9">
        <v>0.35</v>
      </c>
      <c r="AB200" s="9">
        <v>0.38200000000000001</v>
      </c>
    </row>
    <row r="201" spans="1:28">
      <c r="A201" t="str">
        <f t="shared" si="3"/>
        <v>MREric Christopher18</v>
      </c>
      <c r="B201">
        <v>13849</v>
      </c>
      <c r="C201">
        <v>250</v>
      </c>
      <c r="D201" t="s">
        <v>1968</v>
      </c>
      <c r="E201" t="s">
        <v>220</v>
      </c>
      <c r="F201">
        <v>0</v>
      </c>
      <c r="G201" s="10">
        <v>36451</v>
      </c>
      <c r="H201">
        <v>18</v>
      </c>
      <c r="I201" t="s">
        <v>1711</v>
      </c>
      <c r="J201" t="s">
        <v>2021</v>
      </c>
      <c r="K201">
        <v>1</v>
      </c>
      <c r="L201">
        <v>1</v>
      </c>
      <c r="M201">
        <v>4</v>
      </c>
      <c r="N201">
        <v>0</v>
      </c>
      <c r="O201">
        <v>0</v>
      </c>
      <c r="P201" s="8">
        <v>8.52</v>
      </c>
      <c r="Q201">
        <v>71</v>
      </c>
      <c r="R201">
        <v>0</v>
      </c>
      <c r="S201">
        <v>75</v>
      </c>
      <c r="T201">
        <v>113</v>
      </c>
      <c r="U201">
        <v>81</v>
      </c>
      <c r="V201">
        <v>71</v>
      </c>
      <c r="W201">
        <v>11</v>
      </c>
      <c r="X201">
        <v>59</v>
      </c>
      <c r="Y201">
        <v>58</v>
      </c>
      <c r="Z201" s="8">
        <v>2.29</v>
      </c>
      <c r="AA201" s="9">
        <v>0.34899999999999998</v>
      </c>
      <c r="AB201" s="9">
        <v>0.39500000000000002</v>
      </c>
    </row>
    <row r="202" spans="1:28">
      <c r="A202" t="str">
        <f t="shared" si="3"/>
        <v>MRCorey Green18</v>
      </c>
      <c r="B202">
        <v>13794</v>
      </c>
      <c r="C202">
        <v>379</v>
      </c>
      <c r="D202" t="s">
        <v>222</v>
      </c>
      <c r="E202" t="s">
        <v>1920</v>
      </c>
      <c r="F202">
        <v>0</v>
      </c>
      <c r="G202" s="10">
        <v>36414</v>
      </c>
      <c r="H202">
        <v>18</v>
      </c>
      <c r="I202" t="s">
        <v>1711</v>
      </c>
      <c r="J202" t="s">
        <v>2021</v>
      </c>
      <c r="K202">
        <v>11</v>
      </c>
      <c r="L202">
        <v>14</v>
      </c>
      <c r="M202">
        <v>5</v>
      </c>
      <c r="N202">
        <v>0</v>
      </c>
      <c r="O202">
        <v>0</v>
      </c>
      <c r="P202" s="8">
        <v>9.98</v>
      </c>
      <c r="Q202">
        <v>140</v>
      </c>
      <c r="R202">
        <v>0</v>
      </c>
      <c r="S202">
        <v>138</v>
      </c>
      <c r="T202">
        <v>244</v>
      </c>
      <c r="U202">
        <v>192</v>
      </c>
      <c r="V202">
        <v>153</v>
      </c>
      <c r="W202">
        <v>26</v>
      </c>
      <c r="X202">
        <v>106</v>
      </c>
      <c r="Y202">
        <v>58</v>
      </c>
      <c r="Z202" s="8">
        <v>2.54</v>
      </c>
      <c r="AA202" s="9">
        <v>0.38900000000000001</v>
      </c>
      <c r="AB202" s="9">
        <v>0.38900000000000001</v>
      </c>
    </row>
    <row r="203" spans="1:28">
      <c r="A203" t="str">
        <f t="shared" si="3"/>
        <v>MRAndre Carr20</v>
      </c>
      <c r="B203">
        <v>5072</v>
      </c>
      <c r="C203">
        <v>31</v>
      </c>
      <c r="D203" t="s">
        <v>1865</v>
      </c>
      <c r="E203" t="s">
        <v>1971</v>
      </c>
      <c r="F203">
        <v>0</v>
      </c>
      <c r="G203" s="10">
        <v>35576</v>
      </c>
      <c r="H203">
        <v>20</v>
      </c>
      <c r="I203" t="s">
        <v>1711</v>
      </c>
      <c r="J203" t="s">
        <v>2021</v>
      </c>
      <c r="K203">
        <v>6</v>
      </c>
      <c r="L203">
        <v>6</v>
      </c>
      <c r="M203">
        <v>1</v>
      </c>
      <c r="N203">
        <v>0</v>
      </c>
      <c r="O203">
        <v>0</v>
      </c>
      <c r="P203" s="8">
        <v>7.95</v>
      </c>
      <c r="Q203">
        <v>71</v>
      </c>
      <c r="R203">
        <v>0</v>
      </c>
      <c r="S203">
        <v>80.3</v>
      </c>
      <c r="T203">
        <v>116</v>
      </c>
      <c r="U203">
        <v>76</v>
      </c>
      <c r="V203">
        <v>71</v>
      </c>
      <c r="W203">
        <v>12</v>
      </c>
      <c r="X203">
        <v>61</v>
      </c>
      <c r="Y203">
        <v>57</v>
      </c>
      <c r="Z203" s="8">
        <v>2.2000000000000002</v>
      </c>
      <c r="AA203" s="9">
        <v>0.34300000000000003</v>
      </c>
      <c r="AB203" s="9">
        <v>0.38200000000000001</v>
      </c>
    </row>
    <row r="204" spans="1:28">
      <c r="A204" t="str">
        <f t="shared" si="3"/>
        <v>MRRob Gunter21</v>
      </c>
      <c r="B204">
        <v>2843</v>
      </c>
      <c r="C204">
        <v>372</v>
      </c>
      <c r="D204" t="s">
        <v>1883</v>
      </c>
      <c r="E204" t="s">
        <v>221</v>
      </c>
      <c r="F204">
        <v>0</v>
      </c>
      <c r="G204" s="10">
        <v>35454</v>
      </c>
      <c r="H204">
        <v>21</v>
      </c>
      <c r="I204" t="s">
        <v>1711</v>
      </c>
      <c r="J204" t="s">
        <v>2021</v>
      </c>
      <c r="K204">
        <v>4</v>
      </c>
      <c r="L204">
        <v>2</v>
      </c>
      <c r="M204">
        <v>0</v>
      </c>
      <c r="N204">
        <v>0</v>
      </c>
      <c r="O204">
        <v>0</v>
      </c>
      <c r="P204" s="8">
        <v>8</v>
      </c>
      <c r="Q204">
        <v>67</v>
      </c>
      <c r="R204">
        <v>0</v>
      </c>
      <c r="S204">
        <v>75.3</v>
      </c>
      <c r="T204">
        <v>111</v>
      </c>
      <c r="U204">
        <v>73</v>
      </c>
      <c r="V204">
        <v>67</v>
      </c>
      <c r="W204">
        <v>12</v>
      </c>
      <c r="X204">
        <v>43</v>
      </c>
      <c r="Y204">
        <v>57</v>
      </c>
      <c r="Z204" s="8">
        <v>2.04</v>
      </c>
      <c r="AA204" s="9">
        <v>0.33700000000000002</v>
      </c>
      <c r="AB204" s="9">
        <v>0.376</v>
      </c>
    </row>
    <row r="205" spans="1:28">
      <c r="A205" t="str">
        <f t="shared" si="3"/>
        <v>CLRick Saunders21</v>
      </c>
      <c r="B205">
        <v>7117</v>
      </c>
      <c r="C205">
        <v>405</v>
      </c>
      <c r="D205" t="s">
        <v>339</v>
      </c>
      <c r="E205" t="s">
        <v>223</v>
      </c>
      <c r="F205">
        <v>0</v>
      </c>
      <c r="G205" s="10">
        <v>35411</v>
      </c>
      <c r="H205">
        <v>21</v>
      </c>
      <c r="I205" t="s">
        <v>1711</v>
      </c>
      <c r="J205" t="s">
        <v>2032</v>
      </c>
      <c r="K205">
        <v>12</v>
      </c>
      <c r="L205">
        <v>9</v>
      </c>
      <c r="M205">
        <v>27</v>
      </c>
      <c r="N205">
        <v>0</v>
      </c>
      <c r="O205">
        <v>0</v>
      </c>
      <c r="P205" s="8">
        <v>5.87</v>
      </c>
      <c r="Q205">
        <v>105</v>
      </c>
      <c r="R205">
        <v>0</v>
      </c>
      <c r="S205">
        <v>122.7</v>
      </c>
      <c r="T205">
        <v>168</v>
      </c>
      <c r="U205">
        <v>85</v>
      </c>
      <c r="V205">
        <v>80</v>
      </c>
      <c r="W205">
        <v>9</v>
      </c>
      <c r="X205">
        <v>78</v>
      </c>
      <c r="Y205">
        <v>55</v>
      </c>
      <c r="Z205" s="8">
        <v>2.0099999999999998</v>
      </c>
      <c r="AA205" s="9">
        <v>0.33200000000000002</v>
      </c>
      <c r="AB205" s="9">
        <v>0.35199999999999998</v>
      </c>
    </row>
    <row r="206" spans="1:28">
      <c r="A206" t="str">
        <f t="shared" si="3"/>
        <v>MRRoger Bruce18</v>
      </c>
      <c r="B206">
        <v>13851</v>
      </c>
      <c r="C206">
        <v>155</v>
      </c>
      <c r="D206" t="s">
        <v>1901</v>
      </c>
      <c r="E206" t="s">
        <v>1673</v>
      </c>
      <c r="F206">
        <v>0</v>
      </c>
      <c r="G206" s="10">
        <v>36505</v>
      </c>
      <c r="H206">
        <v>18</v>
      </c>
      <c r="I206" t="s">
        <v>1711</v>
      </c>
      <c r="J206" t="s">
        <v>2021</v>
      </c>
      <c r="K206">
        <v>4</v>
      </c>
      <c r="L206">
        <v>1</v>
      </c>
      <c r="M206">
        <v>1</v>
      </c>
      <c r="N206">
        <v>0</v>
      </c>
      <c r="O206">
        <v>0</v>
      </c>
      <c r="P206" s="8">
        <v>5.57</v>
      </c>
      <c r="Q206">
        <v>48</v>
      </c>
      <c r="R206">
        <v>2</v>
      </c>
      <c r="S206">
        <v>63</v>
      </c>
      <c r="T206">
        <v>83</v>
      </c>
      <c r="U206">
        <v>46</v>
      </c>
      <c r="V206">
        <v>39</v>
      </c>
      <c r="W206">
        <v>8</v>
      </c>
      <c r="X206">
        <v>36</v>
      </c>
      <c r="Y206">
        <v>52</v>
      </c>
      <c r="Z206" s="8">
        <v>1.89</v>
      </c>
      <c r="AA206" s="9">
        <v>0.314</v>
      </c>
      <c r="AB206" s="9">
        <v>0.36199999999999999</v>
      </c>
    </row>
    <row r="207" spans="1:28">
      <c r="A207" t="str">
        <f t="shared" si="3"/>
        <v>MRWilbert Taylor18</v>
      </c>
      <c r="B207">
        <v>13812</v>
      </c>
      <c r="C207">
        <v>404</v>
      </c>
      <c r="D207" t="s">
        <v>230</v>
      </c>
      <c r="E207" t="s">
        <v>1923</v>
      </c>
      <c r="F207">
        <v>0</v>
      </c>
      <c r="G207" s="10">
        <v>36494</v>
      </c>
      <c r="H207">
        <v>18</v>
      </c>
      <c r="I207" t="s">
        <v>1711</v>
      </c>
      <c r="J207" t="s">
        <v>2021</v>
      </c>
      <c r="K207">
        <v>5</v>
      </c>
      <c r="L207">
        <v>2</v>
      </c>
      <c r="M207">
        <v>3</v>
      </c>
      <c r="N207">
        <v>0</v>
      </c>
      <c r="O207">
        <v>0</v>
      </c>
      <c r="P207" s="8">
        <v>11.37</v>
      </c>
      <c r="Q207">
        <v>100</v>
      </c>
      <c r="R207">
        <v>0</v>
      </c>
      <c r="S207">
        <v>97.3</v>
      </c>
      <c r="T207">
        <v>187</v>
      </c>
      <c r="U207">
        <v>145</v>
      </c>
      <c r="V207">
        <v>123</v>
      </c>
      <c r="W207">
        <v>18</v>
      </c>
      <c r="X207">
        <v>76</v>
      </c>
      <c r="Y207">
        <v>52</v>
      </c>
      <c r="Z207" s="8">
        <v>2.7</v>
      </c>
      <c r="AA207" s="9">
        <v>0.40600000000000003</v>
      </c>
      <c r="AB207" s="9">
        <v>0.42</v>
      </c>
    </row>
    <row r="208" spans="1:28">
      <c r="A208" t="str">
        <f t="shared" si="3"/>
        <v>SPRoald Hogervorst21</v>
      </c>
      <c r="B208">
        <v>9539</v>
      </c>
      <c r="C208">
        <v>190</v>
      </c>
      <c r="D208" t="s">
        <v>224</v>
      </c>
      <c r="E208" t="s">
        <v>225</v>
      </c>
      <c r="F208">
        <v>0</v>
      </c>
      <c r="G208" s="10">
        <v>35403</v>
      </c>
      <c r="H208">
        <v>21</v>
      </c>
      <c r="I208" t="s">
        <v>1711</v>
      </c>
      <c r="J208" t="s">
        <v>2003</v>
      </c>
      <c r="K208">
        <v>2</v>
      </c>
      <c r="L208">
        <v>7</v>
      </c>
      <c r="M208">
        <v>0</v>
      </c>
      <c r="N208">
        <v>0</v>
      </c>
      <c r="O208">
        <v>0</v>
      </c>
      <c r="P208" s="8">
        <v>6.46</v>
      </c>
      <c r="Q208">
        <v>18</v>
      </c>
      <c r="R208">
        <v>18</v>
      </c>
      <c r="S208">
        <v>86.3</v>
      </c>
      <c r="T208">
        <v>115</v>
      </c>
      <c r="U208">
        <v>69</v>
      </c>
      <c r="V208">
        <v>62</v>
      </c>
      <c r="W208">
        <v>7</v>
      </c>
      <c r="X208">
        <v>61</v>
      </c>
      <c r="Y208">
        <v>51</v>
      </c>
      <c r="Z208" s="8">
        <v>2.04</v>
      </c>
      <c r="AA208" s="9">
        <v>0.32</v>
      </c>
      <c r="AB208" s="9">
        <v>0.35399999999999998</v>
      </c>
    </row>
    <row r="209" spans="1:28">
      <c r="A209" t="str">
        <f t="shared" si="3"/>
        <v>MRRudy Barber21</v>
      </c>
      <c r="B209">
        <v>2672</v>
      </c>
      <c r="C209">
        <v>237</v>
      </c>
      <c r="D209" t="s">
        <v>226</v>
      </c>
      <c r="E209" t="s">
        <v>227</v>
      </c>
      <c r="F209">
        <v>0</v>
      </c>
      <c r="G209" s="10">
        <v>35230</v>
      </c>
      <c r="H209">
        <v>21</v>
      </c>
      <c r="I209" t="s">
        <v>1711</v>
      </c>
      <c r="J209" t="s">
        <v>2021</v>
      </c>
      <c r="K209">
        <v>7</v>
      </c>
      <c r="L209">
        <v>3</v>
      </c>
      <c r="M209">
        <v>1</v>
      </c>
      <c r="N209">
        <v>0</v>
      </c>
      <c r="O209">
        <v>0</v>
      </c>
      <c r="P209" s="8">
        <v>6.59</v>
      </c>
      <c r="Q209">
        <v>80</v>
      </c>
      <c r="R209">
        <v>0</v>
      </c>
      <c r="S209">
        <v>83.3</v>
      </c>
      <c r="T209">
        <v>99</v>
      </c>
      <c r="U209">
        <v>68</v>
      </c>
      <c r="V209">
        <v>61</v>
      </c>
      <c r="W209">
        <v>11</v>
      </c>
      <c r="X209">
        <v>70</v>
      </c>
      <c r="Y209">
        <v>51</v>
      </c>
      <c r="Z209" s="8">
        <v>2.0299999999999998</v>
      </c>
      <c r="AA209" s="9">
        <v>0.30299999999999999</v>
      </c>
      <c r="AB209" s="9">
        <v>0.32500000000000001</v>
      </c>
    </row>
    <row r="210" spans="1:28">
      <c r="A210" t="str">
        <f t="shared" si="3"/>
        <v>MRJonathan Hampshire21</v>
      </c>
      <c r="B210">
        <v>8868</v>
      </c>
      <c r="C210">
        <v>461</v>
      </c>
      <c r="D210" t="s">
        <v>361</v>
      </c>
      <c r="E210" t="s">
        <v>228</v>
      </c>
      <c r="F210">
        <v>0</v>
      </c>
      <c r="G210" s="10">
        <v>35444</v>
      </c>
      <c r="H210">
        <v>21</v>
      </c>
      <c r="I210" t="s">
        <v>1711</v>
      </c>
      <c r="J210" t="s">
        <v>2021</v>
      </c>
      <c r="K210">
        <v>2</v>
      </c>
      <c r="L210">
        <v>5</v>
      </c>
      <c r="M210">
        <v>2</v>
      </c>
      <c r="N210">
        <v>0</v>
      </c>
      <c r="O210">
        <v>0</v>
      </c>
      <c r="P210" s="8">
        <v>6.62</v>
      </c>
      <c r="Q210">
        <v>75</v>
      </c>
      <c r="R210">
        <v>0</v>
      </c>
      <c r="S210">
        <v>85.7</v>
      </c>
      <c r="T210">
        <v>101</v>
      </c>
      <c r="U210">
        <v>71</v>
      </c>
      <c r="V210">
        <v>63</v>
      </c>
      <c r="W210">
        <v>13</v>
      </c>
      <c r="X210">
        <v>72</v>
      </c>
      <c r="Y210">
        <v>50</v>
      </c>
      <c r="Z210" s="8">
        <v>2.02</v>
      </c>
      <c r="AA210" s="9">
        <v>0.29299999999999998</v>
      </c>
      <c r="AB210" s="9">
        <v>0.308</v>
      </c>
    </row>
    <row r="211" spans="1:28">
      <c r="A211" t="str">
        <f t="shared" si="3"/>
        <v>MRCarlos Herrera21</v>
      </c>
      <c r="B211">
        <v>7035</v>
      </c>
      <c r="C211">
        <v>331</v>
      </c>
      <c r="D211" t="s">
        <v>1974</v>
      </c>
      <c r="E211" t="s">
        <v>1715</v>
      </c>
      <c r="F211">
        <v>0</v>
      </c>
      <c r="G211" s="10">
        <v>35419</v>
      </c>
      <c r="H211">
        <v>21</v>
      </c>
      <c r="I211" t="s">
        <v>1711</v>
      </c>
      <c r="J211" t="s">
        <v>2021</v>
      </c>
      <c r="K211">
        <v>13</v>
      </c>
      <c r="L211">
        <v>8</v>
      </c>
      <c r="M211">
        <v>0</v>
      </c>
      <c r="N211">
        <v>0</v>
      </c>
      <c r="O211">
        <v>0</v>
      </c>
      <c r="P211" s="8">
        <v>4.75</v>
      </c>
      <c r="Q211">
        <v>94</v>
      </c>
      <c r="R211">
        <v>0</v>
      </c>
      <c r="S211">
        <v>115.7</v>
      </c>
      <c r="T211">
        <v>135</v>
      </c>
      <c r="U211">
        <v>75</v>
      </c>
      <c r="V211">
        <v>61</v>
      </c>
      <c r="W211">
        <v>13</v>
      </c>
      <c r="X211">
        <v>61</v>
      </c>
      <c r="Y211">
        <v>47</v>
      </c>
      <c r="Z211" s="8">
        <v>1.69</v>
      </c>
      <c r="AA211" s="9">
        <v>0.29699999999999999</v>
      </c>
      <c r="AB211" s="9">
        <v>0.30599999999999999</v>
      </c>
    </row>
    <row r="212" spans="1:28">
      <c r="A212" t="str">
        <f t="shared" si="3"/>
        <v>MRAntónio Ramos18</v>
      </c>
      <c r="B212">
        <v>13852</v>
      </c>
      <c r="C212">
        <v>235</v>
      </c>
      <c r="D212" t="s">
        <v>1915</v>
      </c>
      <c r="E212" t="s">
        <v>1935</v>
      </c>
      <c r="F212">
        <v>0</v>
      </c>
      <c r="G212" s="10">
        <v>36394</v>
      </c>
      <c r="H212">
        <v>18</v>
      </c>
      <c r="I212" t="s">
        <v>1711</v>
      </c>
      <c r="J212" t="s">
        <v>2021</v>
      </c>
      <c r="K212">
        <v>6</v>
      </c>
      <c r="L212">
        <v>3</v>
      </c>
      <c r="M212">
        <v>0</v>
      </c>
      <c r="N212">
        <v>0</v>
      </c>
      <c r="O212">
        <v>0</v>
      </c>
      <c r="P212" s="8">
        <v>8.92</v>
      </c>
      <c r="Q212">
        <v>84</v>
      </c>
      <c r="R212">
        <v>0</v>
      </c>
      <c r="S212">
        <v>79.7</v>
      </c>
      <c r="T212">
        <v>135</v>
      </c>
      <c r="U212">
        <v>92</v>
      </c>
      <c r="V212">
        <v>79</v>
      </c>
      <c r="W212">
        <v>12</v>
      </c>
      <c r="X212">
        <v>57</v>
      </c>
      <c r="Y212">
        <v>47</v>
      </c>
      <c r="Z212" s="8">
        <v>2.41</v>
      </c>
      <c r="AA212" s="9">
        <v>0.378</v>
      </c>
      <c r="AB212" s="9">
        <v>0.40300000000000002</v>
      </c>
    </row>
    <row r="213" spans="1:28">
      <c r="A213" t="str">
        <f t="shared" si="3"/>
        <v>MRGeorge Berry21</v>
      </c>
      <c r="B213">
        <v>13907</v>
      </c>
      <c r="C213">
        <v>303</v>
      </c>
      <c r="D213" t="s">
        <v>1772</v>
      </c>
      <c r="E213" t="s">
        <v>229</v>
      </c>
      <c r="F213">
        <v>0</v>
      </c>
      <c r="G213" s="10">
        <v>35337</v>
      </c>
      <c r="H213">
        <v>21</v>
      </c>
      <c r="I213" t="s">
        <v>1711</v>
      </c>
      <c r="J213" t="s">
        <v>2021</v>
      </c>
      <c r="K213">
        <v>3</v>
      </c>
      <c r="L213">
        <v>3</v>
      </c>
      <c r="M213">
        <v>5</v>
      </c>
      <c r="N213">
        <v>0</v>
      </c>
      <c r="O213">
        <v>0</v>
      </c>
      <c r="P213" s="8">
        <v>9.44</v>
      </c>
      <c r="Q213">
        <v>93</v>
      </c>
      <c r="R213">
        <v>0</v>
      </c>
      <c r="S213">
        <v>96.3</v>
      </c>
      <c r="T213">
        <v>147</v>
      </c>
      <c r="U213">
        <v>110</v>
      </c>
      <c r="V213">
        <v>101</v>
      </c>
      <c r="W213">
        <v>23</v>
      </c>
      <c r="X213">
        <v>77</v>
      </c>
      <c r="Y213">
        <v>47</v>
      </c>
      <c r="Z213" s="8">
        <v>2.33</v>
      </c>
      <c r="AA213" s="9">
        <v>0.35799999999999998</v>
      </c>
      <c r="AB213" s="9">
        <v>0.35399999999999998</v>
      </c>
    </row>
    <row r="214" spans="1:28">
      <c r="A214" t="str">
        <f t="shared" si="3"/>
        <v>MRRichard Peterson18</v>
      </c>
      <c r="B214">
        <v>13840</v>
      </c>
      <c r="C214">
        <v>296</v>
      </c>
      <c r="D214" t="s">
        <v>1828</v>
      </c>
      <c r="E214" t="s">
        <v>1775</v>
      </c>
      <c r="F214">
        <v>0</v>
      </c>
      <c r="G214" s="10">
        <v>36402</v>
      </c>
      <c r="H214">
        <v>18</v>
      </c>
      <c r="I214" t="s">
        <v>1711</v>
      </c>
      <c r="J214" t="s">
        <v>2021</v>
      </c>
      <c r="K214">
        <v>6</v>
      </c>
      <c r="L214">
        <v>3</v>
      </c>
      <c r="M214">
        <v>0</v>
      </c>
      <c r="N214">
        <v>0</v>
      </c>
      <c r="O214">
        <v>0</v>
      </c>
      <c r="P214" s="8">
        <v>8.36</v>
      </c>
      <c r="Q214">
        <v>73</v>
      </c>
      <c r="R214">
        <v>0</v>
      </c>
      <c r="S214">
        <v>85</v>
      </c>
      <c r="T214">
        <v>131</v>
      </c>
      <c r="U214">
        <v>91</v>
      </c>
      <c r="V214">
        <v>79</v>
      </c>
      <c r="W214">
        <v>9</v>
      </c>
      <c r="X214">
        <v>54</v>
      </c>
      <c r="Y214">
        <v>45</v>
      </c>
      <c r="Z214" s="8">
        <v>2.1800000000000002</v>
      </c>
      <c r="AA214" s="9">
        <v>0.35399999999999998</v>
      </c>
      <c r="AB214" s="9">
        <v>0.378</v>
      </c>
    </row>
    <row r="215" spans="1:28">
      <c r="A215" t="str">
        <f t="shared" si="3"/>
        <v>MRMatt Dudley21</v>
      </c>
      <c r="B215">
        <v>2472</v>
      </c>
      <c r="C215">
        <v>247</v>
      </c>
      <c r="D215" t="s">
        <v>1848</v>
      </c>
      <c r="E215" t="s">
        <v>231</v>
      </c>
      <c r="F215">
        <v>0</v>
      </c>
      <c r="G215" s="10">
        <v>35506</v>
      </c>
      <c r="H215">
        <v>21</v>
      </c>
      <c r="I215" t="s">
        <v>1711</v>
      </c>
      <c r="J215" t="s">
        <v>2021</v>
      </c>
      <c r="K215">
        <v>2</v>
      </c>
      <c r="L215">
        <v>10</v>
      </c>
      <c r="M215">
        <v>0</v>
      </c>
      <c r="N215">
        <v>0</v>
      </c>
      <c r="O215">
        <v>0</v>
      </c>
      <c r="P215" s="8">
        <v>11.5</v>
      </c>
      <c r="Q215">
        <v>92</v>
      </c>
      <c r="R215">
        <v>0</v>
      </c>
      <c r="S215">
        <v>87.7</v>
      </c>
      <c r="T215">
        <v>168</v>
      </c>
      <c r="U215">
        <v>132</v>
      </c>
      <c r="V215">
        <v>112</v>
      </c>
      <c r="W215">
        <v>11</v>
      </c>
      <c r="X215">
        <v>86</v>
      </c>
      <c r="Y215">
        <v>45</v>
      </c>
      <c r="Z215" s="8">
        <v>2.9</v>
      </c>
      <c r="AA215" s="9">
        <v>0.40100000000000002</v>
      </c>
      <c r="AB215" s="9">
        <v>0.42699999999999999</v>
      </c>
    </row>
    <row r="216" spans="1:28">
      <c r="A216" t="str">
        <f t="shared" si="3"/>
        <v>MRJúlio Cortéz21</v>
      </c>
      <c r="B216">
        <v>2268</v>
      </c>
      <c r="C216">
        <v>174</v>
      </c>
      <c r="D216" t="s">
        <v>1724</v>
      </c>
      <c r="E216" t="s">
        <v>1750</v>
      </c>
      <c r="F216">
        <v>0</v>
      </c>
      <c r="G216" s="10">
        <v>35335</v>
      </c>
      <c r="H216">
        <v>21</v>
      </c>
      <c r="I216" t="s">
        <v>1711</v>
      </c>
      <c r="J216" t="s">
        <v>2021</v>
      </c>
      <c r="K216">
        <v>1</v>
      </c>
      <c r="L216">
        <v>5</v>
      </c>
      <c r="M216">
        <v>2</v>
      </c>
      <c r="N216">
        <v>0</v>
      </c>
      <c r="O216">
        <v>0</v>
      </c>
      <c r="P216" s="8">
        <v>9.56</v>
      </c>
      <c r="Q216">
        <v>84</v>
      </c>
      <c r="R216">
        <v>0</v>
      </c>
      <c r="S216">
        <v>81</v>
      </c>
      <c r="T216">
        <v>131</v>
      </c>
      <c r="U216">
        <v>92</v>
      </c>
      <c r="V216">
        <v>86</v>
      </c>
      <c r="W216">
        <v>15</v>
      </c>
      <c r="X216">
        <v>74</v>
      </c>
      <c r="Y216">
        <v>44</v>
      </c>
      <c r="Z216" s="8">
        <v>2.5299999999999998</v>
      </c>
      <c r="AA216" s="9">
        <v>0.38200000000000001</v>
      </c>
      <c r="AB216" s="9">
        <v>0.39700000000000002</v>
      </c>
    </row>
    <row r="217" spans="1:28">
      <c r="A217" t="str">
        <f t="shared" si="3"/>
        <v>MRDoug Spears18</v>
      </c>
      <c r="B217">
        <v>13855</v>
      </c>
      <c r="C217">
        <v>218</v>
      </c>
      <c r="D217" t="s">
        <v>1931</v>
      </c>
      <c r="E217" t="s">
        <v>232</v>
      </c>
      <c r="F217">
        <v>0</v>
      </c>
      <c r="G217" s="10">
        <v>36618</v>
      </c>
      <c r="H217">
        <v>18</v>
      </c>
      <c r="I217" t="s">
        <v>1711</v>
      </c>
      <c r="J217" t="s">
        <v>2021</v>
      </c>
      <c r="K217">
        <v>3</v>
      </c>
      <c r="L217">
        <v>13</v>
      </c>
      <c r="M217">
        <v>1</v>
      </c>
      <c r="N217">
        <v>0</v>
      </c>
      <c r="O217">
        <v>0</v>
      </c>
      <c r="P217" s="8">
        <v>11.24</v>
      </c>
      <c r="Q217">
        <v>47</v>
      </c>
      <c r="R217">
        <v>13</v>
      </c>
      <c r="S217">
        <v>89.7</v>
      </c>
      <c r="T217">
        <v>163</v>
      </c>
      <c r="U217">
        <v>129</v>
      </c>
      <c r="V217">
        <v>112</v>
      </c>
      <c r="W217">
        <v>12</v>
      </c>
      <c r="X217">
        <v>65</v>
      </c>
      <c r="Y217">
        <v>41</v>
      </c>
      <c r="Z217" s="8">
        <v>2.54</v>
      </c>
      <c r="AA217" s="9">
        <v>0.39400000000000002</v>
      </c>
      <c r="AB217" s="9">
        <v>0.41299999999999998</v>
      </c>
    </row>
    <row r="218" spans="1:28">
      <c r="A218" t="str">
        <f t="shared" si="3"/>
        <v>MRChris Stokes18</v>
      </c>
      <c r="B218">
        <v>13774</v>
      </c>
      <c r="C218">
        <v>131</v>
      </c>
      <c r="D218" t="s">
        <v>1942</v>
      </c>
      <c r="E218" t="s">
        <v>233</v>
      </c>
      <c r="F218">
        <v>0</v>
      </c>
      <c r="G218" s="10">
        <v>36357</v>
      </c>
      <c r="H218">
        <v>18</v>
      </c>
      <c r="I218" t="s">
        <v>1711</v>
      </c>
      <c r="J218" t="s">
        <v>2021</v>
      </c>
      <c r="K218">
        <v>8</v>
      </c>
      <c r="L218">
        <v>6</v>
      </c>
      <c r="M218">
        <v>2</v>
      </c>
      <c r="N218">
        <v>0</v>
      </c>
      <c r="O218">
        <v>0</v>
      </c>
      <c r="P218" s="8">
        <v>8.76</v>
      </c>
      <c r="Q218">
        <v>76</v>
      </c>
      <c r="R218">
        <v>0</v>
      </c>
      <c r="S218">
        <v>87.3</v>
      </c>
      <c r="T218">
        <v>140</v>
      </c>
      <c r="U218">
        <v>101</v>
      </c>
      <c r="V218">
        <v>85</v>
      </c>
      <c r="W218">
        <v>12</v>
      </c>
      <c r="X218">
        <v>63</v>
      </c>
      <c r="Y218">
        <v>37</v>
      </c>
      <c r="Z218" s="8">
        <v>2.3199999999999998</v>
      </c>
      <c r="AA218" s="9">
        <v>0.35799999999999998</v>
      </c>
      <c r="AB218" s="9">
        <v>0.36799999999999999</v>
      </c>
    </row>
    <row r="219" spans="1:28">
      <c r="A219" t="str">
        <f t="shared" si="3"/>
        <v>MRDiego Chávez18</v>
      </c>
      <c r="B219">
        <v>13753</v>
      </c>
      <c r="C219">
        <v>347</v>
      </c>
      <c r="D219" t="s">
        <v>235</v>
      </c>
      <c r="E219" t="s">
        <v>462</v>
      </c>
      <c r="F219">
        <v>0</v>
      </c>
      <c r="G219" s="10">
        <v>36441</v>
      </c>
      <c r="H219">
        <v>18</v>
      </c>
      <c r="I219" t="s">
        <v>1711</v>
      </c>
      <c r="J219" t="s">
        <v>2021</v>
      </c>
      <c r="K219">
        <v>5</v>
      </c>
      <c r="L219">
        <v>3</v>
      </c>
      <c r="M219">
        <v>2</v>
      </c>
      <c r="N219">
        <v>0</v>
      </c>
      <c r="O219">
        <v>0</v>
      </c>
      <c r="P219" s="8">
        <v>8.4</v>
      </c>
      <c r="Q219">
        <v>87</v>
      </c>
      <c r="R219">
        <v>0</v>
      </c>
      <c r="S219">
        <v>114.7</v>
      </c>
      <c r="T219">
        <v>171</v>
      </c>
      <c r="U219">
        <v>123</v>
      </c>
      <c r="V219">
        <v>107</v>
      </c>
      <c r="W219">
        <v>15</v>
      </c>
      <c r="X219">
        <v>101</v>
      </c>
      <c r="Y219">
        <v>36</v>
      </c>
      <c r="Z219" s="8">
        <v>2.37</v>
      </c>
      <c r="AA219" s="9">
        <v>0.34499999999999997</v>
      </c>
      <c r="AB219" s="9">
        <v>0.34499999999999997</v>
      </c>
    </row>
    <row r="220" spans="1:28">
      <c r="A220" t="str">
        <f t="shared" si="3"/>
        <v>MRKeith Yeo18</v>
      </c>
      <c r="B220">
        <v>13805</v>
      </c>
      <c r="C220">
        <v>293</v>
      </c>
      <c r="D220" t="s">
        <v>1961</v>
      </c>
      <c r="E220" t="s">
        <v>234</v>
      </c>
      <c r="F220">
        <v>0</v>
      </c>
      <c r="G220" s="10">
        <v>36668</v>
      </c>
      <c r="H220">
        <v>18</v>
      </c>
      <c r="I220" t="s">
        <v>1711</v>
      </c>
      <c r="J220" t="s">
        <v>2021</v>
      </c>
      <c r="K220">
        <v>4</v>
      </c>
      <c r="L220">
        <v>5</v>
      </c>
      <c r="M220">
        <v>1</v>
      </c>
      <c r="N220">
        <v>0</v>
      </c>
      <c r="O220">
        <v>0</v>
      </c>
      <c r="P220" s="8">
        <v>11.01</v>
      </c>
      <c r="Q220">
        <v>129</v>
      </c>
      <c r="R220">
        <v>0</v>
      </c>
      <c r="S220">
        <v>131.69999999999999</v>
      </c>
      <c r="T220">
        <v>249</v>
      </c>
      <c r="U220">
        <v>198</v>
      </c>
      <c r="V220">
        <v>161</v>
      </c>
      <c r="W220">
        <v>25</v>
      </c>
      <c r="X220">
        <v>117</v>
      </c>
      <c r="Y220">
        <v>36</v>
      </c>
      <c r="Z220" s="8">
        <v>2.78</v>
      </c>
      <c r="AA220" s="9">
        <v>0.41199999999999998</v>
      </c>
      <c r="AB220" s="9">
        <v>0.40100000000000002</v>
      </c>
    </row>
    <row r="221" spans="1:28">
      <c r="A221" t="str">
        <f t="shared" si="3"/>
        <v>MRRamiro García21</v>
      </c>
      <c r="B221">
        <v>2908</v>
      </c>
      <c r="C221">
        <v>386</v>
      </c>
      <c r="D221" t="s">
        <v>199</v>
      </c>
      <c r="E221" t="s">
        <v>1831</v>
      </c>
      <c r="F221">
        <v>0</v>
      </c>
      <c r="G221" s="10">
        <v>35433</v>
      </c>
      <c r="H221">
        <v>21</v>
      </c>
      <c r="I221" t="s">
        <v>1711</v>
      </c>
      <c r="J221" t="s">
        <v>2021</v>
      </c>
      <c r="K221">
        <v>4</v>
      </c>
      <c r="L221">
        <v>5</v>
      </c>
      <c r="M221">
        <v>1</v>
      </c>
      <c r="N221">
        <v>0</v>
      </c>
      <c r="O221">
        <v>0</v>
      </c>
      <c r="P221" s="8">
        <v>6.46</v>
      </c>
      <c r="Q221">
        <v>55</v>
      </c>
      <c r="R221">
        <v>0</v>
      </c>
      <c r="S221">
        <v>61.3</v>
      </c>
      <c r="T221">
        <v>71</v>
      </c>
      <c r="U221">
        <v>47</v>
      </c>
      <c r="V221">
        <v>44</v>
      </c>
      <c r="W221">
        <v>10</v>
      </c>
      <c r="X221">
        <v>43</v>
      </c>
      <c r="Y221">
        <v>33</v>
      </c>
      <c r="Z221" s="8">
        <v>1.86</v>
      </c>
      <c r="AA221" s="9">
        <v>0.29799999999999999</v>
      </c>
      <c r="AB221" s="9">
        <v>0.311</v>
      </c>
    </row>
    <row r="222" spans="1:28">
      <c r="A222" t="str">
        <f t="shared" si="3"/>
        <v>MRBob Muller21</v>
      </c>
      <c r="B222">
        <v>2440</v>
      </c>
      <c r="C222">
        <v>302</v>
      </c>
      <c r="D222" t="s">
        <v>1913</v>
      </c>
      <c r="E222" t="s">
        <v>236</v>
      </c>
      <c r="F222">
        <v>0</v>
      </c>
      <c r="G222" s="10">
        <v>35322</v>
      </c>
      <c r="H222">
        <v>21</v>
      </c>
      <c r="I222" t="s">
        <v>1711</v>
      </c>
      <c r="J222" t="s">
        <v>2021</v>
      </c>
      <c r="K222">
        <v>1</v>
      </c>
      <c r="L222">
        <v>0</v>
      </c>
      <c r="M222">
        <v>0</v>
      </c>
      <c r="N222">
        <v>0</v>
      </c>
      <c r="O222">
        <v>0</v>
      </c>
      <c r="P222" s="8">
        <v>7.07</v>
      </c>
      <c r="Q222">
        <v>29</v>
      </c>
      <c r="R222">
        <v>0</v>
      </c>
      <c r="S222">
        <v>35.700000000000003</v>
      </c>
      <c r="T222">
        <v>43</v>
      </c>
      <c r="U222">
        <v>28</v>
      </c>
      <c r="V222">
        <v>28</v>
      </c>
      <c r="W222">
        <v>6</v>
      </c>
      <c r="X222">
        <v>19</v>
      </c>
      <c r="Y222">
        <v>32</v>
      </c>
      <c r="Z222" s="8">
        <v>1.74</v>
      </c>
      <c r="AA222" s="9">
        <v>0.30099999999999999</v>
      </c>
      <c r="AB222" s="9">
        <v>0.34599999999999997</v>
      </c>
    </row>
    <row r="223" spans="1:28">
      <c r="A223" t="str">
        <f t="shared" si="3"/>
        <v>MRJuan Medina18</v>
      </c>
      <c r="B223">
        <v>13789</v>
      </c>
      <c r="C223">
        <v>348</v>
      </c>
      <c r="D223" t="s">
        <v>1835</v>
      </c>
      <c r="E223" t="s">
        <v>518</v>
      </c>
      <c r="F223">
        <v>0</v>
      </c>
      <c r="G223" s="10">
        <v>36393</v>
      </c>
      <c r="H223">
        <v>18</v>
      </c>
      <c r="I223" t="s">
        <v>1711</v>
      </c>
      <c r="J223" t="s">
        <v>2021</v>
      </c>
      <c r="K223">
        <v>6</v>
      </c>
      <c r="L223">
        <v>5</v>
      </c>
      <c r="M223">
        <v>1</v>
      </c>
      <c r="N223">
        <v>0</v>
      </c>
      <c r="O223">
        <v>0</v>
      </c>
      <c r="P223" s="8">
        <v>12.01</v>
      </c>
      <c r="Q223">
        <v>82</v>
      </c>
      <c r="R223">
        <v>0</v>
      </c>
      <c r="S223">
        <v>84.7</v>
      </c>
      <c r="T223">
        <v>153</v>
      </c>
      <c r="U223">
        <v>123</v>
      </c>
      <c r="V223">
        <v>113</v>
      </c>
      <c r="W223">
        <v>15</v>
      </c>
      <c r="X223">
        <v>61</v>
      </c>
      <c r="Y223">
        <v>32</v>
      </c>
      <c r="Z223" s="8">
        <v>2.5299999999999998</v>
      </c>
      <c r="AA223" s="9">
        <v>0.38700000000000001</v>
      </c>
      <c r="AB223" s="9">
        <v>0.39400000000000002</v>
      </c>
    </row>
    <row r="224" spans="1:28">
      <c r="A224" t="str">
        <f t="shared" si="3"/>
        <v>MRMiguel Hernández18</v>
      </c>
      <c r="B224">
        <v>13793</v>
      </c>
      <c r="C224">
        <v>385</v>
      </c>
      <c r="D224" t="s">
        <v>1977</v>
      </c>
      <c r="E224" t="s">
        <v>1885</v>
      </c>
      <c r="F224">
        <v>0</v>
      </c>
      <c r="G224" s="10">
        <v>36496</v>
      </c>
      <c r="H224">
        <v>18</v>
      </c>
      <c r="I224" t="s">
        <v>1711</v>
      </c>
      <c r="J224" t="s">
        <v>2021</v>
      </c>
      <c r="K224">
        <v>5</v>
      </c>
      <c r="L224">
        <v>3</v>
      </c>
      <c r="M224">
        <v>2</v>
      </c>
      <c r="N224">
        <v>0</v>
      </c>
      <c r="O224">
        <v>0</v>
      </c>
      <c r="P224" s="8">
        <v>6.69</v>
      </c>
      <c r="Q224">
        <v>62</v>
      </c>
      <c r="R224">
        <v>0</v>
      </c>
      <c r="S224">
        <v>74</v>
      </c>
      <c r="T224">
        <v>111</v>
      </c>
      <c r="U224">
        <v>70</v>
      </c>
      <c r="V224">
        <v>55</v>
      </c>
      <c r="W224">
        <v>9</v>
      </c>
      <c r="X224">
        <v>48</v>
      </c>
      <c r="Y224">
        <v>31</v>
      </c>
      <c r="Z224" s="8">
        <v>2.15</v>
      </c>
      <c r="AA224" s="9">
        <v>0.34499999999999997</v>
      </c>
      <c r="AB224" s="9">
        <v>0.35499999999999998</v>
      </c>
    </row>
    <row r="225" spans="1:28">
      <c r="A225" t="str">
        <f t="shared" si="3"/>
        <v>MRMike Landry21</v>
      </c>
      <c r="B225">
        <v>5805</v>
      </c>
      <c r="C225">
        <v>311</v>
      </c>
      <c r="D225" t="s">
        <v>1863</v>
      </c>
      <c r="E225" t="s">
        <v>237</v>
      </c>
      <c r="F225">
        <v>0</v>
      </c>
      <c r="G225" s="10">
        <v>35344</v>
      </c>
      <c r="H225">
        <v>21</v>
      </c>
      <c r="I225" t="s">
        <v>1711</v>
      </c>
      <c r="J225" t="s">
        <v>2021</v>
      </c>
      <c r="K225">
        <v>0</v>
      </c>
      <c r="L225">
        <v>1</v>
      </c>
      <c r="M225">
        <v>2</v>
      </c>
      <c r="N225">
        <v>0</v>
      </c>
      <c r="O225">
        <v>0</v>
      </c>
      <c r="P225" s="8">
        <v>7.29</v>
      </c>
      <c r="Q225">
        <v>37</v>
      </c>
      <c r="R225">
        <v>0</v>
      </c>
      <c r="S225">
        <v>45.7</v>
      </c>
      <c r="T225">
        <v>67</v>
      </c>
      <c r="U225">
        <v>39</v>
      </c>
      <c r="V225">
        <v>37</v>
      </c>
      <c r="W225">
        <v>5</v>
      </c>
      <c r="X225">
        <v>27</v>
      </c>
      <c r="Y225">
        <v>30</v>
      </c>
      <c r="Z225" s="8">
        <v>2.06</v>
      </c>
      <c r="AA225" s="9">
        <v>0.34399999999999997</v>
      </c>
      <c r="AB225" s="9">
        <v>0.38300000000000001</v>
      </c>
    </row>
    <row r="226" spans="1:28">
      <c r="A226" t="str">
        <f t="shared" si="3"/>
        <v>MRDavid Herrera21</v>
      </c>
      <c r="B226">
        <v>3819</v>
      </c>
      <c r="C226">
        <v>186</v>
      </c>
      <c r="D226" t="s">
        <v>1908</v>
      </c>
      <c r="E226" t="s">
        <v>1715</v>
      </c>
      <c r="F226">
        <v>0</v>
      </c>
      <c r="G226" s="10">
        <v>35534</v>
      </c>
      <c r="H226">
        <v>21</v>
      </c>
      <c r="I226" t="s">
        <v>1711</v>
      </c>
      <c r="J226" t="s">
        <v>2021</v>
      </c>
      <c r="K226">
        <v>0</v>
      </c>
      <c r="L226">
        <v>0</v>
      </c>
      <c r="M226">
        <v>0</v>
      </c>
      <c r="N226">
        <v>0</v>
      </c>
      <c r="O226">
        <v>0</v>
      </c>
      <c r="P226" s="8">
        <v>5.35</v>
      </c>
      <c r="Q226">
        <v>30</v>
      </c>
      <c r="R226">
        <v>0</v>
      </c>
      <c r="S226">
        <v>35.299999999999997</v>
      </c>
      <c r="T226">
        <v>37</v>
      </c>
      <c r="U226">
        <v>22</v>
      </c>
      <c r="V226">
        <v>21</v>
      </c>
      <c r="W226">
        <v>4</v>
      </c>
      <c r="X226">
        <v>22</v>
      </c>
      <c r="Y226">
        <v>27</v>
      </c>
      <c r="Z226" s="8">
        <v>1.67</v>
      </c>
      <c r="AA226" s="9">
        <v>0.28000000000000003</v>
      </c>
      <c r="AB226" s="9">
        <v>0.32</v>
      </c>
    </row>
    <row r="227" spans="1:28">
      <c r="A227" t="str">
        <f t="shared" si="3"/>
        <v>MREd Logan21</v>
      </c>
      <c r="B227">
        <v>4043</v>
      </c>
      <c r="C227">
        <v>246</v>
      </c>
      <c r="D227" t="s">
        <v>1873</v>
      </c>
      <c r="E227" t="s">
        <v>1959</v>
      </c>
      <c r="F227">
        <v>0</v>
      </c>
      <c r="G227" s="10">
        <v>35424</v>
      </c>
      <c r="H227">
        <v>21</v>
      </c>
      <c r="I227" t="s">
        <v>1711</v>
      </c>
      <c r="J227" t="s">
        <v>2021</v>
      </c>
      <c r="K227">
        <v>5</v>
      </c>
      <c r="L227">
        <v>1</v>
      </c>
      <c r="M227">
        <v>0</v>
      </c>
      <c r="N227">
        <v>0</v>
      </c>
      <c r="O227">
        <v>0</v>
      </c>
      <c r="P227" s="8">
        <v>6.75</v>
      </c>
      <c r="Q227">
        <v>39</v>
      </c>
      <c r="R227">
        <v>0</v>
      </c>
      <c r="S227">
        <v>46.7</v>
      </c>
      <c r="T227">
        <v>58</v>
      </c>
      <c r="U227">
        <v>38</v>
      </c>
      <c r="V227">
        <v>35</v>
      </c>
      <c r="W227">
        <v>6</v>
      </c>
      <c r="X227">
        <v>39</v>
      </c>
      <c r="Y227">
        <v>23</v>
      </c>
      <c r="Z227" s="8">
        <v>2.08</v>
      </c>
      <c r="AA227" s="9">
        <v>0.3</v>
      </c>
      <c r="AB227" s="9">
        <v>0.315</v>
      </c>
    </row>
    <row r="228" spans="1:28">
      <c r="A228" t="str">
        <f t="shared" si="3"/>
        <v>MRKen Charles18</v>
      </c>
      <c r="B228">
        <v>13775</v>
      </c>
      <c r="C228">
        <v>129</v>
      </c>
      <c r="D228" t="s">
        <v>1852</v>
      </c>
      <c r="E228" t="s">
        <v>1786</v>
      </c>
      <c r="F228">
        <v>0</v>
      </c>
      <c r="G228" s="10">
        <v>36496</v>
      </c>
      <c r="H228">
        <v>18</v>
      </c>
      <c r="I228" t="s">
        <v>1711</v>
      </c>
      <c r="J228" t="s">
        <v>2021</v>
      </c>
      <c r="K228">
        <v>2</v>
      </c>
      <c r="L228">
        <v>1</v>
      </c>
      <c r="M228">
        <v>1</v>
      </c>
      <c r="N228">
        <v>0</v>
      </c>
      <c r="O228">
        <v>0</v>
      </c>
      <c r="P228" s="8">
        <v>8.0299999999999994</v>
      </c>
      <c r="Q228">
        <v>32</v>
      </c>
      <c r="R228">
        <v>0</v>
      </c>
      <c r="S228">
        <v>37</v>
      </c>
      <c r="T228">
        <v>72</v>
      </c>
      <c r="U228">
        <v>43</v>
      </c>
      <c r="V228">
        <v>33</v>
      </c>
      <c r="W228">
        <v>6</v>
      </c>
      <c r="X228">
        <v>35</v>
      </c>
      <c r="Y228">
        <v>21</v>
      </c>
      <c r="Z228" s="8">
        <v>2.89</v>
      </c>
      <c r="AA228" s="9">
        <v>0.4</v>
      </c>
      <c r="AB228" s="9">
        <v>0.42599999999999999</v>
      </c>
    </row>
    <row r="229" spans="1:28">
      <c r="A229" t="str">
        <f t="shared" si="3"/>
        <v>MRCarlton Morris18</v>
      </c>
      <c r="B229">
        <v>1836</v>
      </c>
      <c r="C229">
        <v>228</v>
      </c>
      <c r="D229" t="s">
        <v>238</v>
      </c>
      <c r="E229" t="s">
        <v>239</v>
      </c>
      <c r="F229">
        <v>0</v>
      </c>
      <c r="G229" s="10">
        <v>36569</v>
      </c>
      <c r="H229">
        <v>18</v>
      </c>
      <c r="I229" t="s">
        <v>1711</v>
      </c>
      <c r="J229" t="s">
        <v>2021</v>
      </c>
      <c r="K229">
        <v>0</v>
      </c>
      <c r="L229">
        <v>1</v>
      </c>
      <c r="M229">
        <v>1</v>
      </c>
      <c r="N229">
        <v>0</v>
      </c>
      <c r="O229">
        <v>0</v>
      </c>
      <c r="P229" s="8">
        <v>6.94</v>
      </c>
      <c r="Q229">
        <v>18</v>
      </c>
      <c r="R229">
        <v>0</v>
      </c>
      <c r="S229">
        <v>23.3</v>
      </c>
      <c r="T229">
        <v>26</v>
      </c>
      <c r="U229">
        <v>19</v>
      </c>
      <c r="V229">
        <v>18</v>
      </c>
      <c r="W229">
        <v>3</v>
      </c>
      <c r="X229">
        <v>14</v>
      </c>
      <c r="Y229">
        <v>16</v>
      </c>
      <c r="Z229" s="8">
        <v>1.71</v>
      </c>
      <c r="AA229" s="9">
        <v>0.27100000000000002</v>
      </c>
      <c r="AB229" s="9">
        <v>0.29899999999999999</v>
      </c>
    </row>
    <row r="230" spans="1:28">
      <c r="A230" t="str">
        <f t="shared" si="3"/>
        <v>MREd Randolph21</v>
      </c>
      <c r="B230">
        <v>9240</v>
      </c>
      <c r="C230">
        <v>230</v>
      </c>
      <c r="D230" t="s">
        <v>1873</v>
      </c>
      <c r="E230" t="s">
        <v>240</v>
      </c>
      <c r="F230">
        <v>0</v>
      </c>
      <c r="G230" s="10">
        <v>35303</v>
      </c>
      <c r="H230">
        <v>21</v>
      </c>
      <c r="I230" t="s">
        <v>1711</v>
      </c>
      <c r="J230" t="s">
        <v>2021</v>
      </c>
      <c r="K230">
        <v>1</v>
      </c>
      <c r="L230">
        <v>0</v>
      </c>
      <c r="M230">
        <v>1</v>
      </c>
      <c r="N230">
        <v>0</v>
      </c>
      <c r="O230">
        <v>0</v>
      </c>
      <c r="P230" s="8">
        <v>4.43</v>
      </c>
      <c r="Q230">
        <v>18</v>
      </c>
      <c r="R230">
        <v>0</v>
      </c>
      <c r="S230">
        <v>22.3</v>
      </c>
      <c r="T230">
        <v>23</v>
      </c>
      <c r="U230">
        <v>12</v>
      </c>
      <c r="V230">
        <v>11</v>
      </c>
      <c r="W230">
        <v>1</v>
      </c>
      <c r="X230">
        <v>12</v>
      </c>
      <c r="Y230">
        <v>13</v>
      </c>
      <c r="Z230" s="8">
        <v>1.57</v>
      </c>
      <c r="AA230" s="9">
        <v>0.28100000000000003</v>
      </c>
      <c r="AB230" s="9">
        <v>0.31900000000000001</v>
      </c>
    </row>
    <row r="231" spans="1:28">
      <c r="A231" t="str">
        <f t="shared" si="3"/>
        <v>MRJeff Nolan21</v>
      </c>
      <c r="B231">
        <v>2675</v>
      </c>
      <c r="C231">
        <v>257</v>
      </c>
      <c r="D231" t="s">
        <v>1839</v>
      </c>
      <c r="E231" t="s">
        <v>1871</v>
      </c>
      <c r="F231">
        <v>0</v>
      </c>
      <c r="G231" s="10">
        <v>35462</v>
      </c>
      <c r="H231">
        <v>21</v>
      </c>
      <c r="I231" t="s">
        <v>1711</v>
      </c>
      <c r="J231" t="s">
        <v>2021</v>
      </c>
      <c r="K231">
        <v>2</v>
      </c>
      <c r="L231">
        <v>1</v>
      </c>
      <c r="M231">
        <v>1</v>
      </c>
      <c r="N231">
        <v>0</v>
      </c>
      <c r="O231">
        <v>0</v>
      </c>
      <c r="P231" s="8">
        <v>5.24</v>
      </c>
      <c r="Q231">
        <v>21</v>
      </c>
      <c r="R231">
        <v>0</v>
      </c>
      <c r="S231">
        <v>22.3</v>
      </c>
      <c r="T231">
        <v>26</v>
      </c>
      <c r="U231">
        <v>13</v>
      </c>
      <c r="V231">
        <v>13</v>
      </c>
      <c r="W231">
        <v>2</v>
      </c>
      <c r="X231">
        <v>12</v>
      </c>
      <c r="Y231">
        <v>12</v>
      </c>
      <c r="Z231" s="8">
        <v>1.7</v>
      </c>
      <c r="AA231" s="9">
        <v>0.30199999999999999</v>
      </c>
      <c r="AB231" s="9">
        <v>0.32400000000000001</v>
      </c>
    </row>
    <row r="232" spans="1:28">
      <c r="A232" t="str">
        <f t="shared" si="3"/>
        <v>MREiichi Yamamoto21</v>
      </c>
      <c r="B232">
        <v>2307</v>
      </c>
      <c r="C232">
        <v>321</v>
      </c>
      <c r="D232" t="s">
        <v>241</v>
      </c>
      <c r="E232" t="s">
        <v>242</v>
      </c>
      <c r="F232">
        <v>0</v>
      </c>
      <c r="G232" s="10">
        <v>35516</v>
      </c>
      <c r="H232">
        <v>21</v>
      </c>
      <c r="I232" t="s">
        <v>1711</v>
      </c>
      <c r="J232" t="s">
        <v>2021</v>
      </c>
      <c r="K232">
        <v>2</v>
      </c>
      <c r="L232">
        <v>2</v>
      </c>
      <c r="M232">
        <v>0</v>
      </c>
      <c r="N232">
        <v>0</v>
      </c>
      <c r="O232">
        <v>0</v>
      </c>
      <c r="P232" s="8">
        <v>6.12</v>
      </c>
      <c r="Q232">
        <v>33</v>
      </c>
      <c r="R232">
        <v>0</v>
      </c>
      <c r="S232">
        <v>32.299999999999997</v>
      </c>
      <c r="T232">
        <v>40</v>
      </c>
      <c r="U232">
        <v>22</v>
      </c>
      <c r="V232">
        <v>22</v>
      </c>
      <c r="W232">
        <v>3</v>
      </c>
      <c r="X232">
        <v>27</v>
      </c>
      <c r="Y232">
        <v>12</v>
      </c>
      <c r="Z232" s="8">
        <v>2.0699999999999998</v>
      </c>
      <c r="AA232" s="9">
        <v>0.318</v>
      </c>
      <c r="AB232" s="9">
        <v>0.33</v>
      </c>
    </row>
    <row r="233" spans="1:28">
      <c r="A233" t="str">
        <f t="shared" si="3"/>
        <v>MRKeith McAuley21</v>
      </c>
      <c r="B233">
        <v>4099</v>
      </c>
      <c r="C233">
        <v>254</v>
      </c>
      <c r="D233" t="s">
        <v>1961</v>
      </c>
      <c r="E233" t="s">
        <v>243</v>
      </c>
      <c r="F233">
        <v>0</v>
      </c>
      <c r="G233" s="10">
        <v>35275</v>
      </c>
      <c r="H233">
        <v>21</v>
      </c>
      <c r="I233" t="s">
        <v>1711</v>
      </c>
      <c r="J233" t="s">
        <v>2021</v>
      </c>
      <c r="K233">
        <v>0</v>
      </c>
      <c r="L233">
        <v>3</v>
      </c>
      <c r="M233">
        <v>0</v>
      </c>
      <c r="N233">
        <v>0</v>
      </c>
      <c r="O233">
        <v>0</v>
      </c>
      <c r="P233" s="8">
        <v>6.97</v>
      </c>
      <c r="Q233">
        <v>26</v>
      </c>
      <c r="R233">
        <v>0</v>
      </c>
      <c r="S233">
        <v>31</v>
      </c>
      <c r="T233">
        <v>45</v>
      </c>
      <c r="U233">
        <v>27</v>
      </c>
      <c r="V233">
        <v>24</v>
      </c>
      <c r="W233">
        <v>5</v>
      </c>
      <c r="X233">
        <v>24</v>
      </c>
      <c r="Y233">
        <v>11</v>
      </c>
      <c r="Z233" s="8">
        <v>2.23</v>
      </c>
      <c r="AA233" s="9">
        <v>0.35199999999999998</v>
      </c>
      <c r="AB233" s="9">
        <v>0.35699999999999998</v>
      </c>
    </row>
    <row r="234" spans="1:28">
      <c r="A234" t="str">
        <f t="shared" si="3"/>
        <v>MRFrank Baker18</v>
      </c>
      <c r="B234">
        <v>1548</v>
      </c>
      <c r="C234">
        <v>429</v>
      </c>
      <c r="D234" t="s">
        <v>1732</v>
      </c>
      <c r="E234" t="s">
        <v>1926</v>
      </c>
      <c r="F234">
        <v>0</v>
      </c>
      <c r="G234" s="10">
        <v>36546</v>
      </c>
      <c r="H234">
        <v>18</v>
      </c>
      <c r="I234" t="s">
        <v>1711</v>
      </c>
      <c r="J234" t="s">
        <v>2021</v>
      </c>
      <c r="K234">
        <v>0</v>
      </c>
      <c r="L234">
        <v>0</v>
      </c>
      <c r="M234">
        <v>0</v>
      </c>
      <c r="N234">
        <v>0</v>
      </c>
      <c r="O234">
        <v>0</v>
      </c>
      <c r="P234" s="8">
        <v>9.1999999999999993</v>
      </c>
      <c r="Q234">
        <v>17</v>
      </c>
      <c r="R234">
        <v>0</v>
      </c>
      <c r="S234">
        <v>14.7</v>
      </c>
      <c r="T234">
        <v>22</v>
      </c>
      <c r="U234">
        <v>16</v>
      </c>
      <c r="V234">
        <v>15</v>
      </c>
      <c r="W234">
        <v>2</v>
      </c>
      <c r="X234">
        <v>11</v>
      </c>
      <c r="Y234">
        <v>9</v>
      </c>
      <c r="Z234" s="8">
        <v>2.25</v>
      </c>
      <c r="AA234" s="9">
        <v>0.34899999999999998</v>
      </c>
      <c r="AB234" s="9">
        <v>0.37</v>
      </c>
    </row>
    <row r="235" spans="1:28">
      <c r="A235" t="str">
        <f t="shared" si="3"/>
        <v>MRSteve Delp18</v>
      </c>
      <c r="B235">
        <v>1301</v>
      </c>
      <c r="C235">
        <v>326</v>
      </c>
      <c r="D235" t="s">
        <v>1850</v>
      </c>
      <c r="E235" t="s">
        <v>244</v>
      </c>
      <c r="F235">
        <v>0</v>
      </c>
      <c r="G235" s="10">
        <v>36387</v>
      </c>
      <c r="H235">
        <v>18</v>
      </c>
      <c r="I235" t="s">
        <v>1711</v>
      </c>
      <c r="J235" t="s">
        <v>2021</v>
      </c>
      <c r="K235">
        <v>0</v>
      </c>
      <c r="L235">
        <v>0</v>
      </c>
      <c r="M235">
        <v>0</v>
      </c>
      <c r="N235">
        <v>0</v>
      </c>
      <c r="O235">
        <v>0</v>
      </c>
      <c r="P235" s="8">
        <v>10</v>
      </c>
      <c r="Q235">
        <v>10</v>
      </c>
      <c r="R235">
        <v>0</v>
      </c>
      <c r="S235">
        <v>9</v>
      </c>
      <c r="T235">
        <v>15</v>
      </c>
      <c r="U235">
        <v>15</v>
      </c>
      <c r="V235">
        <v>10</v>
      </c>
      <c r="W235">
        <v>1</v>
      </c>
      <c r="X235">
        <v>7</v>
      </c>
      <c r="Y235">
        <v>4</v>
      </c>
      <c r="Z235" s="8">
        <v>2.44</v>
      </c>
      <c r="AA235" s="9">
        <v>0.36599999999999999</v>
      </c>
      <c r="AB235" s="9">
        <v>0.378</v>
      </c>
    </row>
    <row r="236" spans="1:28">
      <c r="A236" t="str">
        <f t="shared" si="3"/>
        <v>MRAlvin Tinker21</v>
      </c>
      <c r="B236">
        <v>4109</v>
      </c>
      <c r="C236">
        <v>309</v>
      </c>
      <c r="D236" t="s">
        <v>245</v>
      </c>
      <c r="E236" t="s">
        <v>246</v>
      </c>
      <c r="F236">
        <v>0</v>
      </c>
      <c r="G236" s="10">
        <v>35447</v>
      </c>
      <c r="H236">
        <v>21</v>
      </c>
      <c r="I236" t="s">
        <v>1711</v>
      </c>
      <c r="J236" t="s">
        <v>2021</v>
      </c>
      <c r="K236">
        <v>0</v>
      </c>
      <c r="L236">
        <v>0</v>
      </c>
      <c r="M236">
        <v>0</v>
      </c>
      <c r="N236">
        <v>0</v>
      </c>
      <c r="O236">
        <v>0</v>
      </c>
      <c r="P236" s="8">
        <v>10.29</v>
      </c>
      <c r="Q236">
        <v>5</v>
      </c>
      <c r="R236">
        <v>0</v>
      </c>
      <c r="S236">
        <v>7</v>
      </c>
      <c r="T236">
        <v>15</v>
      </c>
      <c r="U236">
        <v>8</v>
      </c>
      <c r="V236">
        <v>8</v>
      </c>
      <c r="W236">
        <v>2</v>
      </c>
      <c r="X236">
        <v>4</v>
      </c>
      <c r="Y236">
        <v>2</v>
      </c>
      <c r="Z236" s="8">
        <v>2.71</v>
      </c>
      <c r="AA236" s="9">
        <v>0.45500000000000002</v>
      </c>
      <c r="AB236" s="9">
        <v>0.44800000000000001</v>
      </c>
    </row>
    <row r="237" spans="1:28">
      <c r="A237" t="str">
        <f t="shared" si="3"/>
        <v>MRSixto Canó18</v>
      </c>
      <c r="B237">
        <v>13748</v>
      </c>
      <c r="C237">
        <v>177</v>
      </c>
      <c r="D237" t="s">
        <v>1936</v>
      </c>
      <c r="E237" t="s">
        <v>247</v>
      </c>
      <c r="F237">
        <v>0</v>
      </c>
      <c r="G237" s="10">
        <v>36620</v>
      </c>
      <c r="H237">
        <v>18</v>
      </c>
      <c r="I237" t="s">
        <v>1711</v>
      </c>
      <c r="J237" t="s">
        <v>2021</v>
      </c>
      <c r="P237" s="8">
        <v>0</v>
      </c>
      <c r="S237">
        <v>0</v>
      </c>
      <c r="Z237" s="8">
        <v>0</v>
      </c>
      <c r="AA237" s="9">
        <v>0</v>
      </c>
      <c r="AB237" s="9">
        <v>0</v>
      </c>
    </row>
    <row r="238" spans="1:28">
      <c r="A238" t="str">
        <f t="shared" si="3"/>
        <v>MRFrank Cantrell18</v>
      </c>
      <c r="B238">
        <v>1133</v>
      </c>
      <c r="C238">
        <v>151</v>
      </c>
      <c r="D238" t="s">
        <v>1732</v>
      </c>
      <c r="E238" t="s">
        <v>248</v>
      </c>
      <c r="F238">
        <v>0</v>
      </c>
      <c r="G238" s="10">
        <v>36398</v>
      </c>
      <c r="H238">
        <v>18</v>
      </c>
      <c r="I238" t="s">
        <v>1711</v>
      </c>
      <c r="J238" t="s">
        <v>2021</v>
      </c>
      <c r="P238" s="8">
        <v>0</v>
      </c>
      <c r="S238">
        <v>0</v>
      </c>
      <c r="Z238" s="8">
        <v>0</v>
      </c>
      <c r="AA238" s="9">
        <v>0</v>
      </c>
      <c r="AB238" s="9">
        <v>0</v>
      </c>
    </row>
    <row r="239" spans="1:28">
      <c r="A239" t="str">
        <f t="shared" si="3"/>
        <v>CLLuis Flores18</v>
      </c>
      <c r="B239">
        <v>1853</v>
      </c>
      <c r="C239">
        <v>440</v>
      </c>
      <c r="D239" t="s">
        <v>1826</v>
      </c>
      <c r="E239" t="s">
        <v>1717</v>
      </c>
      <c r="F239">
        <v>0</v>
      </c>
      <c r="G239" s="10">
        <v>36648</v>
      </c>
      <c r="H239">
        <v>18</v>
      </c>
      <c r="I239" t="s">
        <v>1711</v>
      </c>
      <c r="J239" t="s">
        <v>2032</v>
      </c>
      <c r="P239" s="8">
        <v>0</v>
      </c>
      <c r="S239">
        <v>0</v>
      </c>
      <c r="Z239" s="8">
        <v>0</v>
      </c>
      <c r="AA239" s="9">
        <v>0</v>
      </c>
      <c r="AB239" s="9">
        <v>0</v>
      </c>
    </row>
    <row r="240" spans="1:28">
      <c r="A240" t="str">
        <f t="shared" si="3"/>
        <v>MRÁlex Ramos18</v>
      </c>
      <c r="B240">
        <v>674</v>
      </c>
      <c r="C240">
        <v>67</v>
      </c>
      <c r="D240" t="s">
        <v>1827</v>
      </c>
      <c r="E240" t="s">
        <v>1935</v>
      </c>
      <c r="F240">
        <v>0</v>
      </c>
      <c r="G240" s="10">
        <v>36355</v>
      </c>
      <c r="H240">
        <v>18</v>
      </c>
      <c r="I240" t="s">
        <v>1711</v>
      </c>
      <c r="J240" t="s">
        <v>2021</v>
      </c>
      <c r="P240" s="8">
        <v>0</v>
      </c>
      <c r="S240">
        <v>0</v>
      </c>
      <c r="Z240" s="8">
        <v>0</v>
      </c>
      <c r="AA240" s="9">
        <v>0</v>
      </c>
      <c r="AB240" s="9">
        <v>0</v>
      </c>
    </row>
    <row r="241" spans="1:28">
      <c r="A241" t="str">
        <f t="shared" si="3"/>
        <v>SPNelson Baker21</v>
      </c>
      <c r="B241">
        <v>6870</v>
      </c>
      <c r="C241">
        <v>19</v>
      </c>
      <c r="D241" t="s">
        <v>1838</v>
      </c>
      <c r="E241" t="s">
        <v>1926</v>
      </c>
      <c r="F241">
        <v>0</v>
      </c>
      <c r="G241" s="10">
        <v>35478</v>
      </c>
      <c r="H241">
        <v>21</v>
      </c>
      <c r="I241" t="s">
        <v>2069</v>
      </c>
      <c r="J241" t="s">
        <v>2003</v>
      </c>
      <c r="P241" s="8"/>
      <c r="Z241" s="8"/>
      <c r="AA241" s="9"/>
      <c r="AB241" s="9"/>
    </row>
    <row r="242" spans="1:28">
      <c r="A242" t="str">
        <f t="shared" si="3"/>
        <v>MRSean Greene21</v>
      </c>
      <c r="B242">
        <v>3456</v>
      </c>
      <c r="C242">
        <v>273</v>
      </c>
      <c r="D242" t="s">
        <v>1687</v>
      </c>
      <c r="E242" t="s">
        <v>343</v>
      </c>
      <c r="F242">
        <v>0</v>
      </c>
      <c r="G242" s="10">
        <v>35313</v>
      </c>
      <c r="H242">
        <v>21</v>
      </c>
      <c r="I242" t="s">
        <v>2057</v>
      </c>
      <c r="J242" t="s">
        <v>2021</v>
      </c>
      <c r="P242" s="8"/>
      <c r="Z242" s="8"/>
      <c r="AA242" s="9"/>
      <c r="AB242" s="9"/>
    </row>
    <row r="243" spans="1:28">
      <c r="A243" t="str">
        <f t="shared" si="3"/>
        <v>MRGregg Williams18</v>
      </c>
      <c r="B243">
        <v>1809</v>
      </c>
      <c r="C243">
        <v>166</v>
      </c>
      <c r="D243" t="s">
        <v>317</v>
      </c>
      <c r="E243" t="s">
        <v>1905</v>
      </c>
      <c r="F243">
        <v>0</v>
      </c>
      <c r="G243" s="10">
        <v>36322</v>
      </c>
      <c r="H243">
        <v>18</v>
      </c>
      <c r="I243" t="s">
        <v>2035</v>
      </c>
      <c r="J243" t="s">
        <v>2021</v>
      </c>
      <c r="P243" s="8"/>
      <c r="Z243" s="8"/>
      <c r="AA243" s="9"/>
      <c r="AB243" s="9"/>
    </row>
    <row r="244" spans="1:28">
      <c r="G244" s="10"/>
      <c r="P244" s="8"/>
      <c r="Z244" s="8"/>
      <c r="AA244" s="9"/>
      <c r="AB244" s="9"/>
    </row>
    <row r="245" spans="1:28">
      <c r="G245" s="10"/>
      <c r="P245" s="8"/>
      <c r="Z245" s="8"/>
      <c r="AA245" s="9"/>
      <c r="AB245" s="9"/>
    </row>
    <row r="246" spans="1:28">
      <c r="G246" s="10"/>
      <c r="P246" s="8"/>
      <c r="Z246" s="8"/>
      <c r="AA246" s="9"/>
      <c r="AB246" s="9"/>
    </row>
    <row r="247" spans="1:28">
      <c r="G247" s="10"/>
      <c r="P247" s="8"/>
      <c r="Z247" s="8"/>
      <c r="AA247" s="9"/>
      <c r="AB247" s="9"/>
    </row>
    <row r="248" spans="1:28">
      <c r="G248" s="10"/>
      <c r="P248" s="8"/>
      <c r="Z248" s="8"/>
      <c r="AA248" s="9"/>
      <c r="AB248" s="9"/>
    </row>
    <row r="249" spans="1:28">
      <c r="G249" s="10"/>
      <c r="P249" s="8"/>
      <c r="Z249" s="8"/>
      <c r="AA249" s="9"/>
      <c r="AB249" s="9"/>
    </row>
    <row r="250" spans="1:28">
      <c r="G250" s="10"/>
      <c r="P250" s="8"/>
      <c r="Z250" s="8"/>
      <c r="AA250" s="9"/>
      <c r="AB250" s="9"/>
    </row>
    <row r="251" spans="1:28">
      <c r="G251" s="10"/>
      <c r="P251" s="8"/>
      <c r="Z251" s="8"/>
      <c r="AA251" s="9"/>
      <c r="AB251" s="9"/>
    </row>
    <row r="252" spans="1:28">
      <c r="G252" s="10"/>
      <c r="P252" s="8"/>
      <c r="Z252" s="8"/>
      <c r="AA252" s="9"/>
      <c r="AB252" s="9"/>
    </row>
    <row r="253" spans="1:28">
      <c r="G253" s="10"/>
      <c r="P253" s="8"/>
      <c r="Z253" s="8"/>
      <c r="AA253" s="9"/>
      <c r="AB253" s="9"/>
    </row>
    <row r="254" spans="1:28">
      <c r="G254" s="10"/>
      <c r="P254" s="8"/>
      <c r="Z254" s="8"/>
      <c r="AA254" s="9"/>
      <c r="AB254" s="9"/>
    </row>
    <row r="255" spans="1:28">
      <c r="G255" s="10"/>
      <c r="P255" s="8"/>
      <c r="Z255" s="8"/>
      <c r="AA255" s="9"/>
      <c r="AB255" s="9"/>
    </row>
    <row r="256" spans="1:28">
      <c r="G256" s="10"/>
      <c r="P256" s="8"/>
      <c r="Z256" s="8"/>
      <c r="AA256" s="9"/>
      <c r="AB256" s="9"/>
    </row>
    <row r="257" spans="7:28">
      <c r="G257" s="10"/>
      <c r="P257" s="8"/>
      <c r="Z257" s="8"/>
      <c r="AA257" s="9"/>
      <c r="AB257" s="9"/>
    </row>
    <row r="258" spans="7:28">
      <c r="G258" s="10"/>
      <c r="P258" s="8"/>
      <c r="Z258" s="8"/>
      <c r="AA258" s="9"/>
      <c r="AB258" s="9"/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413"/>
  <sheetViews>
    <sheetView workbookViewId="0">
      <selection activeCell="F4" sqref="F4"/>
    </sheetView>
  </sheetViews>
  <sheetFormatPr baseColWidth="10" defaultColWidth="8.83203125" defaultRowHeight="14"/>
  <cols>
    <col min="2" max="2" width="6.6640625" bestFit="1" customWidth="1"/>
    <col min="3" max="3" width="4.83203125" bestFit="1" customWidth="1"/>
    <col min="4" max="4" width="7.6640625" bestFit="1" customWidth="1"/>
    <col min="5" max="5" width="29.33203125" bestFit="1" customWidth="1"/>
    <col min="6" max="6" width="4.33203125" bestFit="1" customWidth="1"/>
    <col min="7" max="7" width="19.1640625" bestFit="1" customWidth="1"/>
  </cols>
  <sheetData>
    <row r="1" spans="1:7" ht="15" thickBot="1"/>
    <row r="2" spans="1:7" ht="15" thickBot="1">
      <c r="A2" t="str">
        <f t="shared" ref="A2:A3" si="0">F2&amp;G2</f>
        <v>Show/Hide</v>
      </c>
      <c r="B2" s="49" t="s">
        <v>1611</v>
      </c>
      <c r="C2" s="50"/>
      <c r="D2" s="50"/>
      <c r="E2" s="50"/>
      <c r="F2" s="51"/>
      <c r="G2" s="23" t="s">
        <v>1612</v>
      </c>
    </row>
    <row r="3" spans="1:7" ht="15" thickBot="1">
      <c r="A3" t="str">
        <f t="shared" si="0"/>
        <v>PosPlayer</v>
      </c>
      <c r="B3" s="24" t="s">
        <v>1613</v>
      </c>
      <c r="C3" s="24" t="s">
        <v>1604</v>
      </c>
      <c r="D3" s="24" t="s">
        <v>1614</v>
      </c>
      <c r="E3" s="25" t="s">
        <v>1605</v>
      </c>
      <c r="F3" s="24" t="s">
        <v>2137</v>
      </c>
      <c r="G3" s="25" t="s">
        <v>1615</v>
      </c>
    </row>
    <row r="4" spans="1:7" ht="15" thickBot="1">
      <c r="A4" t="str">
        <f>F4&amp;G4</f>
        <v>CF</v>
      </c>
      <c r="B4" s="26">
        <v>1</v>
      </c>
      <c r="C4" s="26">
        <v>1</v>
      </c>
      <c r="D4" s="26">
        <v>1</v>
      </c>
      <c r="E4" s="27" t="s">
        <v>1616</v>
      </c>
      <c r="F4" s="26" t="s">
        <v>2079</v>
      </c>
      <c r="G4" s="27"/>
    </row>
    <row r="5" spans="1:7" ht="15" thickBot="1">
      <c r="A5" t="str">
        <f t="shared" ref="A5:A68" si="1">F5&amp;G5</f>
        <v>SP</v>
      </c>
      <c r="B5" s="28">
        <v>1</v>
      </c>
      <c r="C5" s="28">
        <v>2</v>
      </c>
      <c r="D5" s="28">
        <v>2</v>
      </c>
      <c r="E5" s="29" t="s">
        <v>1617</v>
      </c>
      <c r="F5" s="28" t="s">
        <v>2003</v>
      </c>
      <c r="G5" s="29"/>
    </row>
    <row r="6" spans="1:7" ht="15" thickBot="1">
      <c r="A6" t="str">
        <f t="shared" si="1"/>
        <v>CF</v>
      </c>
      <c r="B6" s="26">
        <v>1</v>
      </c>
      <c r="C6" s="26">
        <v>3</v>
      </c>
      <c r="D6" s="26">
        <v>3</v>
      </c>
      <c r="E6" s="27" t="s">
        <v>1618</v>
      </c>
      <c r="F6" s="26" t="s">
        <v>2079</v>
      </c>
      <c r="G6" s="27"/>
    </row>
    <row r="7" spans="1:7" ht="15" thickBot="1">
      <c r="A7" t="str">
        <f t="shared" si="1"/>
        <v>SP</v>
      </c>
      <c r="B7" s="28">
        <v>1</v>
      </c>
      <c r="C7" s="28">
        <v>4</v>
      </c>
      <c r="D7" s="28">
        <v>4</v>
      </c>
      <c r="E7" s="29" t="s">
        <v>1619</v>
      </c>
      <c r="F7" s="28" t="s">
        <v>2003</v>
      </c>
      <c r="G7" s="29"/>
    </row>
    <row r="8" spans="1:7" ht="15" thickBot="1">
      <c r="A8" t="str">
        <f t="shared" si="1"/>
        <v>SP</v>
      </c>
      <c r="B8" s="26">
        <v>1</v>
      </c>
      <c r="C8" s="26">
        <v>5</v>
      </c>
      <c r="D8" s="26">
        <v>5</v>
      </c>
      <c r="E8" s="27" t="s">
        <v>1620</v>
      </c>
      <c r="F8" s="26" t="s">
        <v>2003</v>
      </c>
      <c r="G8" s="27"/>
    </row>
    <row r="9" spans="1:7" ht="15" thickBot="1">
      <c r="A9" t="str">
        <f t="shared" si="1"/>
        <v>SP</v>
      </c>
      <c r="B9" s="28">
        <v>1</v>
      </c>
      <c r="C9" s="28">
        <v>6</v>
      </c>
      <c r="D9" s="28">
        <v>6</v>
      </c>
      <c r="E9" s="29" t="s">
        <v>1616</v>
      </c>
      <c r="F9" s="28" t="s">
        <v>2003</v>
      </c>
      <c r="G9" s="29"/>
    </row>
    <row r="10" spans="1:7" ht="15" thickBot="1">
      <c r="A10" t="str">
        <f t="shared" si="1"/>
        <v>SP</v>
      </c>
      <c r="B10" s="26">
        <v>1</v>
      </c>
      <c r="C10" s="26">
        <v>7</v>
      </c>
      <c r="D10" s="26">
        <v>7</v>
      </c>
      <c r="E10" s="27" t="s">
        <v>1621</v>
      </c>
      <c r="F10" s="26" t="s">
        <v>2003</v>
      </c>
      <c r="G10" s="27"/>
    </row>
    <row r="11" spans="1:7" ht="15" thickBot="1">
      <c r="A11" t="str">
        <f t="shared" si="1"/>
        <v>LF</v>
      </c>
      <c r="B11" s="28">
        <v>1</v>
      </c>
      <c r="C11" s="28">
        <v>8</v>
      </c>
      <c r="D11" s="28">
        <v>8</v>
      </c>
      <c r="E11" s="29" t="s">
        <v>1622</v>
      </c>
      <c r="F11" s="28" t="s">
        <v>2035</v>
      </c>
      <c r="G11" s="29"/>
    </row>
    <row r="12" spans="1:7" ht="15" thickBot="1">
      <c r="A12" t="str">
        <f t="shared" si="1"/>
        <v>SP</v>
      </c>
      <c r="B12" s="26">
        <v>1</v>
      </c>
      <c r="C12" s="26">
        <v>9</v>
      </c>
      <c r="D12" s="26">
        <v>9</v>
      </c>
      <c r="E12" s="27" t="s">
        <v>1623</v>
      </c>
      <c r="F12" s="26" t="s">
        <v>2003</v>
      </c>
      <c r="G12" s="27"/>
    </row>
    <row r="13" spans="1:7" ht="15" thickBot="1">
      <c r="A13" t="str">
        <f t="shared" si="1"/>
        <v>SP</v>
      </c>
      <c r="B13" s="28">
        <v>1</v>
      </c>
      <c r="C13" s="28">
        <v>10</v>
      </c>
      <c r="D13" s="28">
        <v>10</v>
      </c>
      <c r="E13" s="29" t="s">
        <v>1624</v>
      </c>
      <c r="F13" s="28" t="s">
        <v>2003</v>
      </c>
      <c r="G13" s="29"/>
    </row>
    <row r="14" spans="1:7" ht="15" thickBot="1">
      <c r="A14" t="str">
        <f t="shared" si="1"/>
        <v>SP</v>
      </c>
      <c r="B14" s="26">
        <v>1</v>
      </c>
      <c r="C14" s="26">
        <v>11</v>
      </c>
      <c r="D14" s="26">
        <v>11</v>
      </c>
      <c r="E14" s="27" t="s">
        <v>1625</v>
      </c>
      <c r="F14" s="26" t="s">
        <v>2003</v>
      </c>
      <c r="G14" s="27"/>
    </row>
    <row r="15" spans="1:7" ht="15" thickBot="1">
      <c r="A15" t="str">
        <f t="shared" si="1"/>
        <v>RF</v>
      </c>
      <c r="B15" s="28">
        <v>1</v>
      </c>
      <c r="C15" s="28">
        <v>12</v>
      </c>
      <c r="D15" s="28">
        <v>12</v>
      </c>
      <c r="E15" s="29" t="s">
        <v>1626</v>
      </c>
      <c r="F15" s="28" t="s">
        <v>2057</v>
      </c>
      <c r="G15" s="29"/>
    </row>
    <row r="16" spans="1:7" ht="15" thickBot="1">
      <c r="A16" t="str">
        <f t="shared" si="1"/>
        <v>CF</v>
      </c>
      <c r="B16" s="26">
        <v>1</v>
      </c>
      <c r="C16" s="26">
        <v>13</v>
      </c>
      <c r="D16" s="26">
        <v>13</v>
      </c>
      <c r="E16" s="27" t="s">
        <v>1627</v>
      </c>
      <c r="F16" s="26" t="s">
        <v>2079</v>
      </c>
      <c r="G16" s="27"/>
    </row>
    <row r="17" spans="1:7" ht="15" thickBot="1">
      <c r="A17" t="str">
        <f t="shared" si="1"/>
        <v>RF</v>
      </c>
      <c r="B17" s="28">
        <v>1</v>
      </c>
      <c r="C17" s="28">
        <v>14</v>
      </c>
      <c r="D17" s="28">
        <v>14</v>
      </c>
      <c r="E17" s="29" t="s">
        <v>1628</v>
      </c>
      <c r="F17" s="28" t="s">
        <v>2057</v>
      </c>
      <c r="G17" s="29"/>
    </row>
    <row r="18" spans="1:7" ht="15" thickBot="1">
      <c r="A18" t="str">
        <f t="shared" si="1"/>
        <v>RF</v>
      </c>
      <c r="B18" s="26">
        <v>1</v>
      </c>
      <c r="C18" s="26">
        <v>15</v>
      </c>
      <c r="D18" s="26">
        <v>15</v>
      </c>
      <c r="E18" s="27" t="s">
        <v>1629</v>
      </c>
      <c r="F18" s="26" t="s">
        <v>2057</v>
      </c>
      <c r="G18" s="27"/>
    </row>
    <row r="19" spans="1:7" ht="15" thickBot="1">
      <c r="A19" t="str">
        <f t="shared" si="1"/>
        <v>CF</v>
      </c>
      <c r="B19" s="28">
        <v>1</v>
      </c>
      <c r="C19" s="28">
        <v>16</v>
      </c>
      <c r="D19" s="28">
        <v>16</v>
      </c>
      <c r="E19" s="29" t="s">
        <v>1623</v>
      </c>
      <c r="F19" s="28" t="s">
        <v>2079</v>
      </c>
      <c r="G19" s="29"/>
    </row>
    <row r="20" spans="1:7" ht="15" thickBot="1">
      <c r="A20" t="str">
        <f t="shared" si="1"/>
        <v>CL</v>
      </c>
      <c r="B20" s="26">
        <v>1</v>
      </c>
      <c r="C20" s="26">
        <v>17</v>
      </c>
      <c r="D20" s="26">
        <v>17</v>
      </c>
      <c r="E20" s="27" t="s">
        <v>1629</v>
      </c>
      <c r="F20" s="26" t="s">
        <v>2032</v>
      </c>
      <c r="G20" s="27"/>
    </row>
    <row r="21" spans="1:7" ht="15" thickBot="1">
      <c r="A21" t="str">
        <f t="shared" si="1"/>
        <v>SP</v>
      </c>
      <c r="B21" s="28">
        <v>1</v>
      </c>
      <c r="C21" s="28">
        <v>18</v>
      </c>
      <c r="D21" s="28">
        <v>18</v>
      </c>
      <c r="E21" s="29" t="s">
        <v>1621</v>
      </c>
      <c r="F21" s="28" t="s">
        <v>2003</v>
      </c>
      <c r="G21" s="29"/>
    </row>
    <row r="22" spans="1:7" ht="15" thickBot="1">
      <c r="A22" t="str">
        <f t="shared" si="1"/>
        <v>SP</v>
      </c>
      <c r="B22" s="26">
        <v>1</v>
      </c>
      <c r="C22" s="26">
        <v>19</v>
      </c>
      <c r="D22" s="26">
        <v>19</v>
      </c>
      <c r="E22" s="27" t="s">
        <v>1630</v>
      </c>
      <c r="F22" s="26" t="s">
        <v>2003</v>
      </c>
      <c r="G22" s="27"/>
    </row>
    <row r="23" spans="1:7" ht="15" thickBot="1">
      <c r="A23" t="str">
        <f t="shared" si="1"/>
        <v>3B</v>
      </c>
      <c r="B23" s="28">
        <v>1</v>
      </c>
      <c r="C23" s="28">
        <v>20</v>
      </c>
      <c r="D23" s="28">
        <v>20</v>
      </c>
      <c r="E23" s="29" t="s">
        <v>1631</v>
      </c>
      <c r="F23" s="28" t="s">
        <v>2061</v>
      </c>
      <c r="G23" s="29"/>
    </row>
    <row r="24" spans="1:7" ht="15" thickBot="1">
      <c r="A24" t="str">
        <f t="shared" si="1"/>
        <v>SP</v>
      </c>
      <c r="B24" s="26">
        <v>1</v>
      </c>
      <c r="C24" s="26">
        <v>21</v>
      </c>
      <c r="D24" s="26">
        <v>21</v>
      </c>
      <c r="E24" s="27" t="s">
        <v>1626</v>
      </c>
      <c r="F24" s="26" t="s">
        <v>2003</v>
      </c>
      <c r="G24" s="27"/>
    </row>
    <row r="25" spans="1:7" ht="15" thickBot="1">
      <c r="A25" t="str">
        <f t="shared" si="1"/>
        <v>RF</v>
      </c>
      <c r="B25" s="28">
        <v>1</v>
      </c>
      <c r="C25" s="28">
        <v>22</v>
      </c>
      <c r="D25" s="28">
        <v>22</v>
      </c>
      <c r="E25" s="29" t="s">
        <v>1632</v>
      </c>
      <c r="F25" s="28" t="s">
        <v>2057</v>
      </c>
      <c r="G25" s="29"/>
    </row>
    <row r="26" spans="1:7" ht="15" thickBot="1">
      <c r="A26" t="str">
        <f t="shared" si="1"/>
        <v>SS</v>
      </c>
      <c r="B26" s="26">
        <v>1</v>
      </c>
      <c r="C26" s="26">
        <v>23</v>
      </c>
      <c r="D26" s="26">
        <v>23</v>
      </c>
      <c r="E26" s="27" t="s">
        <v>1633</v>
      </c>
      <c r="F26" s="26" t="s">
        <v>2074</v>
      </c>
      <c r="G26" s="27"/>
    </row>
    <row r="27" spans="1:7" ht="15" thickBot="1">
      <c r="A27" t="str">
        <f t="shared" si="1"/>
        <v>SP</v>
      </c>
      <c r="B27" s="28">
        <v>1</v>
      </c>
      <c r="C27" s="28">
        <v>24</v>
      </c>
      <c r="D27" s="28">
        <v>24</v>
      </c>
      <c r="E27" s="29" t="s">
        <v>1618</v>
      </c>
      <c r="F27" s="28" t="s">
        <v>2003</v>
      </c>
      <c r="G27" s="29"/>
    </row>
    <row r="28" spans="1:7" ht="15" thickBot="1">
      <c r="A28" t="str">
        <f t="shared" si="1"/>
        <v/>
      </c>
      <c r="B28" s="49" t="s">
        <v>1634</v>
      </c>
      <c r="C28" s="50"/>
      <c r="D28" s="50"/>
      <c r="E28" s="50"/>
      <c r="F28" s="51"/>
      <c r="G28" s="23"/>
    </row>
    <row r="29" spans="1:7" ht="15" thickBot="1">
      <c r="A29" t="str">
        <f t="shared" si="1"/>
        <v>Pos</v>
      </c>
      <c r="B29" s="24" t="s">
        <v>1613</v>
      </c>
      <c r="C29" s="24" t="s">
        <v>1604</v>
      </c>
      <c r="D29" s="24" t="s">
        <v>1614</v>
      </c>
      <c r="E29" s="25" t="s">
        <v>1605</v>
      </c>
      <c r="F29" s="24" t="s">
        <v>2137</v>
      </c>
      <c r="G29" s="25"/>
    </row>
    <row r="30" spans="1:7" ht="15" thickBot="1">
      <c r="A30" t="str">
        <f t="shared" si="1"/>
        <v>SP</v>
      </c>
      <c r="B30" s="26" t="s">
        <v>1635</v>
      </c>
      <c r="C30" s="26">
        <v>1</v>
      </c>
      <c r="D30" s="26">
        <v>25</v>
      </c>
      <c r="E30" s="27" t="s">
        <v>1617</v>
      </c>
      <c r="F30" s="26" t="s">
        <v>2003</v>
      </c>
      <c r="G30" s="27"/>
    </row>
    <row r="31" spans="1:7" ht="15" thickBot="1">
      <c r="A31" t="str">
        <f t="shared" si="1"/>
        <v>SP</v>
      </c>
      <c r="B31" s="28" t="s">
        <v>1635</v>
      </c>
      <c r="C31" s="28">
        <v>2</v>
      </c>
      <c r="D31" s="28">
        <v>26</v>
      </c>
      <c r="E31" s="29" t="s">
        <v>1619</v>
      </c>
      <c r="F31" s="28" t="s">
        <v>2003</v>
      </c>
      <c r="G31" s="29"/>
    </row>
    <row r="32" spans="1:7" ht="15" thickBot="1">
      <c r="A32" t="str">
        <f t="shared" si="1"/>
        <v>SS</v>
      </c>
      <c r="B32" s="26" t="s">
        <v>1635</v>
      </c>
      <c r="C32" s="26">
        <v>3</v>
      </c>
      <c r="D32" s="26">
        <v>27</v>
      </c>
      <c r="E32" s="27" t="s">
        <v>1626</v>
      </c>
      <c r="F32" s="26" t="s">
        <v>2074</v>
      </c>
      <c r="G32" s="27"/>
    </row>
    <row r="33" spans="1:7" ht="15" thickBot="1">
      <c r="A33" t="str">
        <f t="shared" si="1"/>
        <v>LF</v>
      </c>
      <c r="B33" s="28" t="s">
        <v>1635</v>
      </c>
      <c r="C33" s="28">
        <v>4</v>
      </c>
      <c r="D33" s="28">
        <v>28</v>
      </c>
      <c r="E33" s="29" t="s">
        <v>1628</v>
      </c>
      <c r="F33" s="28" t="s">
        <v>2035</v>
      </c>
      <c r="G33" s="29"/>
    </row>
    <row r="34" spans="1:7" ht="15" thickBot="1">
      <c r="A34" t="str">
        <f t="shared" si="1"/>
        <v>SP</v>
      </c>
      <c r="B34" s="26" t="s">
        <v>1635</v>
      </c>
      <c r="C34" s="26">
        <v>5</v>
      </c>
      <c r="D34" s="26">
        <v>29</v>
      </c>
      <c r="E34" s="27" t="s">
        <v>1636</v>
      </c>
      <c r="F34" s="26" t="s">
        <v>2003</v>
      </c>
      <c r="G34" s="27"/>
    </row>
    <row r="35" spans="1:7" ht="15" thickBot="1">
      <c r="A35" t="str">
        <f t="shared" si="1"/>
        <v>MR</v>
      </c>
      <c r="B35" s="28" t="s">
        <v>1635</v>
      </c>
      <c r="C35" s="28">
        <v>6</v>
      </c>
      <c r="D35" s="28">
        <v>30</v>
      </c>
      <c r="E35" s="29" t="s">
        <v>1637</v>
      </c>
      <c r="F35" s="28" t="s">
        <v>2021</v>
      </c>
      <c r="G35" s="29"/>
    </row>
    <row r="36" spans="1:7" ht="15" thickBot="1">
      <c r="A36" t="str">
        <f t="shared" si="1"/>
        <v>SP</v>
      </c>
      <c r="B36" s="26" t="s">
        <v>1635</v>
      </c>
      <c r="C36" s="26">
        <v>7</v>
      </c>
      <c r="D36" s="26">
        <v>31</v>
      </c>
      <c r="E36" s="27" t="s">
        <v>1631</v>
      </c>
      <c r="F36" s="26" t="s">
        <v>2003</v>
      </c>
      <c r="G36" s="27"/>
    </row>
    <row r="37" spans="1:7" ht="15" thickBot="1">
      <c r="A37" t="str">
        <f t="shared" si="1"/>
        <v>1B</v>
      </c>
      <c r="B37" s="28" t="s">
        <v>1635</v>
      </c>
      <c r="C37" s="28">
        <v>8</v>
      </c>
      <c r="D37" s="28">
        <v>32</v>
      </c>
      <c r="E37" s="29" t="s">
        <v>1628</v>
      </c>
      <c r="F37" s="28" t="s">
        <v>2092</v>
      </c>
      <c r="G37" s="29"/>
    </row>
    <row r="38" spans="1:7" ht="15" thickBot="1">
      <c r="A38" t="str">
        <f t="shared" si="1"/>
        <v>MR</v>
      </c>
      <c r="B38" s="26" t="s">
        <v>1635</v>
      </c>
      <c r="C38" s="26">
        <v>9</v>
      </c>
      <c r="D38" s="26">
        <v>33</v>
      </c>
      <c r="E38" s="27" t="s">
        <v>1628</v>
      </c>
      <c r="F38" s="26" t="s">
        <v>2021</v>
      </c>
      <c r="G38" s="27"/>
    </row>
    <row r="39" spans="1:7" ht="15" thickBot="1">
      <c r="A39" t="str">
        <f t="shared" si="1"/>
        <v>SP</v>
      </c>
      <c r="B39" s="28" t="s">
        <v>1635</v>
      </c>
      <c r="C39" s="28">
        <v>10</v>
      </c>
      <c r="D39" s="28">
        <v>34</v>
      </c>
      <c r="E39" s="29" t="s">
        <v>1636</v>
      </c>
      <c r="F39" s="28" t="s">
        <v>2003</v>
      </c>
      <c r="G39" s="29"/>
    </row>
    <row r="40" spans="1:7" ht="15" thickBot="1">
      <c r="A40" t="str">
        <f t="shared" si="1"/>
        <v/>
      </c>
      <c r="B40" s="49" t="s">
        <v>1638</v>
      </c>
      <c r="C40" s="50"/>
      <c r="D40" s="50"/>
      <c r="E40" s="50"/>
      <c r="F40" s="51"/>
      <c r="G40" s="23"/>
    </row>
    <row r="41" spans="1:7" ht="15" thickBot="1">
      <c r="A41" t="str">
        <f t="shared" si="1"/>
        <v>Pos</v>
      </c>
      <c r="B41" s="24" t="s">
        <v>1613</v>
      </c>
      <c r="C41" s="24" t="s">
        <v>1604</v>
      </c>
      <c r="D41" s="24" t="s">
        <v>1614</v>
      </c>
      <c r="E41" s="25" t="s">
        <v>1605</v>
      </c>
      <c r="F41" s="24" t="s">
        <v>2137</v>
      </c>
      <c r="G41" s="25"/>
    </row>
    <row r="42" spans="1:7" ht="15" thickBot="1">
      <c r="A42" t="str">
        <f t="shared" si="1"/>
        <v>C</v>
      </c>
      <c r="B42" s="26">
        <v>2</v>
      </c>
      <c r="C42" s="26">
        <v>1</v>
      </c>
      <c r="D42" s="26">
        <v>35</v>
      </c>
      <c r="E42" s="27" t="s">
        <v>1616</v>
      </c>
      <c r="F42" s="26" t="s">
        <v>2091</v>
      </c>
      <c r="G42" s="27"/>
    </row>
    <row r="43" spans="1:7" ht="15" thickBot="1">
      <c r="A43" t="str">
        <f t="shared" si="1"/>
        <v>SP</v>
      </c>
      <c r="B43" s="28">
        <v>2</v>
      </c>
      <c r="C43" s="28">
        <v>2</v>
      </c>
      <c r="D43" s="28">
        <v>36</v>
      </c>
      <c r="E43" s="29" t="s">
        <v>1617</v>
      </c>
      <c r="F43" s="28" t="s">
        <v>2003</v>
      </c>
      <c r="G43" s="29"/>
    </row>
    <row r="44" spans="1:7" ht="15" thickBot="1">
      <c r="A44" t="str">
        <f t="shared" si="1"/>
        <v>2B</v>
      </c>
      <c r="B44" s="26">
        <v>2</v>
      </c>
      <c r="C44" s="26">
        <v>3</v>
      </c>
      <c r="D44" s="26">
        <v>37</v>
      </c>
      <c r="E44" s="27" t="s">
        <v>1616</v>
      </c>
      <c r="F44" s="26" t="s">
        <v>2069</v>
      </c>
      <c r="G44" s="27"/>
    </row>
    <row r="45" spans="1:7" ht="15" thickBot="1">
      <c r="A45" t="str">
        <f t="shared" si="1"/>
        <v>RF</v>
      </c>
      <c r="B45" s="28">
        <v>2</v>
      </c>
      <c r="C45" s="28">
        <v>4</v>
      </c>
      <c r="D45" s="28">
        <v>38</v>
      </c>
      <c r="E45" s="29" t="s">
        <v>1620</v>
      </c>
      <c r="F45" s="28" t="s">
        <v>2057</v>
      </c>
      <c r="G45" s="29"/>
    </row>
    <row r="46" spans="1:7" ht="15" thickBot="1">
      <c r="A46" t="str">
        <f t="shared" si="1"/>
        <v>SP</v>
      </c>
      <c r="B46" s="26">
        <v>2</v>
      </c>
      <c r="C46" s="26">
        <v>5</v>
      </c>
      <c r="D46" s="26">
        <v>39</v>
      </c>
      <c r="E46" s="27" t="s">
        <v>1639</v>
      </c>
      <c r="F46" s="26" t="s">
        <v>2003</v>
      </c>
      <c r="G46" s="27"/>
    </row>
    <row r="47" spans="1:7" ht="15" thickBot="1">
      <c r="A47" t="str">
        <f t="shared" si="1"/>
        <v>SP</v>
      </c>
      <c r="B47" s="28">
        <v>2</v>
      </c>
      <c r="C47" s="28">
        <v>6</v>
      </c>
      <c r="D47" s="28">
        <v>40</v>
      </c>
      <c r="E47" s="29" t="s">
        <v>1631</v>
      </c>
      <c r="F47" s="28" t="s">
        <v>2003</v>
      </c>
      <c r="G47" s="29"/>
    </row>
    <row r="48" spans="1:7" ht="15" thickBot="1">
      <c r="A48" t="str">
        <f t="shared" si="1"/>
        <v>3B</v>
      </c>
      <c r="B48" s="26">
        <v>2</v>
      </c>
      <c r="C48" s="26">
        <v>7</v>
      </c>
      <c r="D48" s="26">
        <v>41</v>
      </c>
      <c r="E48" s="27" t="s">
        <v>1627</v>
      </c>
      <c r="F48" s="26" t="s">
        <v>2061</v>
      </c>
      <c r="G48" s="27"/>
    </row>
    <row r="49" spans="1:7" ht="15" thickBot="1">
      <c r="A49" t="str">
        <f t="shared" si="1"/>
        <v>SP</v>
      </c>
      <c r="B49" s="28">
        <v>2</v>
      </c>
      <c r="C49" s="28">
        <v>8</v>
      </c>
      <c r="D49" s="28">
        <v>42</v>
      </c>
      <c r="E49" s="29" t="s">
        <v>1623</v>
      </c>
      <c r="F49" s="28" t="s">
        <v>2003</v>
      </c>
      <c r="G49" s="29"/>
    </row>
    <row r="50" spans="1:7" ht="15" thickBot="1">
      <c r="A50" t="str">
        <f t="shared" si="1"/>
        <v>SP</v>
      </c>
      <c r="B50" s="26">
        <v>2</v>
      </c>
      <c r="C50" s="26">
        <v>9</v>
      </c>
      <c r="D50" s="26">
        <v>43</v>
      </c>
      <c r="E50" s="27" t="s">
        <v>1621</v>
      </c>
      <c r="F50" s="26" t="s">
        <v>2003</v>
      </c>
      <c r="G50" s="27"/>
    </row>
    <row r="51" spans="1:7" ht="15" thickBot="1">
      <c r="A51" t="str">
        <f t="shared" si="1"/>
        <v>RF</v>
      </c>
      <c r="B51" s="28">
        <v>2</v>
      </c>
      <c r="C51" s="28">
        <v>10</v>
      </c>
      <c r="D51" s="28">
        <v>44</v>
      </c>
      <c r="E51" s="29" t="s">
        <v>1626</v>
      </c>
      <c r="F51" s="28" t="s">
        <v>2057</v>
      </c>
      <c r="G51" s="29"/>
    </row>
    <row r="52" spans="1:7" ht="15" thickBot="1">
      <c r="A52" t="str">
        <f t="shared" si="1"/>
        <v>MR</v>
      </c>
      <c r="B52" s="26">
        <v>2</v>
      </c>
      <c r="C52" s="26">
        <v>11</v>
      </c>
      <c r="D52" s="26">
        <v>45</v>
      </c>
      <c r="E52" s="27" t="s">
        <v>1622</v>
      </c>
      <c r="F52" s="26" t="s">
        <v>2021</v>
      </c>
      <c r="G52" s="27"/>
    </row>
    <row r="53" spans="1:7" ht="15" thickBot="1">
      <c r="A53" t="str">
        <f t="shared" si="1"/>
        <v>RF</v>
      </c>
      <c r="B53" s="28">
        <v>2</v>
      </c>
      <c r="C53" s="28">
        <v>12</v>
      </c>
      <c r="D53" s="28">
        <v>46</v>
      </c>
      <c r="E53" s="29" t="s">
        <v>1625</v>
      </c>
      <c r="F53" s="28" t="s">
        <v>2057</v>
      </c>
      <c r="G53" s="29"/>
    </row>
    <row r="54" spans="1:7" ht="15" thickBot="1">
      <c r="A54" t="str">
        <f t="shared" si="1"/>
        <v>SP</v>
      </c>
      <c r="B54" s="26">
        <v>2</v>
      </c>
      <c r="C54" s="26">
        <v>13</v>
      </c>
      <c r="D54" s="26">
        <v>47</v>
      </c>
      <c r="E54" s="27" t="s">
        <v>1640</v>
      </c>
      <c r="F54" s="26" t="s">
        <v>2003</v>
      </c>
      <c r="G54" s="27"/>
    </row>
    <row r="55" spans="1:7" ht="15" thickBot="1">
      <c r="A55" t="str">
        <f t="shared" si="1"/>
        <v>RF</v>
      </c>
      <c r="B55" s="28">
        <v>2</v>
      </c>
      <c r="C55" s="28">
        <v>14</v>
      </c>
      <c r="D55" s="28">
        <v>48</v>
      </c>
      <c r="E55" s="29" t="s">
        <v>1625</v>
      </c>
      <c r="F55" s="28" t="s">
        <v>2057</v>
      </c>
      <c r="G55" s="29"/>
    </row>
    <row r="56" spans="1:7" ht="15" thickBot="1">
      <c r="A56" t="str">
        <f t="shared" si="1"/>
        <v>SP</v>
      </c>
      <c r="B56" s="26">
        <v>2</v>
      </c>
      <c r="C56" s="26">
        <v>15</v>
      </c>
      <c r="D56" s="26">
        <v>49</v>
      </c>
      <c r="E56" s="27" t="s">
        <v>1626</v>
      </c>
      <c r="F56" s="26" t="s">
        <v>2003</v>
      </c>
      <c r="G56" s="27"/>
    </row>
    <row r="57" spans="1:7" ht="15" thickBot="1">
      <c r="A57" t="str">
        <f t="shared" si="1"/>
        <v>2B</v>
      </c>
      <c r="B57" s="28">
        <v>2</v>
      </c>
      <c r="C57" s="28">
        <v>16</v>
      </c>
      <c r="D57" s="28">
        <v>50</v>
      </c>
      <c r="E57" s="29" t="s">
        <v>1627</v>
      </c>
      <c r="F57" s="28" t="s">
        <v>2069</v>
      </c>
      <c r="G57" s="29"/>
    </row>
    <row r="58" spans="1:7" ht="15" thickBot="1">
      <c r="A58" t="str">
        <f t="shared" si="1"/>
        <v>3B</v>
      </c>
      <c r="B58" s="26">
        <v>2</v>
      </c>
      <c r="C58" s="26">
        <v>17</v>
      </c>
      <c r="D58" s="26">
        <v>51</v>
      </c>
      <c r="E58" s="27" t="s">
        <v>1627</v>
      </c>
      <c r="F58" s="26" t="s">
        <v>2061</v>
      </c>
      <c r="G58" s="27"/>
    </row>
    <row r="59" spans="1:7" ht="15" thickBot="1">
      <c r="A59" t="str">
        <f t="shared" si="1"/>
        <v>SP</v>
      </c>
      <c r="B59" s="28">
        <v>2</v>
      </c>
      <c r="C59" s="28">
        <v>18</v>
      </c>
      <c r="D59" s="28">
        <v>52</v>
      </c>
      <c r="E59" s="29" t="s">
        <v>1629</v>
      </c>
      <c r="F59" s="28" t="s">
        <v>2003</v>
      </c>
      <c r="G59" s="29"/>
    </row>
    <row r="60" spans="1:7" ht="15" thickBot="1">
      <c r="A60" t="str">
        <f t="shared" si="1"/>
        <v>CF</v>
      </c>
      <c r="B60" s="26">
        <v>2</v>
      </c>
      <c r="C60" s="26">
        <v>19</v>
      </c>
      <c r="D60" s="26">
        <v>53</v>
      </c>
      <c r="E60" s="27" t="s">
        <v>1617</v>
      </c>
      <c r="F60" s="26" t="s">
        <v>2079</v>
      </c>
      <c r="G60" s="27"/>
    </row>
    <row r="61" spans="1:7" ht="15" thickBot="1">
      <c r="A61" t="str">
        <f t="shared" si="1"/>
        <v>MR</v>
      </c>
      <c r="B61" s="28">
        <v>2</v>
      </c>
      <c r="C61" s="28">
        <v>20</v>
      </c>
      <c r="D61" s="28">
        <v>54</v>
      </c>
      <c r="E61" s="29" t="s">
        <v>1641</v>
      </c>
      <c r="F61" s="28" t="s">
        <v>2021</v>
      </c>
      <c r="G61" s="29"/>
    </row>
    <row r="62" spans="1:7" ht="15" thickBot="1">
      <c r="A62" t="str">
        <f t="shared" si="1"/>
        <v>3B</v>
      </c>
      <c r="B62" s="26">
        <v>2</v>
      </c>
      <c r="C62" s="26">
        <v>21</v>
      </c>
      <c r="D62" s="26">
        <v>55</v>
      </c>
      <c r="E62" s="27" t="s">
        <v>1621</v>
      </c>
      <c r="F62" s="26" t="s">
        <v>2061</v>
      </c>
      <c r="G62" s="27"/>
    </row>
    <row r="63" spans="1:7" ht="15" thickBot="1">
      <c r="A63" t="str">
        <f t="shared" si="1"/>
        <v>2B</v>
      </c>
      <c r="B63" s="28">
        <v>2</v>
      </c>
      <c r="C63" s="28">
        <v>22</v>
      </c>
      <c r="D63" s="28">
        <v>56</v>
      </c>
      <c r="E63" s="29" t="s">
        <v>1631</v>
      </c>
      <c r="F63" s="28" t="s">
        <v>2069</v>
      </c>
      <c r="G63" s="29"/>
    </row>
    <row r="64" spans="1:7" ht="15" thickBot="1">
      <c r="A64" t="str">
        <f t="shared" si="1"/>
        <v>LF</v>
      </c>
      <c r="B64" s="26">
        <v>2</v>
      </c>
      <c r="C64" s="26">
        <v>23</v>
      </c>
      <c r="D64" s="26">
        <v>57</v>
      </c>
      <c r="E64" s="27" t="s">
        <v>1629</v>
      </c>
      <c r="F64" s="26" t="s">
        <v>2035</v>
      </c>
      <c r="G64" s="27"/>
    </row>
    <row r="65" spans="1:7" ht="15" thickBot="1">
      <c r="A65" t="str">
        <f t="shared" si="1"/>
        <v>2B</v>
      </c>
      <c r="B65" s="28">
        <v>2</v>
      </c>
      <c r="C65" s="28">
        <v>24</v>
      </c>
      <c r="D65" s="28">
        <v>58</v>
      </c>
      <c r="E65" s="29" t="s">
        <v>1621</v>
      </c>
      <c r="F65" s="28" t="s">
        <v>2069</v>
      </c>
      <c r="G65" s="29"/>
    </row>
    <row r="66" spans="1:7" ht="15" thickBot="1">
      <c r="A66" t="str">
        <f t="shared" si="1"/>
        <v>SP</v>
      </c>
      <c r="B66" s="26">
        <v>2</v>
      </c>
      <c r="C66" s="26">
        <v>25</v>
      </c>
      <c r="D66" s="26">
        <v>59</v>
      </c>
      <c r="E66" s="27" t="s">
        <v>1630</v>
      </c>
      <c r="F66" s="26" t="s">
        <v>2003</v>
      </c>
      <c r="G66" s="27"/>
    </row>
    <row r="67" spans="1:7" ht="15" thickBot="1">
      <c r="A67" t="str">
        <f t="shared" si="1"/>
        <v>RF</v>
      </c>
      <c r="B67" s="28">
        <v>2</v>
      </c>
      <c r="C67" s="28">
        <v>26</v>
      </c>
      <c r="D67" s="28">
        <v>60</v>
      </c>
      <c r="E67" s="29" t="s">
        <v>1624</v>
      </c>
      <c r="F67" s="28" t="s">
        <v>2057</v>
      </c>
      <c r="G67" s="29"/>
    </row>
    <row r="68" spans="1:7" ht="15" thickBot="1">
      <c r="A68" t="str">
        <f t="shared" si="1"/>
        <v>RF</v>
      </c>
      <c r="B68" s="26">
        <v>2</v>
      </c>
      <c r="C68" s="26">
        <v>27</v>
      </c>
      <c r="D68" s="26">
        <v>61</v>
      </c>
      <c r="E68" s="27" t="s">
        <v>1631</v>
      </c>
      <c r="F68" s="26" t="s">
        <v>2057</v>
      </c>
      <c r="G68" s="27"/>
    </row>
    <row r="69" spans="1:7" ht="15" thickBot="1">
      <c r="A69" t="str">
        <f t="shared" ref="A69:A132" si="2">F69&amp;G69</f>
        <v>SP</v>
      </c>
      <c r="B69" s="28">
        <v>2</v>
      </c>
      <c r="C69" s="28">
        <v>28</v>
      </c>
      <c r="D69" s="28">
        <v>62</v>
      </c>
      <c r="E69" s="29" t="s">
        <v>1632</v>
      </c>
      <c r="F69" s="28" t="s">
        <v>2003</v>
      </c>
      <c r="G69" s="29"/>
    </row>
    <row r="70" spans="1:7" ht="15" thickBot="1">
      <c r="A70" t="str">
        <f t="shared" si="2"/>
        <v>MR</v>
      </c>
      <c r="B70" s="26">
        <v>2</v>
      </c>
      <c r="C70" s="26">
        <v>29</v>
      </c>
      <c r="D70" s="26">
        <v>63</v>
      </c>
      <c r="E70" s="27" t="s">
        <v>1633</v>
      </c>
      <c r="F70" s="26" t="s">
        <v>2021</v>
      </c>
      <c r="G70" s="27"/>
    </row>
    <row r="71" spans="1:7" ht="15" thickBot="1">
      <c r="A71" t="str">
        <f t="shared" si="2"/>
        <v>RF</v>
      </c>
      <c r="B71" s="28">
        <v>2</v>
      </c>
      <c r="C71" s="28">
        <v>30</v>
      </c>
      <c r="D71" s="28">
        <v>64</v>
      </c>
      <c r="E71" s="29" t="s">
        <v>1618</v>
      </c>
      <c r="F71" s="28" t="s">
        <v>2057</v>
      </c>
      <c r="G71" s="29"/>
    </row>
    <row r="72" spans="1:7" ht="15" thickBot="1">
      <c r="A72" t="str">
        <f t="shared" si="2"/>
        <v/>
      </c>
      <c r="B72" s="49" t="s">
        <v>1642</v>
      </c>
      <c r="C72" s="50"/>
      <c r="D72" s="50"/>
      <c r="E72" s="50"/>
      <c r="F72" s="51"/>
      <c r="G72" s="23"/>
    </row>
    <row r="73" spans="1:7" ht="15" thickBot="1">
      <c r="A73" t="str">
        <f t="shared" si="2"/>
        <v>Pos</v>
      </c>
      <c r="B73" s="24" t="s">
        <v>1613</v>
      </c>
      <c r="C73" s="24" t="s">
        <v>1604</v>
      </c>
      <c r="D73" s="24" t="s">
        <v>1614</v>
      </c>
      <c r="E73" s="25" t="s">
        <v>1605</v>
      </c>
      <c r="F73" s="24" t="s">
        <v>2137</v>
      </c>
      <c r="G73" s="25"/>
    </row>
    <row r="74" spans="1:7" ht="15" thickBot="1">
      <c r="A74" t="str">
        <f t="shared" si="2"/>
        <v>SP</v>
      </c>
      <c r="B74" s="26">
        <v>3</v>
      </c>
      <c r="C74" s="26">
        <v>1</v>
      </c>
      <c r="D74" s="26">
        <v>65</v>
      </c>
      <c r="E74" s="27" t="s">
        <v>1616</v>
      </c>
      <c r="F74" s="26" t="s">
        <v>2003</v>
      </c>
      <c r="G74" s="27"/>
    </row>
    <row r="75" spans="1:7" ht="15" thickBot="1">
      <c r="A75" t="str">
        <f t="shared" si="2"/>
        <v>SP</v>
      </c>
      <c r="B75" s="28">
        <v>3</v>
      </c>
      <c r="C75" s="28">
        <v>2</v>
      </c>
      <c r="D75" s="28">
        <v>66</v>
      </c>
      <c r="E75" s="29" t="s">
        <v>1617</v>
      </c>
      <c r="F75" s="28" t="s">
        <v>2003</v>
      </c>
      <c r="G75" s="29"/>
    </row>
    <row r="76" spans="1:7" ht="15" thickBot="1">
      <c r="A76" t="str">
        <f t="shared" si="2"/>
        <v>SP</v>
      </c>
      <c r="B76" s="26">
        <v>3</v>
      </c>
      <c r="C76" s="26">
        <v>3</v>
      </c>
      <c r="D76" s="26">
        <v>67</v>
      </c>
      <c r="E76" s="27" t="s">
        <v>1616</v>
      </c>
      <c r="F76" s="26" t="s">
        <v>2003</v>
      </c>
      <c r="G76" s="27"/>
    </row>
    <row r="77" spans="1:7" ht="15" thickBot="1">
      <c r="A77" t="str">
        <f t="shared" si="2"/>
        <v>SP</v>
      </c>
      <c r="B77" s="28">
        <v>3</v>
      </c>
      <c r="C77" s="28">
        <v>4</v>
      </c>
      <c r="D77" s="28">
        <v>68</v>
      </c>
      <c r="E77" s="29" t="s">
        <v>1624</v>
      </c>
      <c r="F77" s="28" t="s">
        <v>2003</v>
      </c>
      <c r="G77" s="29"/>
    </row>
    <row r="78" spans="1:7" ht="15" thickBot="1">
      <c r="A78" t="str">
        <f t="shared" si="2"/>
        <v>LF</v>
      </c>
      <c r="B78" s="26">
        <v>3</v>
      </c>
      <c r="C78" s="26">
        <v>5</v>
      </c>
      <c r="D78" s="26">
        <v>69</v>
      </c>
      <c r="E78" s="27" t="s">
        <v>1619</v>
      </c>
      <c r="F78" s="26" t="s">
        <v>2035</v>
      </c>
      <c r="G78" s="27"/>
    </row>
    <row r="79" spans="1:7" ht="15" thickBot="1">
      <c r="A79" t="str">
        <f t="shared" si="2"/>
        <v>3B</v>
      </c>
      <c r="B79" s="28">
        <v>3</v>
      </c>
      <c r="C79" s="28">
        <v>6</v>
      </c>
      <c r="D79" s="28">
        <v>70</v>
      </c>
      <c r="E79" s="29" t="s">
        <v>1616</v>
      </c>
      <c r="F79" s="28" t="s">
        <v>2061</v>
      </c>
      <c r="G79" s="29"/>
    </row>
    <row r="80" spans="1:7" ht="15" thickBot="1">
      <c r="A80" t="str">
        <f t="shared" si="2"/>
        <v>SP</v>
      </c>
      <c r="B80" s="26">
        <v>3</v>
      </c>
      <c r="C80" s="26">
        <v>7</v>
      </c>
      <c r="D80" s="26">
        <v>71</v>
      </c>
      <c r="E80" s="27" t="s">
        <v>1620</v>
      </c>
      <c r="F80" s="26" t="s">
        <v>2003</v>
      </c>
      <c r="G80" s="27"/>
    </row>
    <row r="81" spans="1:7" ht="15" thickBot="1">
      <c r="A81" t="str">
        <f t="shared" si="2"/>
        <v>SP</v>
      </c>
      <c r="B81" s="28">
        <v>3</v>
      </c>
      <c r="C81" s="28">
        <v>8</v>
      </c>
      <c r="D81" s="28">
        <v>72</v>
      </c>
      <c r="E81" s="29" t="s">
        <v>1622</v>
      </c>
      <c r="F81" s="28" t="s">
        <v>2003</v>
      </c>
      <c r="G81" s="29"/>
    </row>
    <row r="82" spans="1:7" ht="15" thickBot="1">
      <c r="A82" t="str">
        <f t="shared" si="2"/>
        <v>SP</v>
      </c>
      <c r="B82" s="26">
        <v>3</v>
      </c>
      <c r="C82" s="26">
        <v>9</v>
      </c>
      <c r="D82" s="26">
        <v>73</v>
      </c>
      <c r="E82" s="27" t="s">
        <v>1621</v>
      </c>
      <c r="F82" s="26" t="s">
        <v>2003</v>
      </c>
      <c r="G82" s="27"/>
    </row>
    <row r="83" spans="1:7" ht="15" thickBot="1">
      <c r="A83" t="str">
        <f t="shared" si="2"/>
        <v>CL</v>
      </c>
      <c r="B83" s="28">
        <v>3</v>
      </c>
      <c r="C83" s="28">
        <v>10</v>
      </c>
      <c r="D83" s="28">
        <v>74</v>
      </c>
      <c r="E83" s="29" t="s">
        <v>1622</v>
      </c>
      <c r="F83" s="28" t="s">
        <v>2032</v>
      </c>
      <c r="G83" s="29"/>
    </row>
    <row r="84" spans="1:7" ht="15" thickBot="1">
      <c r="A84" t="str">
        <f t="shared" si="2"/>
        <v>3B</v>
      </c>
      <c r="B84" s="26">
        <v>3</v>
      </c>
      <c r="C84" s="26">
        <v>11</v>
      </c>
      <c r="D84" s="26">
        <v>75</v>
      </c>
      <c r="E84" s="27" t="s">
        <v>1622</v>
      </c>
      <c r="F84" s="26" t="s">
        <v>2061</v>
      </c>
      <c r="G84" s="27"/>
    </row>
    <row r="85" spans="1:7" ht="15" thickBot="1">
      <c r="A85" t="str">
        <f t="shared" si="2"/>
        <v>1B</v>
      </c>
      <c r="B85" s="28">
        <v>3</v>
      </c>
      <c r="C85" s="28">
        <v>12</v>
      </c>
      <c r="D85" s="28">
        <v>76</v>
      </c>
      <c r="E85" s="29" t="s">
        <v>1624</v>
      </c>
      <c r="F85" s="28" t="s">
        <v>2092</v>
      </c>
      <c r="G85" s="29"/>
    </row>
    <row r="86" spans="1:7" ht="15" thickBot="1">
      <c r="A86" t="str">
        <f t="shared" si="2"/>
        <v>CL</v>
      </c>
      <c r="B86" s="26">
        <v>3</v>
      </c>
      <c r="C86" s="26">
        <v>13</v>
      </c>
      <c r="D86" s="26">
        <v>77</v>
      </c>
      <c r="E86" s="27" t="s">
        <v>1618</v>
      </c>
      <c r="F86" s="26" t="s">
        <v>2032</v>
      </c>
      <c r="G86" s="27"/>
    </row>
    <row r="87" spans="1:7" ht="15" thickBot="1">
      <c r="A87" t="str">
        <f t="shared" si="2"/>
        <v>MR</v>
      </c>
      <c r="B87" s="28">
        <v>3</v>
      </c>
      <c r="C87" s="28">
        <v>14</v>
      </c>
      <c r="D87" s="28">
        <v>78</v>
      </c>
      <c r="E87" s="29" t="s">
        <v>1625</v>
      </c>
      <c r="F87" s="28" t="s">
        <v>2021</v>
      </c>
      <c r="G87" s="29"/>
    </row>
    <row r="88" spans="1:7" ht="15" thickBot="1">
      <c r="A88" t="str">
        <f t="shared" si="2"/>
        <v>C</v>
      </c>
      <c r="B88" s="26">
        <v>3</v>
      </c>
      <c r="C88" s="26">
        <v>15</v>
      </c>
      <c r="D88" s="26">
        <v>79</v>
      </c>
      <c r="E88" s="27" t="s">
        <v>1626</v>
      </c>
      <c r="F88" s="26" t="s">
        <v>2091</v>
      </c>
      <c r="G88" s="27"/>
    </row>
    <row r="89" spans="1:7" ht="15" thickBot="1">
      <c r="A89" t="str">
        <f t="shared" si="2"/>
        <v>CL</v>
      </c>
      <c r="B89" s="28">
        <v>3</v>
      </c>
      <c r="C89" s="28">
        <v>16</v>
      </c>
      <c r="D89" s="28">
        <v>80</v>
      </c>
      <c r="E89" s="29" t="s">
        <v>1627</v>
      </c>
      <c r="F89" s="28" t="s">
        <v>2032</v>
      </c>
      <c r="G89" s="29"/>
    </row>
    <row r="90" spans="1:7" ht="15" thickBot="1">
      <c r="A90" t="str">
        <f t="shared" si="2"/>
        <v>2B</v>
      </c>
      <c r="B90" s="26">
        <v>3</v>
      </c>
      <c r="C90" s="26">
        <v>17</v>
      </c>
      <c r="D90" s="26">
        <v>81</v>
      </c>
      <c r="E90" s="27" t="s">
        <v>1629</v>
      </c>
      <c r="F90" s="26" t="s">
        <v>2069</v>
      </c>
      <c r="G90" s="27"/>
    </row>
    <row r="91" spans="1:7" ht="15" thickBot="1">
      <c r="A91" t="str">
        <f t="shared" si="2"/>
        <v>SP</v>
      </c>
      <c r="B91" s="28">
        <v>3</v>
      </c>
      <c r="C91" s="28">
        <v>18</v>
      </c>
      <c r="D91" s="28">
        <v>82</v>
      </c>
      <c r="E91" s="29" t="s">
        <v>1629</v>
      </c>
      <c r="F91" s="28" t="s">
        <v>2003</v>
      </c>
      <c r="G91" s="29"/>
    </row>
    <row r="92" spans="1:7" ht="15" thickBot="1">
      <c r="A92" t="str">
        <f t="shared" si="2"/>
        <v>1B</v>
      </c>
      <c r="B92" s="26">
        <v>3</v>
      </c>
      <c r="C92" s="26">
        <v>19</v>
      </c>
      <c r="D92" s="26">
        <v>83</v>
      </c>
      <c r="E92" s="27" t="s">
        <v>1618</v>
      </c>
      <c r="F92" s="26" t="s">
        <v>2092</v>
      </c>
      <c r="G92" s="27"/>
    </row>
    <row r="93" spans="1:7" ht="15" thickBot="1">
      <c r="A93" t="str">
        <f t="shared" si="2"/>
        <v>SP</v>
      </c>
      <c r="B93" s="28">
        <v>3</v>
      </c>
      <c r="C93" s="28">
        <v>20</v>
      </c>
      <c r="D93" s="28">
        <v>84</v>
      </c>
      <c r="E93" s="29" t="s">
        <v>1629</v>
      </c>
      <c r="F93" s="28" t="s">
        <v>2003</v>
      </c>
      <c r="G93" s="29"/>
    </row>
    <row r="94" spans="1:7" ht="15" thickBot="1">
      <c r="A94" t="str">
        <f t="shared" si="2"/>
        <v>SP</v>
      </c>
      <c r="B94" s="26">
        <v>3</v>
      </c>
      <c r="C94" s="26">
        <v>21</v>
      </c>
      <c r="D94" s="26">
        <v>85</v>
      </c>
      <c r="E94" s="27" t="s">
        <v>1621</v>
      </c>
      <c r="F94" s="26" t="s">
        <v>2003</v>
      </c>
      <c r="G94" s="27"/>
    </row>
    <row r="95" spans="1:7" ht="15" thickBot="1">
      <c r="A95" t="str">
        <f t="shared" si="2"/>
        <v>SP</v>
      </c>
      <c r="B95" s="28">
        <v>3</v>
      </c>
      <c r="C95" s="28">
        <v>22</v>
      </c>
      <c r="D95" s="28">
        <v>86</v>
      </c>
      <c r="E95" s="29" t="s">
        <v>1637</v>
      </c>
      <c r="F95" s="28" t="s">
        <v>2003</v>
      </c>
      <c r="G95" s="29"/>
    </row>
    <row r="96" spans="1:7" ht="15" thickBot="1">
      <c r="A96" t="str">
        <f t="shared" si="2"/>
        <v>3B</v>
      </c>
      <c r="B96" s="26">
        <v>3</v>
      </c>
      <c r="C96" s="26">
        <v>23</v>
      </c>
      <c r="D96" s="26">
        <v>87</v>
      </c>
      <c r="E96" s="27" t="s">
        <v>1630</v>
      </c>
      <c r="F96" s="26" t="s">
        <v>2061</v>
      </c>
      <c r="G96" s="27"/>
    </row>
    <row r="97" spans="1:7" ht="15" thickBot="1">
      <c r="A97" t="str">
        <f t="shared" si="2"/>
        <v>SP</v>
      </c>
      <c r="B97" s="28">
        <v>3</v>
      </c>
      <c r="C97" s="28">
        <v>24</v>
      </c>
      <c r="D97" s="28">
        <v>88</v>
      </c>
      <c r="E97" s="29" t="s">
        <v>1631</v>
      </c>
      <c r="F97" s="28" t="s">
        <v>2003</v>
      </c>
      <c r="G97" s="29"/>
    </row>
    <row r="98" spans="1:7" ht="15" thickBot="1">
      <c r="A98" t="str">
        <f t="shared" si="2"/>
        <v>3B</v>
      </c>
      <c r="B98" s="26">
        <v>3</v>
      </c>
      <c r="C98" s="26">
        <v>25</v>
      </c>
      <c r="D98" s="26">
        <v>89</v>
      </c>
      <c r="E98" s="27" t="s">
        <v>1624</v>
      </c>
      <c r="F98" s="26" t="s">
        <v>2061</v>
      </c>
      <c r="G98" s="27"/>
    </row>
    <row r="99" spans="1:7" ht="15" thickBot="1">
      <c r="A99" t="str">
        <f t="shared" si="2"/>
        <v>C</v>
      </c>
      <c r="B99" s="28">
        <v>3</v>
      </c>
      <c r="C99" s="28">
        <v>26</v>
      </c>
      <c r="D99" s="28">
        <v>90</v>
      </c>
      <c r="E99" s="29" t="s">
        <v>1632</v>
      </c>
      <c r="F99" s="28" t="s">
        <v>2091</v>
      </c>
      <c r="G99" s="29"/>
    </row>
    <row r="100" spans="1:7" ht="15" thickBot="1">
      <c r="A100" t="str">
        <f t="shared" si="2"/>
        <v>SP</v>
      </c>
      <c r="B100" s="26">
        <v>3</v>
      </c>
      <c r="C100" s="26">
        <v>27</v>
      </c>
      <c r="D100" s="26">
        <v>91</v>
      </c>
      <c r="E100" s="27" t="s">
        <v>1633</v>
      </c>
      <c r="F100" s="26" t="s">
        <v>2003</v>
      </c>
      <c r="G100" s="27"/>
    </row>
    <row r="101" spans="1:7" ht="15" thickBot="1">
      <c r="A101" t="str">
        <f t="shared" si="2"/>
        <v>LF</v>
      </c>
      <c r="B101" s="28">
        <v>3</v>
      </c>
      <c r="C101" s="28">
        <v>28</v>
      </c>
      <c r="D101" s="28">
        <v>92</v>
      </c>
      <c r="E101" s="29" t="s">
        <v>1618</v>
      </c>
      <c r="F101" s="28" t="s">
        <v>2035</v>
      </c>
      <c r="G101" s="29"/>
    </row>
    <row r="102" spans="1:7" ht="15" thickBot="1">
      <c r="A102" t="str">
        <f t="shared" si="2"/>
        <v/>
      </c>
      <c r="B102" s="49" t="s">
        <v>1643</v>
      </c>
      <c r="C102" s="50"/>
      <c r="D102" s="50"/>
      <c r="E102" s="50"/>
      <c r="F102" s="51"/>
      <c r="G102" s="23"/>
    </row>
    <row r="103" spans="1:7" ht="15" thickBot="1">
      <c r="A103" t="str">
        <f t="shared" si="2"/>
        <v>Pos</v>
      </c>
      <c r="B103" s="24" t="s">
        <v>1613</v>
      </c>
      <c r="C103" s="24" t="s">
        <v>1604</v>
      </c>
      <c r="D103" s="24" t="s">
        <v>1614</v>
      </c>
      <c r="E103" s="25" t="s">
        <v>1605</v>
      </c>
      <c r="F103" s="24" t="s">
        <v>2137</v>
      </c>
      <c r="G103" s="25"/>
    </row>
    <row r="104" spans="1:7" ht="15" thickBot="1">
      <c r="A104" t="str">
        <f t="shared" si="2"/>
        <v>C</v>
      </c>
      <c r="B104" s="26">
        <v>4</v>
      </c>
      <c r="C104" s="26">
        <v>1</v>
      </c>
      <c r="D104" s="26">
        <v>93</v>
      </c>
      <c r="E104" s="27" t="s">
        <v>1616</v>
      </c>
      <c r="F104" s="26" t="s">
        <v>2091</v>
      </c>
      <c r="G104" s="27"/>
    </row>
    <row r="105" spans="1:7" ht="15" thickBot="1">
      <c r="A105" t="str">
        <f t="shared" si="2"/>
        <v>2B</v>
      </c>
      <c r="B105" s="28">
        <v>4</v>
      </c>
      <c r="C105" s="28">
        <v>2</v>
      </c>
      <c r="D105" s="28">
        <v>94</v>
      </c>
      <c r="E105" s="29" t="s">
        <v>1616</v>
      </c>
      <c r="F105" s="28" t="s">
        <v>2069</v>
      </c>
      <c r="G105" s="29"/>
    </row>
    <row r="106" spans="1:7" ht="15" thickBot="1">
      <c r="A106" t="str">
        <f t="shared" si="2"/>
        <v>SP</v>
      </c>
      <c r="B106" s="26">
        <v>4</v>
      </c>
      <c r="C106" s="26">
        <v>3</v>
      </c>
      <c r="D106" s="26">
        <v>95</v>
      </c>
      <c r="E106" s="27" t="s">
        <v>1636</v>
      </c>
      <c r="F106" s="26" t="s">
        <v>2003</v>
      </c>
      <c r="G106" s="27"/>
    </row>
    <row r="107" spans="1:7" ht="15" thickBot="1">
      <c r="A107" t="str">
        <f t="shared" si="2"/>
        <v>C</v>
      </c>
      <c r="B107" s="28">
        <v>4</v>
      </c>
      <c r="C107" s="28">
        <v>4</v>
      </c>
      <c r="D107" s="28">
        <v>96</v>
      </c>
      <c r="E107" s="29" t="s">
        <v>1619</v>
      </c>
      <c r="F107" s="28" t="s">
        <v>2091</v>
      </c>
      <c r="G107" s="29"/>
    </row>
    <row r="108" spans="1:7" ht="15" thickBot="1">
      <c r="A108" t="str">
        <f t="shared" si="2"/>
        <v>SP</v>
      </c>
      <c r="B108" s="26">
        <v>4</v>
      </c>
      <c r="C108" s="26">
        <v>5</v>
      </c>
      <c r="D108" s="26">
        <v>97</v>
      </c>
      <c r="E108" s="27" t="s">
        <v>1620</v>
      </c>
      <c r="F108" s="26" t="s">
        <v>2003</v>
      </c>
      <c r="G108" s="27"/>
    </row>
    <row r="109" spans="1:7" ht="15" thickBot="1">
      <c r="A109" t="str">
        <f t="shared" si="2"/>
        <v>LF</v>
      </c>
      <c r="B109" s="28">
        <v>4</v>
      </c>
      <c r="C109" s="28">
        <v>6</v>
      </c>
      <c r="D109" s="28">
        <v>98</v>
      </c>
      <c r="E109" s="29" t="s">
        <v>1636</v>
      </c>
      <c r="F109" s="28" t="s">
        <v>2035</v>
      </c>
      <c r="G109" s="29"/>
    </row>
    <row r="110" spans="1:7" ht="15" thickBot="1">
      <c r="A110" t="str">
        <f t="shared" si="2"/>
        <v>SP</v>
      </c>
      <c r="B110" s="26">
        <v>4</v>
      </c>
      <c r="C110" s="26">
        <v>7</v>
      </c>
      <c r="D110" s="26">
        <v>99</v>
      </c>
      <c r="E110" s="27" t="s">
        <v>1621</v>
      </c>
      <c r="F110" s="26" t="s">
        <v>2003</v>
      </c>
      <c r="G110" s="27"/>
    </row>
    <row r="111" spans="1:7" ht="15" thickBot="1">
      <c r="A111" t="str">
        <f t="shared" si="2"/>
        <v>LF</v>
      </c>
      <c r="B111" s="28">
        <v>4</v>
      </c>
      <c r="C111" s="28">
        <v>8</v>
      </c>
      <c r="D111" s="28">
        <v>100</v>
      </c>
      <c r="E111" s="29" t="s">
        <v>1621</v>
      </c>
      <c r="F111" s="28" t="s">
        <v>2035</v>
      </c>
      <c r="G111" s="29"/>
    </row>
    <row r="112" spans="1:7" ht="15" thickBot="1">
      <c r="A112" t="str">
        <f t="shared" si="2"/>
        <v>RF</v>
      </c>
      <c r="B112" s="26">
        <v>4</v>
      </c>
      <c r="C112" s="26">
        <v>9</v>
      </c>
      <c r="D112" s="26">
        <v>101</v>
      </c>
      <c r="E112" s="27" t="s">
        <v>1623</v>
      </c>
      <c r="F112" s="26" t="s">
        <v>2057</v>
      </c>
      <c r="G112" s="27"/>
    </row>
    <row r="113" spans="1:7" ht="15" thickBot="1">
      <c r="A113" t="str">
        <f t="shared" si="2"/>
        <v>LF</v>
      </c>
      <c r="B113" s="28">
        <v>4</v>
      </c>
      <c r="C113" s="28">
        <v>10</v>
      </c>
      <c r="D113" s="28">
        <v>102</v>
      </c>
      <c r="E113" s="29" t="s">
        <v>1619</v>
      </c>
      <c r="F113" s="28" t="s">
        <v>2035</v>
      </c>
      <c r="G113" s="29"/>
    </row>
    <row r="114" spans="1:7" ht="15" thickBot="1">
      <c r="A114" t="str">
        <f t="shared" si="2"/>
        <v>1B</v>
      </c>
      <c r="B114" s="26">
        <v>4</v>
      </c>
      <c r="C114" s="26">
        <v>11</v>
      </c>
      <c r="D114" s="26">
        <v>103</v>
      </c>
      <c r="E114" s="27" t="s">
        <v>1625</v>
      </c>
      <c r="F114" s="26" t="s">
        <v>2092</v>
      </c>
      <c r="G114" s="27"/>
    </row>
    <row r="115" spans="1:7" ht="15" thickBot="1">
      <c r="A115" t="str">
        <f t="shared" si="2"/>
        <v>2B</v>
      </c>
      <c r="B115" s="28">
        <v>4</v>
      </c>
      <c r="C115" s="28">
        <v>12</v>
      </c>
      <c r="D115" s="28">
        <v>104</v>
      </c>
      <c r="E115" s="29" t="s">
        <v>1626</v>
      </c>
      <c r="F115" s="28" t="s">
        <v>2069</v>
      </c>
      <c r="G115" s="29"/>
    </row>
    <row r="116" spans="1:7" ht="15" thickBot="1">
      <c r="A116" t="str">
        <f t="shared" si="2"/>
        <v>3B</v>
      </c>
      <c r="B116" s="26">
        <v>4</v>
      </c>
      <c r="C116" s="26">
        <v>13</v>
      </c>
      <c r="D116" s="26">
        <v>105</v>
      </c>
      <c r="E116" s="27" t="s">
        <v>1627</v>
      </c>
      <c r="F116" s="26" t="s">
        <v>2061</v>
      </c>
      <c r="G116" s="27"/>
    </row>
    <row r="117" spans="1:7" ht="15" thickBot="1">
      <c r="A117" t="str">
        <f t="shared" si="2"/>
        <v>CL</v>
      </c>
      <c r="B117" s="28">
        <v>4</v>
      </c>
      <c r="C117" s="28">
        <v>14</v>
      </c>
      <c r="D117" s="28">
        <v>106</v>
      </c>
      <c r="E117" s="29" t="s">
        <v>1629</v>
      </c>
      <c r="F117" s="28" t="s">
        <v>2032</v>
      </c>
      <c r="G117" s="29"/>
    </row>
    <row r="118" spans="1:7" ht="15" thickBot="1">
      <c r="A118" t="str">
        <f t="shared" si="2"/>
        <v>RF</v>
      </c>
      <c r="B118" s="26">
        <v>4</v>
      </c>
      <c r="C118" s="26">
        <v>15</v>
      </c>
      <c r="D118" s="26">
        <v>107</v>
      </c>
      <c r="E118" s="27" t="s">
        <v>1641</v>
      </c>
      <c r="F118" s="26" t="s">
        <v>2057</v>
      </c>
      <c r="G118" s="27"/>
    </row>
    <row r="119" spans="1:7" ht="15" thickBot="1">
      <c r="A119" t="str">
        <f t="shared" si="2"/>
        <v>SP</v>
      </c>
      <c r="B119" s="28">
        <v>4</v>
      </c>
      <c r="C119" s="28">
        <v>16</v>
      </c>
      <c r="D119" s="28">
        <v>108</v>
      </c>
      <c r="E119" s="29" t="s">
        <v>1617</v>
      </c>
      <c r="F119" s="28" t="s">
        <v>2003</v>
      </c>
      <c r="G119" s="29"/>
    </row>
    <row r="120" spans="1:7" ht="15" thickBot="1">
      <c r="A120" t="str">
        <f t="shared" si="2"/>
        <v>SP</v>
      </c>
      <c r="B120" s="26">
        <v>4</v>
      </c>
      <c r="C120" s="26">
        <v>17</v>
      </c>
      <c r="D120" s="26">
        <v>109</v>
      </c>
      <c r="E120" s="27" t="s">
        <v>1629</v>
      </c>
      <c r="F120" s="26" t="s">
        <v>2003</v>
      </c>
      <c r="G120" s="27"/>
    </row>
    <row r="121" spans="1:7" ht="15" thickBot="1">
      <c r="A121" t="str">
        <f t="shared" si="2"/>
        <v>LF</v>
      </c>
      <c r="B121" s="28">
        <v>4</v>
      </c>
      <c r="C121" s="28">
        <v>18</v>
      </c>
      <c r="D121" s="28">
        <v>110</v>
      </c>
      <c r="E121" s="29" t="s">
        <v>1621</v>
      </c>
      <c r="F121" s="28" t="s">
        <v>2035</v>
      </c>
      <c r="G121" s="29"/>
    </row>
    <row r="122" spans="1:7" ht="15" thickBot="1">
      <c r="A122" t="str">
        <f t="shared" si="2"/>
        <v>CL</v>
      </c>
      <c r="B122" s="26">
        <v>4</v>
      </c>
      <c r="C122" s="26">
        <v>19</v>
      </c>
      <c r="D122" s="26">
        <v>111</v>
      </c>
      <c r="E122" s="27" t="s">
        <v>1630</v>
      </c>
      <c r="F122" s="26" t="s">
        <v>2032</v>
      </c>
      <c r="G122" s="27"/>
    </row>
    <row r="123" spans="1:7" ht="15" thickBot="1">
      <c r="A123" t="str">
        <f t="shared" si="2"/>
        <v>1B</v>
      </c>
      <c r="B123" s="28">
        <v>4</v>
      </c>
      <c r="C123" s="28">
        <v>20</v>
      </c>
      <c r="D123" s="28">
        <v>112</v>
      </c>
      <c r="E123" s="29" t="s">
        <v>1631</v>
      </c>
      <c r="F123" s="28" t="s">
        <v>2092</v>
      </c>
      <c r="G123" s="29"/>
    </row>
    <row r="124" spans="1:7" ht="15" thickBot="1">
      <c r="A124" t="str">
        <f t="shared" si="2"/>
        <v>RF</v>
      </c>
      <c r="B124" s="26">
        <v>4</v>
      </c>
      <c r="C124" s="26">
        <v>21</v>
      </c>
      <c r="D124" s="26">
        <v>113</v>
      </c>
      <c r="E124" s="27" t="s">
        <v>1640</v>
      </c>
      <c r="F124" s="26" t="s">
        <v>2057</v>
      </c>
      <c r="G124" s="27"/>
    </row>
    <row r="125" spans="1:7" ht="15" thickBot="1">
      <c r="A125" t="str">
        <f t="shared" si="2"/>
        <v>MR</v>
      </c>
      <c r="B125" s="28">
        <v>4</v>
      </c>
      <c r="C125" s="28">
        <v>22</v>
      </c>
      <c r="D125" s="28">
        <v>114</v>
      </c>
      <c r="E125" s="29" t="s">
        <v>1632</v>
      </c>
      <c r="F125" s="28" t="s">
        <v>2021</v>
      </c>
      <c r="G125" s="29"/>
    </row>
    <row r="126" spans="1:7" ht="15" thickBot="1">
      <c r="A126" t="str">
        <f t="shared" si="2"/>
        <v>CF</v>
      </c>
      <c r="B126" s="26">
        <v>4</v>
      </c>
      <c r="C126" s="26">
        <v>23</v>
      </c>
      <c r="D126" s="26">
        <v>115</v>
      </c>
      <c r="E126" s="27" t="s">
        <v>1633</v>
      </c>
      <c r="F126" s="26" t="s">
        <v>2079</v>
      </c>
      <c r="G126" s="27"/>
    </row>
    <row r="127" spans="1:7" ht="15" thickBot="1">
      <c r="A127" t="str">
        <f t="shared" si="2"/>
        <v>SP</v>
      </c>
      <c r="B127" s="28">
        <v>4</v>
      </c>
      <c r="C127" s="28">
        <v>24</v>
      </c>
      <c r="D127" s="28">
        <v>116</v>
      </c>
      <c r="E127" s="29" t="s">
        <v>1618</v>
      </c>
      <c r="F127" s="28" t="s">
        <v>2003</v>
      </c>
      <c r="G127" s="29"/>
    </row>
    <row r="128" spans="1:7" ht="15" thickBot="1">
      <c r="A128" t="str">
        <f t="shared" si="2"/>
        <v/>
      </c>
      <c r="B128" s="49" t="s">
        <v>1644</v>
      </c>
      <c r="C128" s="50"/>
      <c r="D128" s="50"/>
      <c r="E128" s="50"/>
      <c r="F128" s="51"/>
      <c r="G128" s="23"/>
    </row>
    <row r="129" spans="1:7" ht="15" thickBot="1">
      <c r="A129" t="str">
        <f t="shared" si="2"/>
        <v>Pos</v>
      </c>
      <c r="B129" s="24" t="s">
        <v>1613</v>
      </c>
      <c r="C129" s="24" t="s">
        <v>1604</v>
      </c>
      <c r="D129" s="24" t="s">
        <v>1614</v>
      </c>
      <c r="E129" s="25" t="s">
        <v>1605</v>
      </c>
      <c r="F129" s="24" t="s">
        <v>2137</v>
      </c>
      <c r="G129" s="25"/>
    </row>
    <row r="130" spans="1:7" ht="15" thickBot="1">
      <c r="A130" t="str">
        <f t="shared" si="2"/>
        <v>SS</v>
      </c>
      <c r="B130" s="26">
        <v>5</v>
      </c>
      <c r="C130" s="26">
        <v>1</v>
      </c>
      <c r="D130" s="26">
        <v>117</v>
      </c>
      <c r="E130" s="27" t="s">
        <v>1616</v>
      </c>
      <c r="F130" s="26" t="s">
        <v>2074</v>
      </c>
      <c r="G130" s="27"/>
    </row>
    <row r="131" spans="1:7" ht="15" thickBot="1">
      <c r="A131" t="str">
        <f t="shared" si="2"/>
        <v>MR</v>
      </c>
      <c r="B131" s="28">
        <v>5</v>
      </c>
      <c r="C131" s="28">
        <v>2</v>
      </c>
      <c r="D131" s="28">
        <v>118</v>
      </c>
      <c r="E131" s="29" t="s">
        <v>1617</v>
      </c>
      <c r="F131" s="28" t="s">
        <v>2021</v>
      </c>
      <c r="G131" s="29"/>
    </row>
    <row r="132" spans="1:7" ht="15" thickBot="1">
      <c r="A132" t="str">
        <f t="shared" si="2"/>
        <v>2B</v>
      </c>
      <c r="B132" s="26">
        <v>5</v>
      </c>
      <c r="C132" s="26">
        <v>3</v>
      </c>
      <c r="D132" s="26">
        <v>119</v>
      </c>
      <c r="E132" s="27" t="s">
        <v>1624</v>
      </c>
      <c r="F132" s="26" t="s">
        <v>2069</v>
      </c>
      <c r="G132" s="27"/>
    </row>
    <row r="133" spans="1:7" ht="15" thickBot="1">
      <c r="A133" t="str">
        <f t="shared" ref="A133:A196" si="3">F133&amp;G133</f>
        <v>SP</v>
      </c>
      <c r="B133" s="28">
        <v>5</v>
      </c>
      <c r="C133" s="28">
        <v>4</v>
      </c>
      <c r="D133" s="28">
        <v>120</v>
      </c>
      <c r="E133" s="29" t="s">
        <v>1619</v>
      </c>
      <c r="F133" s="28" t="s">
        <v>2003</v>
      </c>
      <c r="G133" s="29"/>
    </row>
    <row r="134" spans="1:7" ht="15" thickBot="1">
      <c r="A134" t="str">
        <f t="shared" si="3"/>
        <v>MR</v>
      </c>
      <c r="B134" s="26">
        <v>5</v>
      </c>
      <c r="C134" s="26">
        <v>5</v>
      </c>
      <c r="D134" s="26">
        <v>121</v>
      </c>
      <c r="E134" s="27" t="s">
        <v>1620</v>
      </c>
      <c r="F134" s="26" t="s">
        <v>2021</v>
      </c>
      <c r="G134" s="27"/>
    </row>
    <row r="135" spans="1:7" ht="15" thickBot="1">
      <c r="A135" t="str">
        <f t="shared" si="3"/>
        <v>1B</v>
      </c>
      <c r="B135" s="28">
        <v>5</v>
      </c>
      <c r="C135" s="28">
        <v>6</v>
      </c>
      <c r="D135" s="28">
        <v>122</v>
      </c>
      <c r="E135" s="29" t="s">
        <v>1623</v>
      </c>
      <c r="F135" s="28" t="s">
        <v>2092</v>
      </c>
      <c r="G135" s="29"/>
    </row>
    <row r="136" spans="1:7" ht="15" thickBot="1">
      <c r="A136" t="str">
        <f t="shared" si="3"/>
        <v>3B</v>
      </c>
      <c r="B136" s="26">
        <v>5</v>
      </c>
      <c r="C136" s="26">
        <v>7</v>
      </c>
      <c r="D136" s="26">
        <v>123</v>
      </c>
      <c r="E136" s="27" t="s">
        <v>1621</v>
      </c>
      <c r="F136" s="26" t="s">
        <v>2061</v>
      </c>
      <c r="G136" s="27"/>
    </row>
    <row r="137" spans="1:7" ht="15" thickBot="1">
      <c r="A137" t="str">
        <f t="shared" si="3"/>
        <v>SS</v>
      </c>
      <c r="B137" s="28">
        <v>5</v>
      </c>
      <c r="C137" s="28">
        <v>8</v>
      </c>
      <c r="D137" s="28">
        <v>124</v>
      </c>
      <c r="E137" s="29" t="s">
        <v>1621</v>
      </c>
      <c r="F137" s="28" t="s">
        <v>2074</v>
      </c>
      <c r="G137" s="29"/>
    </row>
    <row r="138" spans="1:7" ht="15" thickBot="1">
      <c r="A138" t="str">
        <f t="shared" si="3"/>
        <v>SP</v>
      </c>
      <c r="B138" s="26">
        <v>5</v>
      </c>
      <c r="C138" s="26">
        <v>9</v>
      </c>
      <c r="D138" s="26">
        <v>125</v>
      </c>
      <c r="E138" s="27" t="s">
        <v>1632</v>
      </c>
      <c r="F138" s="26" t="s">
        <v>2003</v>
      </c>
      <c r="G138" s="27"/>
    </row>
    <row r="139" spans="1:7" ht="15" thickBot="1">
      <c r="A139" t="str">
        <f t="shared" si="3"/>
        <v>SP</v>
      </c>
      <c r="B139" s="28">
        <v>5</v>
      </c>
      <c r="C139" s="28">
        <v>10</v>
      </c>
      <c r="D139" s="28">
        <v>126</v>
      </c>
      <c r="E139" s="29" t="s">
        <v>1625</v>
      </c>
      <c r="F139" s="28" t="s">
        <v>2003</v>
      </c>
      <c r="G139" s="29"/>
    </row>
    <row r="140" spans="1:7" ht="15" thickBot="1">
      <c r="A140" t="str">
        <f t="shared" si="3"/>
        <v>MR</v>
      </c>
      <c r="B140" s="26">
        <v>5</v>
      </c>
      <c r="C140" s="26">
        <v>11</v>
      </c>
      <c r="D140" s="26">
        <v>127</v>
      </c>
      <c r="E140" s="27" t="s">
        <v>1640</v>
      </c>
      <c r="F140" s="26" t="s">
        <v>2021</v>
      </c>
      <c r="G140" s="27"/>
    </row>
    <row r="141" spans="1:7" ht="15" thickBot="1">
      <c r="A141" t="str">
        <f t="shared" si="3"/>
        <v>MR</v>
      </c>
      <c r="B141" s="28">
        <v>5</v>
      </c>
      <c r="C141" s="28">
        <v>12</v>
      </c>
      <c r="D141" s="28">
        <v>128</v>
      </c>
      <c r="E141" s="29" t="s">
        <v>1626</v>
      </c>
      <c r="F141" s="28" t="s">
        <v>2021</v>
      </c>
      <c r="G141" s="29"/>
    </row>
    <row r="142" spans="1:7" ht="15" thickBot="1">
      <c r="A142" t="str">
        <f t="shared" si="3"/>
        <v>SS</v>
      </c>
      <c r="B142" s="26">
        <v>5</v>
      </c>
      <c r="C142" s="26">
        <v>13</v>
      </c>
      <c r="D142" s="26">
        <v>129</v>
      </c>
      <c r="E142" s="27" t="s">
        <v>1627</v>
      </c>
      <c r="F142" s="26" t="s">
        <v>2074</v>
      </c>
      <c r="G142" s="27"/>
    </row>
    <row r="143" spans="1:7" ht="15" thickBot="1">
      <c r="A143" t="str">
        <f t="shared" si="3"/>
        <v>MR</v>
      </c>
      <c r="B143" s="28">
        <v>5</v>
      </c>
      <c r="C143" s="28">
        <v>14</v>
      </c>
      <c r="D143" s="28">
        <v>130</v>
      </c>
      <c r="E143" s="29" t="s">
        <v>1628</v>
      </c>
      <c r="F143" s="28" t="s">
        <v>2021</v>
      </c>
      <c r="G143" s="29"/>
    </row>
    <row r="144" spans="1:7" ht="15" thickBot="1">
      <c r="A144" t="str">
        <f t="shared" si="3"/>
        <v>1B</v>
      </c>
      <c r="B144" s="26">
        <v>5</v>
      </c>
      <c r="C144" s="26">
        <v>15</v>
      </c>
      <c r="D144" s="26">
        <v>131</v>
      </c>
      <c r="E144" s="27" t="s">
        <v>1641</v>
      </c>
      <c r="F144" s="26" t="s">
        <v>2092</v>
      </c>
      <c r="G144" s="27"/>
    </row>
    <row r="145" spans="1:7" ht="15" thickBot="1">
      <c r="A145" t="str">
        <f t="shared" si="3"/>
        <v>3B</v>
      </c>
      <c r="B145" s="28">
        <v>5</v>
      </c>
      <c r="C145" s="28">
        <v>16</v>
      </c>
      <c r="D145" s="28">
        <v>132</v>
      </c>
      <c r="E145" s="29" t="s">
        <v>1636</v>
      </c>
      <c r="F145" s="28" t="s">
        <v>2061</v>
      </c>
      <c r="G145" s="29"/>
    </row>
    <row r="146" spans="1:7" ht="15" thickBot="1">
      <c r="A146" t="str">
        <f t="shared" si="3"/>
        <v>3B</v>
      </c>
      <c r="B146" s="26">
        <v>5</v>
      </c>
      <c r="C146" s="26">
        <v>17</v>
      </c>
      <c r="D146" s="26">
        <v>133</v>
      </c>
      <c r="E146" s="27" t="s">
        <v>1629</v>
      </c>
      <c r="F146" s="26" t="s">
        <v>2061</v>
      </c>
      <c r="G146" s="27"/>
    </row>
    <row r="147" spans="1:7" ht="15" thickBot="1">
      <c r="A147" t="str">
        <f t="shared" si="3"/>
        <v>MR</v>
      </c>
      <c r="B147" s="28">
        <v>5</v>
      </c>
      <c r="C147" s="28">
        <v>18</v>
      </c>
      <c r="D147" s="28">
        <v>134</v>
      </c>
      <c r="E147" s="29" t="s">
        <v>1631</v>
      </c>
      <c r="F147" s="28" t="s">
        <v>2021</v>
      </c>
      <c r="G147" s="29"/>
    </row>
    <row r="148" spans="1:7" ht="15" thickBot="1">
      <c r="A148" t="str">
        <f t="shared" si="3"/>
        <v>LF</v>
      </c>
      <c r="B148" s="26">
        <v>5</v>
      </c>
      <c r="C148" s="26">
        <v>19</v>
      </c>
      <c r="D148" s="26">
        <v>135</v>
      </c>
      <c r="E148" s="27" t="s">
        <v>1630</v>
      </c>
      <c r="F148" s="26" t="s">
        <v>2035</v>
      </c>
      <c r="G148" s="27"/>
    </row>
    <row r="149" spans="1:7" ht="15" thickBot="1">
      <c r="A149" t="str">
        <f t="shared" si="3"/>
        <v>1B</v>
      </c>
      <c r="B149" s="28">
        <v>5</v>
      </c>
      <c r="C149" s="28">
        <v>20</v>
      </c>
      <c r="D149" s="28">
        <v>136</v>
      </c>
      <c r="E149" s="29" t="s">
        <v>1624</v>
      </c>
      <c r="F149" s="28" t="s">
        <v>2092</v>
      </c>
      <c r="G149" s="29"/>
    </row>
    <row r="150" spans="1:7" ht="15" thickBot="1">
      <c r="A150" t="str">
        <f t="shared" si="3"/>
        <v>CL</v>
      </c>
      <c r="B150" s="26">
        <v>5</v>
      </c>
      <c r="C150" s="26">
        <v>21</v>
      </c>
      <c r="D150" s="26">
        <v>137</v>
      </c>
      <c r="E150" s="27" t="s">
        <v>1631</v>
      </c>
      <c r="F150" s="26" t="s">
        <v>2032</v>
      </c>
      <c r="G150" s="27"/>
    </row>
    <row r="151" spans="1:7" ht="15" thickBot="1">
      <c r="A151" t="str">
        <f t="shared" si="3"/>
        <v>MR</v>
      </c>
      <c r="B151" s="28">
        <v>5</v>
      </c>
      <c r="C151" s="28">
        <v>22</v>
      </c>
      <c r="D151" s="28">
        <v>138</v>
      </c>
      <c r="E151" s="29" t="s">
        <v>1632</v>
      </c>
      <c r="F151" s="28" t="s">
        <v>2021</v>
      </c>
      <c r="G151" s="29"/>
    </row>
    <row r="152" spans="1:7" ht="15" thickBot="1">
      <c r="A152" t="str">
        <f t="shared" si="3"/>
        <v>CF</v>
      </c>
      <c r="B152" s="26">
        <v>5</v>
      </c>
      <c r="C152" s="26">
        <v>23</v>
      </c>
      <c r="D152" s="26">
        <v>139</v>
      </c>
      <c r="E152" s="27" t="s">
        <v>1633</v>
      </c>
      <c r="F152" s="26" t="s">
        <v>2079</v>
      </c>
      <c r="G152" s="27"/>
    </row>
    <row r="153" spans="1:7" ht="15" thickBot="1">
      <c r="A153" t="str">
        <f t="shared" si="3"/>
        <v>SS</v>
      </c>
      <c r="B153" s="28">
        <v>5</v>
      </c>
      <c r="C153" s="28">
        <v>24</v>
      </c>
      <c r="D153" s="28">
        <v>140</v>
      </c>
      <c r="E153" s="29" t="s">
        <v>1618</v>
      </c>
      <c r="F153" s="28" t="s">
        <v>2074</v>
      </c>
      <c r="G153" s="29"/>
    </row>
    <row r="154" spans="1:7" ht="15" thickBot="1">
      <c r="A154" t="str">
        <f t="shared" si="3"/>
        <v/>
      </c>
      <c r="B154" s="49" t="s">
        <v>1645</v>
      </c>
      <c r="C154" s="50"/>
      <c r="D154" s="50"/>
      <c r="E154" s="50"/>
      <c r="F154" s="51"/>
      <c r="G154" s="23"/>
    </row>
    <row r="155" spans="1:7" ht="15" thickBot="1">
      <c r="A155" t="str">
        <f t="shared" si="3"/>
        <v>Pos</v>
      </c>
      <c r="B155" s="24" t="s">
        <v>1613</v>
      </c>
      <c r="C155" s="24" t="s">
        <v>1604</v>
      </c>
      <c r="D155" s="24" t="s">
        <v>1614</v>
      </c>
      <c r="E155" s="25" t="s">
        <v>1605</v>
      </c>
      <c r="F155" s="24" t="s">
        <v>2137</v>
      </c>
      <c r="G155" s="25"/>
    </row>
    <row r="156" spans="1:7" ht="15" thickBot="1">
      <c r="A156" t="str">
        <f t="shared" si="3"/>
        <v>3B</v>
      </c>
      <c r="B156" s="26">
        <v>6</v>
      </c>
      <c r="C156" s="26">
        <v>1</v>
      </c>
      <c r="D156" s="26">
        <v>141</v>
      </c>
      <c r="E156" s="27" t="s">
        <v>1616</v>
      </c>
      <c r="F156" s="26" t="s">
        <v>2061</v>
      </c>
      <c r="G156" s="27"/>
    </row>
    <row r="157" spans="1:7" ht="15" thickBot="1">
      <c r="A157" t="str">
        <f t="shared" si="3"/>
        <v>3B</v>
      </c>
      <c r="B157" s="28">
        <v>6</v>
      </c>
      <c r="C157" s="28">
        <v>2</v>
      </c>
      <c r="D157" s="28">
        <v>142</v>
      </c>
      <c r="E157" s="29" t="s">
        <v>1617</v>
      </c>
      <c r="F157" s="28" t="s">
        <v>2061</v>
      </c>
      <c r="G157" s="29"/>
    </row>
    <row r="158" spans="1:7" ht="15" thickBot="1">
      <c r="A158" t="str">
        <f t="shared" si="3"/>
        <v>SS</v>
      </c>
      <c r="B158" s="26">
        <v>6</v>
      </c>
      <c r="C158" s="26">
        <v>3</v>
      </c>
      <c r="D158" s="26">
        <v>143</v>
      </c>
      <c r="E158" s="27" t="s">
        <v>1640</v>
      </c>
      <c r="F158" s="26" t="s">
        <v>2074</v>
      </c>
      <c r="G158" s="27"/>
    </row>
    <row r="159" spans="1:7" ht="15" thickBot="1">
      <c r="A159" t="str">
        <f t="shared" si="3"/>
        <v>1B</v>
      </c>
      <c r="B159" s="28">
        <v>6</v>
      </c>
      <c r="C159" s="28">
        <v>4</v>
      </c>
      <c r="D159" s="28">
        <v>144</v>
      </c>
      <c r="E159" s="29" t="s">
        <v>1619</v>
      </c>
      <c r="F159" s="28" t="s">
        <v>2092</v>
      </c>
      <c r="G159" s="29"/>
    </row>
    <row r="160" spans="1:7" ht="15" thickBot="1">
      <c r="A160" t="str">
        <f t="shared" si="3"/>
        <v>MR</v>
      </c>
      <c r="B160" s="26">
        <v>6</v>
      </c>
      <c r="C160" s="26">
        <v>5</v>
      </c>
      <c r="D160" s="26">
        <v>145</v>
      </c>
      <c r="E160" s="27" t="s">
        <v>1620</v>
      </c>
      <c r="F160" s="26" t="s">
        <v>2021</v>
      </c>
      <c r="G160" s="27"/>
    </row>
    <row r="161" spans="1:7" ht="15" thickBot="1">
      <c r="A161" t="str">
        <f t="shared" si="3"/>
        <v>SP</v>
      </c>
      <c r="B161" s="28">
        <v>6</v>
      </c>
      <c r="C161" s="28">
        <v>6</v>
      </c>
      <c r="D161" s="28">
        <v>146</v>
      </c>
      <c r="E161" s="29" t="s">
        <v>1623</v>
      </c>
      <c r="F161" s="28" t="s">
        <v>2003</v>
      </c>
      <c r="G161" s="29"/>
    </row>
    <row r="162" spans="1:7" ht="15" thickBot="1">
      <c r="A162" t="str">
        <f t="shared" si="3"/>
        <v>LF</v>
      </c>
      <c r="B162" s="26">
        <v>6</v>
      </c>
      <c r="C162" s="26">
        <v>7</v>
      </c>
      <c r="D162" s="26">
        <v>147</v>
      </c>
      <c r="E162" s="27" t="s">
        <v>1621</v>
      </c>
      <c r="F162" s="26" t="s">
        <v>2035</v>
      </c>
      <c r="G162" s="27"/>
    </row>
    <row r="163" spans="1:7" ht="15" thickBot="1">
      <c r="A163" t="str">
        <f t="shared" si="3"/>
        <v>CF</v>
      </c>
      <c r="B163" s="28">
        <v>6</v>
      </c>
      <c r="C163" s="28">
        <v>8</v>
      </c>
      <c r="D163" s="28">
        <v>148</v>
      </c>
      <c r="E163" s="29" t="s">
        <v>1646</v>
      </c>
      <c r="F163" s="28" t="s">
        <v>2079</v>
      </c>
      <c r="G163" s="29"/>
    </row>
    <row r="164" spans="1:7" ht="15" thickBot="1">
      <c r="A164" t="str">
        <f t="shared" si="3"/>
        <v>1B</v>
      </c>
      <c r="B164" s="26">
        <v>6</v>
      </c>
      <c r="C164" s="26">
        <v>9</v>
      </c>
      <c r="D164" s="26">
        <v>149</v>
      </c>
      <c r="E164" s="27" t="s">
        <v>1622</v>
      </c>
      <c r="F164" s="26" t="s">
        <v>2092</v>
      </c>
      <c r="G164" s="27"/>
    </row>
    <row r="165" spans="1:7" ht="15" thickBot="1">
      <c r="A165" t="str">
        <f t="shared" si="3"/>
        <v>CF</v>
      </c>
      <c r="B165" s="28">
        <v>6</v>
      </c>
      <c r="C165" s="28">
        <v>10</v>
      </c>
      <c r="D165" s="28">
        <v>150</v>
      </c>
      <c r="E165" s="29" t="s">
        <v>1625</v>
      </c>
      <c r="F165" s="28" t="s">
        <v>2079</v>
      </c>
      <c r="G165" s="29"/>
    </row>
    <row r="166" spans="1:7" ht="15" thickBot="1">
      <c r="A166" t="str">
        <f t="shared" si="3"/>
        <v>RF</v>
      </c>
      <c r="B166" s="26">
        <v>6</v>
      </c>
      <c r="C166" s="26">
        <v>11</v>
      </c>
      <c r="D166" s="26">
        <v>151</v>
      </c>
      <c r="E166" s="27" t="s">
        <v>1640</v>
      </c>
      <c r="F166" s="26" t="s">
        <v>2057</v>
      </c>
      <c r="G166" s="27"/>
    </row>
    <row r="167" spans="1:7" ht="15" thickBot="1">
      <c r="A167" t="str">
        <f t="shared" si="3"/>
        <v>SP</v>
      </c>
      <c r="B167" s="28">
        <v>6</v>
      </c>
      <c r="C167" s="28">
        <v>12</v>
      </c>
      <c r="D167" s="28">
        <v>152</v>
      </c>
      <c r="E167" s="29" t="s">
        <v>1626</v>
      </c>
      <c r="F167" s="28" t="s">
        <v>2003</v>
      </c>
      <c r="G167" s="29"/>
    </row>
    <row r="168" spans="1:7" ht="15" thickBot="1">
      <c r="A168" t="str">
        <f t="shared" si="3"/>
        <v>2B</v>
      </c>
      <c r="B168" s="26">
        <v>6</v>
      </c>
      <c r="C168" s="26">
        <v>13</v>
      </c>
      <c r="D168" s="26">
        <v>153</v>
      </c>
      <c r="E168" s="27" t="s">
        <v>1627</v>
      </c>
      <c r="F168" s="26" t="s">
        <v>2069</v>
      </c>
      <c r="G168" s="27"/>
    </row>
    <row r="169" spans="1:7" ht="15" thickBot="1">
      <c r="A169" t="str">
        <f t="shared" si="3"/>
        <v>MR</v>
      </c>
      <c r="B169" s="28">
        <v>6</v>
      </c>
      <c r="C169" s="28">
        <v>14</v>
      </c>
      <c r="D169" s="28">
        <v>154</v>
      </c>
      <c r="E169" s="29" t="s">
        <v>1628</v>
      </c>
      <c r="F169" s="28" t="s">
        <v>2021</v>
      </c>
      <c r="G169" s="29"/>
    </row>
    <row r="170" spans="1:7" ht="15" thickBot="1">
      <c r="A170" t="str">
        <f t="shared" si="3"/>
        <v>SP</v>
      </c>
      <c r="B170" s="26">
        <v>6</v>
      </c>
      <c r="C170" s="26">
        <v>15</v>
      </c>
      <c r="D170" s="26">
        <v>155</v>
      </c>
      <c r="E170" s="27" t="s">
        <v>1622</v>
      </c>
      <c r="F170" s="26" t="s">
        <v>2003</v>
      </c>
      <c r="G170" s="27"/>
    </row>
    <row r="171" spans="1:7" ht="15" thickBot="1">
      <c r="A171" t="str">
        <f t="shared" si="3"/>
        <v>CL</v>
      </c>
      <c r="B171" s="28">
        <v>6</v>
      </c>
      <c r="C171" s="28">
        <v>16</v>
      </c>
      <c r="D171" s="28">
        <v>156</v>
      </c>
      <c r="E171" s="29" t="s">
        <v>1646</v>
      </c>
      <c r="F171" s="28" t="s">
        <v>2032</v>
      </c>
      <c r="G171" s="29"/>
    </row>
    <row r="172" spans="1:7" ht="15" thickBot="1">
      <c r="A172" t="str">
        <f t="shared" si="3"/>
        <v>MR</v>
      </c>
      <c r="B172" s="26">
        <v>6</v>
      </c>
      <c r="C172" s="26">
        <v>17</v>
      </c>
      <c r="D172" s="26">
        <v>157</v>
      </c>
      <c r="E172" s="27" t="s">
        <v>1628</v>
      </c>
      <c r="F172" s="26" t="s">
        <v>2021</v>
      </c>
      <c r="G172" s="27"/>
    </row>
    <row r="173" spans="1:7" ht="15" thickBot="1">
      <c r="A173" t="str">
        <f t="shared" si="3"/>
        <v>3B</v>
      </c>
      <c r="B173" s="28">
        <v>6</v>
      </c>
      <c r="C173" s="28">
        <v>18</v>
      </c>
      <c r="D173" s="28">
        <v>158</v>
      </c>
      <c r="E173" s="29" t="s">
        <v>1637</v>
      </c>
      <c r="F173" s="28" t="s">
        <v>2061</v>
      </c>
      <c r="G173" s="29"/>
    </row>
    <row r="174" spans="1:7" ht="15" thickBot="1">
      <c r="A174" t="str">
        <f t="shared" si="3"/>
        <v>C</v>
      </c>
      <c r="B174" s="26">
        <v>6</v>
      </c>
      <c r="C174" s="26">
        <v>19</v>
      </c>
      <c r="D174" s="26">
        <v>159</v>
      </c>
      <c r="E174" s="27" t="s">
        <v>1630</v>
      </c>
      <c r="F174" s="26" t="s">
        <v>2091</v>
      </c>
      <c r="G174" s="27"/>
    </row>
    <row r="175" spans="1:7" ht="15" thickBot="1">
      <c r="A175" t="str">
        <f t="shared" si="3"/>
        <v>MR</v>
      </c>
      <c r="B175" s="28">
        <v>6</v>
      </c>
      <c r="C175" s="28">
        <v>20</v>
      </c>
      <c r="D175" s="28">
        <v>160</v>
      </c>
      <c r="E175" s="29" t="s">
        <v>1624</v>
      </c>
      <c r="F175" s="28" t="s">
        <v>2021</v>
      </c>
      <c r="G175" s="29"/>
    </row>
    <row r="176" spans="1:7" ht="15" thickBot="1">
      <c r="A176" t="str">
        <f t="shared" si="3"/>
        <v>LF</v>
      </c>
      <c r="B176" s="26">
        <v>6</v>
      </c>
      <c r="C176" s="26">
        <v>21</v>
      </c>
      <c r="D176" s="26">
        <v>161</v>
      </c>
      <c r="E176" s="27" t="s">
        <v>1631</v>
      </c>
      <c r="F176" s="26" t="s">
        <v>2035</v>
      </c>
      <c r="G176" s="27"/>
    </row>
    <row r="177" spans="1:7" ht="15" thickBot="1">
      <c r="A177" t="str">
        <f t="shared" si="3"/>
        <v>SS</v>
      </c>
      <c r="B177" s="28">
        <v>6</v>
      </c>
      <c r="C177" s="28">
        <v>22</v>
      </c>
      <c r="D177" s="28">
        <v>162</v>
      </c>
      <c r="E177" s="29" t="s">
        <v>1632</v>
      </c>
      <c r="F177" s="28" t="s">
        <v>2074</v>
      </c>
      <c r="G177" s="29"/>
    </row>
    <row r="178" spans="1:7" ht="15" thickBot="1">
      <c r="A178" t="str">
        <f t="shared" si="3"/>
        <v>MR</v>
      </c>
      <c r="B178" s="26">
        <v>6</v>
      </c>
      <c r="C178" s="26">
        <v>23</v>
      </c>
      <c r="D178" s="26">
        <v>163</v>
      </c>
      <c r="E178" s="27" t="s">
        <v>1633</v>
      </c>
      <c r="F178" s="26" t="s">
        <v>2021</v>
      </c>
      <c r="G178" s="27"/>
    </row>
    <row r="179" spans="1:7" ht="15" thickBot="1">
      <c r="A179" t="str">
        <f t="shared" si="3"/>
        <v>CF</v>
      </c>
      <c r="B179" s="28">
        <v>6</v>
      </c>
      <c r="C179" s="28">
        <v>24</v>
      </c>
      <c r="D179" s="28">
        <v>164</v>
      </c>
      <c r="E179" s="29" t="s">
        <v>1618</v>
      </c>
      <c r="F179" s="28" t="s">
        <v>2079</v>
      </c>
      <c r="G179" s="29"/>
    </row>
    <row r="180" spans="1:7" ht="15" thickBot="1">
      <c r="A180" t="str">
        <f t="shared" si="3"/>
        <v/>
      </c>
      <c r="B180" s="49" t="s">
        <v>1647</v>
      </c>
      <c r="C180" s="50"/>
      <c r="D180" s="50"/>
      <c r="E180" s="50"/>
      <c r="F180" s="51"/>
      <c r="G180" s="23"/>
    </row>
    <row r="181" spans="1:7" ht="15" thickBot="1">
      <c r="A181" t="str">
        <f t="shared" si="3"/>
        <v>Pos</v>
      </c>
      <c r="B181" s="24" t="s">
        <v>1613</v>
      </c>
      <c r="C181" s="24" t="s">
        <v>1604</v>
      </c>
      <c r="D181" s="24" t="s">
        <v>1614</v>
      </c>
      <c r="E181" s="25" t="s">
        <v>1605</v>
      </c>
      <c r="F181" s="24" t="s">
        <v>2137</v>
      </c>
      <c r="G181" s="25"/>
    </row>
    <row r="182" spans="1:7" ht="15" thickBot="1">
      <c r="A182" t="str">
        <f t="shared" si="3"/>
        <v>LF</v>
      </c>
      <c r="B182" s="26">
        <v>7</v>
      </c>
      <c r="C182" s="26">
        <v>1</v>
      </c>
      <c r="D182" s="26">
        <v>165</v>
      </c>
      <c r="E182" s="27" t="s">
        <v>1616</v>
      </c>
      <c r="F182" s="26" t="s">
        <v>2035</v>
      </c>
      <c r="G182" s="27"/>
    </row>
    <row r="183" spans="1:7" ht="15" thickBot="1">
      <c r="A183" t="str">
        <f t="shared" si="3"/>
        <v>2B</v>
      </c>
      <c r="B183" s="28">
        <v>7</v>
      </c>
      <c r="C183" s="28">
        <v>2</v>
      </c>
      <c r="D183" s="28">
        <v>166</v>
      </c>
      <c r="E183" s="29" t="s">
        <v>1617</v>
      </c>
      <c r="F183" s="28" t="s">
        <v>2069</v>
      </c>
      <c r="G183" s="29"/>
    </row>
    <row r="184" spans="1:7" ht="15" thickBot="1">
      <c r="A184" t="str">
        <f t="shared" si="3"/>
        <v>SP</v>
      </c>
      <c r="B184" s="26">
        <v>7</v>
      </c>
      <c r="C184" s="26">
        <v>3</v>
      </c>
      <c r="D184" s="26">
        <v>167</v>
      </c>
      <c r="E184" s="27" t="s">
        <v>1639</v>
      </c>
      <c r="F184" s="26" t="s">
        <v>2003</v>
      </c>
      <c r="G184" s="27"/>
    </row>
    <row r="185" spans="1:7" ht="15" thickBot="1">
      <c r="A185" t="str">
        <f t="shared" si="3"/>
        <v>SP</v>
      </c>
      <c r="B185" s="28">
        <v>7</v>
      </c>
      <c r="C185" s="28">
        <v>4</v>
      </c>
      <c r="D185" s="28">
        <v>168</v>
      </c>
      <c r="E185" s="29" t="s">
        <v>1619</v>
      </c>
      <c r="F185" s="28" t="s">
        <v>2003</v>
      </c>
      <c r="G185" s="29"/>
    </row>
    <row r="186" spans="1:7" ht="15" thickBot="1">
      <c r="A186" t="str">
        <f t="shared" si="3"/>
        <v>MR</v>
      </c>
      <c r="B186" s="26">
        <v>7</v>
      </c>
      <c r="C186" s="26">
        <v>5</v>
      </c>
      <c r="D186" s="26">
        <v>169</v>
      </c>
      <c r="E186" s="27" t="s">
        <v>1620</v>
      </c>
      <c r="F186" s="26" t="s">
        <v>2021</v>
      </c>
      <c r="G186" s="27"/>
    </row>
    <row r="187" spans="1:7" ht="15" thickBot="1">
      <c r="A187" t="str">
        <f t="shared" si="3"/>
        <v>SP</v>
      </c>
      <c r="B187" s="28">
        <v>7</v>
      </c>
      <c r="C187" s="28">
        <v>6</v>
      </c>
      <c r="D187" s="28">
        <v>170</v>
      </c>
      <c r="E187" s="29" t="s">
        <v>1623</v>
      </c>
      <c r="F187" s="28" t="s">
        <v>2003</v>
      </c>
      <c r="G187" s="29"/>
    </row>
    <row r="188" spans="1:7" ht="15" thickBot="1">
      <c r="A188" t="str">
        <f t="shared" si="3"/>
        <v>SS</v>
      </c>
      <c r="B188" s="26">
        <v>7</v>
      </c>
      <c r="C188" s="26">
        <v>7</v>
      </c>
      <c r="D188" s="26">
        <v>171</v>
      </c>
      <c r="E188" s="27" t="s">
        <v>1621</v>
      </c>
      <c r="F188" s="26" t="s">
        <v>2074</v>
      </c>
      <c r="G188" s="27"/>
    </row>
    <row r="189" spans="1:7" ht="15" thickBot="1">
      <c r="A189" t="str">
        <f t="shared" si="3"/>
        <v>SP</v>
      </c>
      <c r="B189" s="28">
        <v>7</v>
      </c>
      <c r="C189" s="28">
        <v>8</v>
      </c>
      <c r="D189" s="28">
        <v>172</v>
      </c>
      <c r="E189" s="29" t="s">
        <v>1646</v>
      </c>
      <c r="F189" s="28" t="s">
        <v>2003</v>
      </c>
      <c r="G189" s="29"/>
    </row>
    <row r="190" spans="1:7" ht="15" thickBot="1">
      <c r="A190" t="str">
        <f t="shared" si="3"/>
        <v>MR</v>
      </c>
      <c r="B190" s="26">
        <v>7</v>
      </c>
      <c r="C190" s="26">
        <v>9</v>
      </c>
      <c r="D190" s="26">
        <v>173</v>
      </c>
      <c r="E190" s="27" t="s">
        <v>1622</v>
      </c>
      <c r="F190" s="26" t="s">
        <v>2021</v>
      </c>
      <c r="G190" s="27"/>
    </row>
    <row r="191" spans="1:7" ht="15" thickBot="1">
      <c r="A191" t="str">
        <f t="shared" si="3"/>
        <v>2B</v>
      </c>
      <c r="B191" s="28">
        <v>7</v>
      </c>
      <c r="C191" s="28">
        <v>10</v>
      </c>
      <c r="D191" s="28">
        <v>174</v>
      </c>
      <c r="E191" s="29" t="s">
        <v>1625</v>
      </c>
      <c r="F191" s="28" t="s">
        <v>2069</v>
      </c>
      <c r="G191" s="29"/>
    </row>
    <row r="192" spans="1:7" ht="15" thickBot="1">
      <c r="A192" t="str">
        <f t="shared" si="3"/>
        <v>1B</v>
      </c>
      <c r="B192" s="26">
        <v>7</v>
      </c>
      <c r="C192" s="26">
        <v>11</v>
      </c>
      <c r="D192" s="26">
        <v>175</v>
      </c>
      <c r="E192" s="27" t="s">
        <v>1640</v>
      </c>
      <c r="F192" s="26" t="s">
        <v>2092</v>
      </c>
      <c r="G192" s="27"/>
    </row>
    <row r="193" spans="1:7" ht="15" thickBot="1">
      <c r="A193" t="str">
        <f t="shared" si="3"/>
        <v>C</v>
      </c>
      <c r="B193" s="28">
        <v>7</v>
      </c>
      <c r="C193" s="28">
        <v>12</v>
      </c>
      <c r="D193" s="28">
        <v>176</v>
      </c>
      <c r="E193" s="29" t="s">
        <v>1626</v>
      </c>
      <c r="F193" s="28" t="s">
        <v>2091</v>
      </c>
      <c r="G193" s="29"/>
    </row>
    <row r="194" spans="1:7" ht="15" thickBot="1">
      <c r="A194" t="str">
        <f t="shared" si="3"/>
        <v>MR</v>
      </c>
      <c r="B194" s="26">
        <v>7</v>
      </c>
      <c r="C194" s="26">
        <v>13</v>
      </c>
      <c r="D194" s="26">
        <v>177</v>
      </c>
      <c r="E194" s="27" t="s">
        <v>1627</v>
      </c>
      <c r="F194" s="26" t="s">
        <v>2021</v>
      </c>
      <c r="G194" s="27"/>
    </row>
    <row r="195" spans="1:7" ht="15" thickBot="1">
      <c r="A195" t="str">
        <f t="shared" si="3"/>
        <v>RF</v>
      </c>
      <c r="B195" s="28">
        <v>7</v>
      </c>
      <c r="C195" s="28">
        <v>14</v>
      </c>
      <c r="D195" s="28">
        <v>178</v>
      </c>
      <c r="E195" s="29" t="s">
        <v>1628</v>
      </c>
      <c r="F195" s="28" t="s">
        <v>2057</v>
      </c>
      <c r="G195" s="29"/>
    </row>
    <row r="196" spans="1:7" ht="15" thickBot="1">
      <c r="A196" t="str">
        <f t="shared" si="3"/>
        <v>2B</v>
      </c>
      <c r="B196" s="26">
        <v>7</v>
      </c>
      <c r="C196" s="26">
        <v>15</v>
      </c>
      <c r="D196" s="26">
        <v>179</v>
      </c>
      <c r="E196" s="27" t="s">
        <v>1641</v>
      </c>
      <c r="F196" s="26" t="s">
        <v>2069</v>
      </c>
      <c r="G196" s="27"/>
    </row>
    <row r="197" spans="1:7" ht="15" thickBot="1">
      <c r="A197" t="str">
        <f t="shared" ref="A197:A260" si="4">F197&amp;G197</f>
        <v>MR</v>
      </c>
      <c r="B197" s="28">
        <v>7</v>
      </c>
      <c r="C197" s="28">
        <v>16</v>
      </c>
      <c r="D197" s="28">
        <v>180</v>
      </c>
      <c r="E197" s="29" t="s">
        <v>1636</v>
      </c>
      <c r="F197" s="28" t="s">
        <v>2021</v>
      </c>
      <c r="G197" s="29"/>
    </row>
    <row r="198" spans="1:7" ht="15" thickBot="1">
      <c r="A198" t="str">
        <f t="shared" si="4"/>
        <v>SP</v>
      </c>
      <c r="B198" s="26">
        <v>7</v>
      </c>
      <c r="C198" s="26">
        <v>17</v>
      </c>
      <c r="D198" s="26">
        <v>181</v>
      </c>
      <c r="E198" s="27" t="s">
        <v>1629</v>
      </c>
      <c r="F198" s="26" t="s">
        <v>2003</v>
      </c>
      <c r="G198" s="27"/>
    </row>
    <row r="199" spans="1:7" ht="15" thickBot="1">
      <c r="A199" t="str">
        <f t="shared" si="4"/>
        <v>SS</v>
      </c>
      <c r="B199" s="28">
        <v>7</v>
      </c>
      <c r="C199" s="28">
        <v>18</v>
      </c>
      <c r="D199" s="28">
        <v>182</v>
      </c>
      <c r="E199" s="29" t="s">
        <v>1637</v>
      </c>
      <c r="F199" s="28" t="s">
        <v>2074</v>
      </c>
      <c r="G199" s="29"/>
    </row>
    <row r="200" spans="1:7" ht="15" thickBot="1">
      <c r="A200" t="str">
        <f t="shared" si="4"/>
        <v>MR</v>
      </c>
      <c r="B200" s="26">
        <v>7</v>
      </c>
      <c r="C200" s="26">
        <v>19</v>
      </c>
      <c r="D200" s="26">
        <v>183</v>
      </c>
      <c r="E200" s="27" t="s">
        <v>1630</v>
      </c>
      <c r="F200" s="26" t="s">
        <v>2021</v>
      </c>
      <c r="G200" s="27"/>
    </row>
    <row r="201" spans="1:7" ht="15" thickBot="1">
      <c r="A201" t="str">
        <f t="shared" si="4"/>
        <v>SP</v>
      </c>
      <c r="B201" s="28">
        <v>7</v>
      </c>
      <c r="C201" s="28">
        <v>20</v>
      </c>
      <c r="D201" s="28">
        <v>184</v>
      </c>
      <c r="E201" s="29" t="s">
        <v>1624</v>
      </c>
      <c r="F201" s="28" t="s">
        <v>2003</v>
      </c>
      <c r="G201" s="29"/>
    </row>
    <row r="202" spans="1:7" ht="15" thickBot="1">
      <c r="A202" t="str">
        <f t="shared" si="4"/>
        <v>2B</v>
      </c>
      <c r="B202" s="26">
        <v>7</v>
      </c>
      <c r="C202" s="26">
        <v>21</v>
      </c>
      <c r="D202" s="26">
        <v>185</v>
      </c>
      <c r="E202" s="27" t="s">
        <v>1624</v>
      </c>
      <c r="F202" s="26" t="s">
        <v>2069</v>
      </c>
      <c r="G202" s="27"/>
    </row>
    <row r="203" spans="1:7" ht="15" thickBot="1">
      <c r="A203" t="str">
        <f t="shared" si="4"/>
        <v>SP</v>
      </c>
      <c r="B203" s="28">
        <v>7</v>
      </c>
      <c r="C203" s="28">
        <v>22</v>
      </c>
      <c r="D203" s="28">
        <v>186</v>
      </c>
      <c r="E203" s="29" t="s">
        <v>1632</v>
      </c>
      <c r="F203" s="28" t="s">
        <v>2003</v>
      </c>
      <c r="G203" s="29"/>
    </row>
    <row r="204" spans="1:7" ht="15" thickBot="1">
      <c r="A204" t="str">
        <f t="shared" si="4"/>
        <v>3B</v>
      </c>
      <c r="B204" s="26">
        <v>7</v>
      </c>
      <c r="C204" s="26">
        <v>23</v>
      </c>
      <c r="D204" s="26">
        <v>187</v>
      </c>
      <c r="E204" s="27" t="s">
        <v>1633</v>
      </c>
      <c r="F204" s="26" t="s">
        <v>2061</v>
      </c>
      <c r="G204" s="27"/>
    </row>
    <row r="205" spans="1:7" ht="15" thickBot="1">
      <c r="A205" t="str">
        <f t="shared" si="4"/>
        <v>SP</v>
      </c>
      <c r="B205" s="28">
        <v>7</v>
      </c>
      <c r="C205" s="28">
        <v>24</v>
      </c>
      <c r="D205" s="28">
        <v>188</v>
      </c>
      <c r="E205" s="29" t="s">
        <v>1618</v>
      </c>
      <c r="F205" s="28" t="s">
        <v>2003</v>
      </c>
      <c r="G205" s="29"/>
    </row>
    <row r="206" spans="1:7" ht="15" thickBot="1">
      <c r="A206" t="str">
        <f t="shared" si="4"/>
        <v/>
      </c>
      <c r="B206" s="49" t="s">
        <v>1648</v>
      </c>
      <c r="C206" s="50"/>
      <c r="D206" s="50"/>
      <c r="E206" s="50"/>
      <c r="F206" s="51"/>
      <c r="G206" s="23"/>
    </row>
    <row r="207" spans="1:7" ht="15" thickBot="1">
      <c r="A207" t="str">
        <f t="shared" si="4"/>
        <v>Pos</v>
      </c>
      <c r="B207" s="24" t="s">
        <v>1613</v>
      </c>
      <c r="C207" s="24" t="s">
        <v>1604</v>
      </c>
      <c r="D207" s="24" t="s">
        <v>1614</v>
      </c>
      <c r="E207" s="25" t="s">
        <v>1605</v>
      </c>
      <c r="F207" s="24" t="s">
        <v>2137</v>
      </c>
      <c r="G207" s="25"/>
    </row>
    <row r="208" spans="1:7" ht="15" thickBot="1">
      <c r="A208" t="str">
        <f t="shared" si="4"/>
        <v>C</v>
      </c>
      <c r="B208" s="26">
        <v>8</v>
      </c>
      <c r="C208" s="26">
        <v>1</v>
      </c>
      <c r="D208" s="26">
        <v>189</v>
      </c>
      <c r="E208" s="27" t="s">
        <v>1616</v>
      </c>
      <c r="F208" s="26" t="s">
        <v>2091</v>
      </c>
      <c r="G208" s="27"/>
    </row>
    <row r="209" spans="1:7" ht="15" thickBot="1">
      <c r="A209" t="str">
        <f t="shared" si="4"/>
        <v>MR</v>
      </c>
      <c r="B209" s="28">
        <v>8</v>
      </c>
      <c r="C209" s="28">
        <v>2</v>
      </c>
      <c r="D209" s="28">
        <v>190</v>
      </c>
      <c r="E209" s="29" t="s">
        <v>1617</v>
      </c>
      <c r="F209" s="28" t="s">
        <v>2021</v>
      </c>
      <c r="G209" s="29"/>
    </row>
    <row r="210" spans="1:7" ht="15" thickBot="1">
      <c r="A210" t="str">
        <f t="shared" si="4"/>
        <v>SP</v>
      </c>
      <c r="B210" s="26">
        <v>8</v>
      </c>
      <c r="C210" s="26">
        <v>3</v>
      </c>
      <c r="D210" s="26">
        <v>191</v>
      </c>
      <c r="E210" s="27" t="s">
        <v>1639</v>
      </c>
      <c r="F210" s="26" t="s">
        <v>2003</v>
      </c>
      <c r="G210" s="27"/>
    </row>
    <row r="211" spans="1:7" ht="15" thickBot="1">
      <c r="A211" t="str">
        <f t="shared" si="4"/>
        <v>C</v>
      </c>
      <c r="B211" s="28">
        <v>8</v>
      </c>
      <c r="C211" s="28">
        <v>4</v>
      </c>
      <c r="D211" s="28">
        <v>192</v>
      </c>
      <c r="E211" s="29" t="s">
        <v>1619</v>
      </c>
      <c r="F211" s="28" t="s">
        <v>2091</v>
      </c>
      <c r="G211" s="29"/>
    </row>
    <row r="212" spans="1:7" ht="15" thickBot="1">
      <c r="A212" t="str">
        <f t="shared" si="4"/>
        <v>C</v>
      </c>
      <c r="B212" s="26">
        <v>8</v>
      </c>
      <c r="C212" s="26">
        <v>5</v>
      </c>
      <c r="D212" s="26">
        <v>193</v>
      </c>
      <c r="E212" s="27" t="s">
        <v>1620</v>
      </c>
      <c r="F212" s="26" t="s">
        <v>2091</v>
      </c>
      <c r="G212" s="27"/>
    </row>
    <row r="213" spans="1:7" ht="15" thickBot="1">
      <c r="A213" t="str">
        <f t="shared" si="4"/>
        <v>2B</v>
      </c>
      <c r="B213" s="28">
        <v>8</v>
      </c>
      <c r="C213" s="28">
        <v>6</v>
      </c>
      <c r="D213" s="28">
        <v>194</v>
      </c>
      <c r="E213" s="29" t="s">
        <v>1623</v>
      </c>
      <c r="F213" s="28" t="s">
        <v>2069</v>
      </c>
      <c r="G213" s="29"/>
    </row>
    <row r="214" spans="1:7" ht="15" thickBot="1">
      <c r="A214" t="str">
        <f t="shared" si="4"/>
        <v>LF</v>
      </c>
      <c r="B214" s="26">
        <v>8</v>
      </c>
      <c r="C214" s="26">
        <v>7</v>
      </c>
      <c r="D214" s="26">
        <v>195</v>
      </c>
      <c r="E214" s="27" t="s">
        <v>1621</v>
      </c>
      <c r="F214" s="26" t="s">
        <v>2035</v>
      </c>
      <c r="G214" s="27"/>
    </row>
    <row r="215" spans="1:7" ht="15" thickBot="1">
      <c r="A215" t="str">
        <f t="shared" si="4"/>
        <v>MR</v>
      </c>
      <c r="B215" s="28">
        <v>8</v>
      </c>
      <c r="C215" s="28">
        <v>8</v>
      </c>
      <c r="D215" s="28">
        <v>196</v>
      </c>
      <c r="E215" s="29" t="s">
        <v>1646</v>
      </c>
      <c r="F215" s="28" t="s">
        <v>2021</v>
      </c>
      <c r="G215" s="29"/>
    </row>
    <row r="216" spans="1:7" ht="15" thickBot="1">
      <c r="A216" t="str">
        <f t="shared" si="4"/>
        <v>RF</v>
      </c>
      <c r="B216" s="26">
        <v>8</v>
      </c>
      <c r="C216" s="26">
        <v>9</v>
      </c>
      <c r="D216" s="26">
        <v>197</v>
      </c>
      <c r="E216" s="27" t="s">
        <v>1622</v>
      </c>
      <c r="F216" s="26" t="s">
        <v>2057</v>
      </c>
      <c r="G216" s="27"/>
    </row>
    <row r="217" spans="1:7" ht="15" thickBot="1">
      <c r="A217" t="str">
        <f t="shared" si="4"/>
        <v>RF</v>
      </c>
      <c r="B217" s="28">
        <v>8</v>
      </c>
      <c r="C217" s="28">
        <v>10</v>
      </c>
      <c r="D217" s="28">
        <v>198</v>
      </c>
      <c r="E217" s="29" t="s">
        <v>1625</v>
      </c>
      <c r="F217" s="28" t="s">
        <v>2057</v>
      </c>
      <c r="G217" s="29"/>
    </row>
    <row r="218" spans="1:7" ht="15" thickBot="1">
      <c r="A218" t="str">
        <f t="shared" si="4"/>
        <v>SS</v>
      </c>
      <c r="B218" s="26">
        <v>8</v>
      </c>
      <c r="C218" s="26">
        <v>11</v>
      </c>
      <c r="D218" s="26">
        <v>199</v>
      </c>
      <c r="E218" s="27" t="s">
        <v>1640</v>
      </c>
      <c r="F218" s="26" t="s">
        <v>2074</v>
      </c>
      <c r="G218" s="27"/>
    </row>
    <row r="219" spans="1:7" ht="15" thickBot="1">
      <c r="A219" t="str">
        <f t="shared" si="4"/>
        <v>RF</v>
      </c>
      <c r="B219" s="28">
        <v>8</v>
      </c>
      <c r="C219" s="28">
        <v>12</v>
      </c>
      <c r="D219" s="28">
        <v>200</v>
      </c>
      <c r="E219" s="29" t="s">
        <v>1626</v>
      </c>
      <c r="F219" s="28" t="s">
        <v>2057</v>
      </c>
      <c r="G219" s="29"/>
    </row>
    <row r="220" spans="1:7" ht="15" thickBot="1">
      <c r="A220" t="str">
        <f t="shared" si="4"/>
        <v>SP</v>
      </c>
      <c r="B220" s="26">
        <v>8</v>
      </c>
      <c r="C220" s="26">
        <v>13</v>
      </c>
      <c r="D220" s="26">
        <v>201</v>
      </c>
      <c r="E220" s="27" t="s">
        <v>1627</v>
      </c>
      <c r="F220" s="26" t="s">
        <v>2003</v>
      </c>
      <c r="G220" s="27"/>
    </row>
    <row r="221" spans="1:7" ht="15" thickBot="1">
      <c r="A221" t="str">
        <f t="shared" si="4"/>
        <v>SP</v>
      </c>
      <c r="B221" s="28">
        <v>8</v>
      </c>
      <c r="C221" s="28">
        <v>14</v>
      </c>
      <c r="D221" s="28">
        <v>202</v>
      </c>
      <c r="E221" s="29" t="s">
        <v>1628</v>
      </c>
      <c r="F221" s="28" t="s">
        <v>2003</v>
      </c>
      <c r="G221" s="29"/>
    </row>
    <row r="222" spans="1:7" ht="15" thickBot="1">
      <c r="A222" t="str">
        <f t="shared" si="4"/>
        <v>SP</v>
      </c>
      <c r="B222" s="26">
        <v>8</v>
      </c>
      <c r="C222" s="26">
        <v>15</v>
      </c>
      <c r="D222" s="26">
        <v>203</v>
      </c>
      <c r="E222" s="27" t="s">
        <v>1641</v>
      </c>
      <c r="F222" s="26" t="s">
        <v>2003</v>
      </c>
      <c r="G222" s="27"/>
    </row>
    <row r="223" spans="1:7" ht="15" thickBot="1">
      <c r="A223" t="str">
        <f t="shared" si="4"/>
        <v>1B</v>
      </c>
      <c r="B223" s="28">
        <v>8</v>
      </c>
      <c r="C223" s="28">
        <v>16</v>
      </c>
      <c r="D223" s="28">
        <v>204</v>
      </c>
      <c r="E223" s="29" t="s">
        <v>1636</v>
      </c>
      <c r="F223" s="28" t="s">
        <v>2092</v>
      </c>
      <c r="G223" s="29"/>
    </row>
    <row r="224" spans="1:7" ht="15" thickBot="1">
      <c r="A224" t="str">
        <f t="shared" si="4"/>
        <v>SP</v>
      </c>
      <c r="B224" s="26">
        <v>8</v>
      </c>
      <c r="C224" s="26">
        <v>17</v>
      </c>
      <c r="D224" s="26">
        <v>205</v>
      </c>
      <c r="E224" s="27" t="s">
        <v>1629</v>
      </c>
      <c r="F224" s="26" t="s">
        <v>2003</v>
      </c>
      <c r="G224" s="27"/>
    </row>
    <row r="225" spans="1:7" ht="15" thickBot="1">
      <c r="A225" t="str">
        <f t="shared" si="4"/>
        <v>SP</v>
      </c>
      <c r="B225" s="28">
        <v>8</v>
      </c>
      <c r="C225" s="28">
        <v>18</v>
      </c>
      <c r="D225" s="28">
        <v>206</v>
      </c>
      <c r="E225" s="29" t="s">
        <v>1637</v>
      </c>
      <c r="F225" s="28" t="s">
        <v>2003</v>
      </c>
      <c r="G225" s="29"/>
    </row>
    <row r="226" spans="1:7" ht="15" thickBot="1">
      <c r="A226" t="str">
        <f t="shared" si="4"/>
        <v>2B</v>
      </c>
      <c r="B226" s="26">
        <v>8</v>
      </c>
      <c r="C226" s="26">
        <v>19</v>
      </c>
      <c r="D226" s="26">
        <v>207</v>
      </c>
      <c r="E226" s="27" t="s">
        <v>1630</v>
      </c>
      <c r="F226" s="26" t="s">
        <v>2069</v>
      </c>
      <c r="G226" s="27"/>
    </row>
    <row r="227" spans="1:7" ht="15" thickBot="1">
      <c r="A227" t="str">
        <f t="shared" si="4"/>
        <v>RF</v>
      </c>
      <c r="B227" s="28">
        <v>8</v>
      </c>
      <c r="C227" s="28">
        <v>20</v>
      </c>
      <c r="D227" s="28">
        <v>208</v>
      </c>
      <c r="E227" s="29" t="s">
        <v>1624</v>
      </c>
      <c r="F227" s="28" t="s">
        <v>2057</v>
      </c>
      <c r="G227" s="29"/>
    </row>
    <row r="228" spans="1:7" ht="15" thickBot="1">
      <c r="A228" t="str">
        <f t="shared" si="4"/>
        <v>C</v>
      </c>
      <c r="B228" s="26">
        <v>8</v>
      </c>
      <c r="C228" s="26">
        <v>21</v>
      </c>
      <c r="D228" s="26">
        <v>209</v>
      </c>
      <c r="E228" s="27" t="s">
        <v>1631</v>
      </c>
      <c r="F228" s="26" t="s">
        <v>2091</v>
      </c>
      <c r="G228" s="27"/>
    </row>
    <row r="229" spans="1:7" ht="15" thickBot="1">
      <c r="A229" t="str">
        <f t="shared" si="4"/>
        <v>C</v>
      </c>
      <c r="B229" s="28">
        <v>8</v>
      </c>
      <c r="C229" s="28">
        <v>22</v>
      </c>
      <c r="D229" s="28">
        <v>210</v>
      </c>
      <c r="E229" s="29" t="s">
        <v>1632</v>
      </c>
      <c r="F229" s="28" t="s">
        <v>2091</v>
      </c>
      <c r="G229" s="29"/>
    </row>
    <row r="230" spans="1:7" ht="15" thickBot="1">
      <c r="A230" t="str">
        <f t="shared" si="4"/>
        <v>LF</v>
      </c>
      <c r="B230" s="26">
        <v>8</v>
      </c>
      <c r="C230" s="26">
        <v>23</v>
      </c>
      <c r="D230" s="26">
        <v>211</v>
      </c>
      <c r="E230" s="27" t="s">
        <v>1633</v>
      </c>
      <c r="F230" s="26" t="s">
        <v>2035</v>
      </c>
      <c r="G230" s="27"/>
    </row>
    <row r="231" spans="1:7" ht="15" thickBot="1">
      <c r="A231" t="str">
        <f t="shared" si="4"/>
        <v>MR</v>
      </c>
      <c r="B231" s="28">
        <v>8</v>
      </c>
      <c r="C231" s="28">
        <v>24</v>
      </c>
      <c r="D231" s="28">
        <v>212</v>
      </c>
      <c r="E231" s="29" t="s">
        <v>1618</v>
      </c>
      <c r="F231" s="28" t="s">
        <v>2021</v>
      </c>
      <c r="G231" s="29"/>
    </row>
    <row r="232" spans="1:7" ht="15" thickBot="1">
      <c r="A232" t="str">
        <f t="shared" si="4"/>
        <v/>
      </c>
      <c r="B232" s="49" t="s">
        <v>1649</v>
      </c>
      <c r="C232" s="50"/>
      <c r="D232" s="50"/>
      <c r="E232" s="50"/>
      <c r="F232" s="51"/>
      <c r="G232" s="23"/>
    </row>
    <row r="233" spans="1:7" ht="15" thickBot="1">
      <c r="A233" t="str">
        <f t="shared" si="4"/>
        <v>Pos</v>
      </c>
      <c r="B233" s="24" t="s">
        <v>1613</v>
      </c>
      <c r="C233" s="24" t="s">
        <v>1604</v>
      </c>
      <c r="D233" s="24" t="s">
        <v>1614</v>
      </c>
      <c r="E233" s="25" t="s">
        <v>1605</v>
      </c>
      <c r="F233" s="24" t="s">
        <v>2137</v>
      </c>
      <c r="G233" s="25"/>
    </row>
    <row r="234" spans="1:7" ht="15" thickBot="1">
      <c r="A234" t="str">
        <f t="shared" si="4"/>
        <v>2B</v>
      </c>
      <c r="B234" s="26">
        <v>9</v>
      </c>
      <c r="C234" s="26">
        <v>1</v>
      </c>
      <c r="D234" s="26">
        <v>213</v>
      </c>
      <c r="E234" s="27" t="s">
        <v>1616</v>
      </c>
      <c r="F234" s="26" t="s">
        <v>2069</v>
      </c>
      <c r="G234" s="27"/>
    </row>
    <row r="235" spans="1:7" ht="15" thickBot="1">
      <c r="A235" t="str">
        <f t="shared" si="4"/>
        <v>C</v>
      </c>
      <c r="B235" s="28">
        <v>9</v>
      </c>
      <c r="C235" s="28">
        <v>2</v>
      </c>
      <c r="D235" s="28">
        <v>214</v>
      </c>
      <c r="E235" s="29" t="s">
        <v>1617</v>
      </c>
      <c r="F235" s="28" t="s">
        <v>2091</v>
      </c>
      <c r="G235" s="29"/>
    </row>
    <row r="236" spans="1:7" ht="15" thickBot="1">
      <c r="A236" t="str">
        <f t="shared" si="4"/>
        <v>SP</v>
      </c>
      <c r="B236" s="26">
        <v>9</v>
      </c>
      <c r="C236" s="26">
        <v>3</v>
      </c>
      <c r="D236" s="26">
        <v>215</v>
      </c>
      <c r="E236" s="27" t="s">
        <v>1639</v>
      </c>
      <c r="F236" s="26" t="s">
        <v>2003</v>
      </c>
      <c r="G236" s="27"/>
    </row>
    <row r="237" spans="1:7" ht="15" thickBot="1">
      <c r="A237" t="str">
        <f t="shared" si="4"/>
        <v>MR</v>
      </c>
      <c r="B237" s="28">
        <v>9</v>
      </c>
      <c r="C237" s="28">
        <v>4</v>
      </c>
      <c r="D237" s="28">
        <v>216</v>
      </c>
      <c r="E237" s="29" t="s">
        <v>1619</v>
      </c>
      <c r="F237" s="28" t="s">
        <v>2021</v>
      </c>
      <c r="G237" s="29"/>
    </row>
    <row r="238" spans="1:7" ht="15" thickBot="1">
      <c r="A238" t="str">
        <f t="shared" si="4"/>
        <v>SP</v>
      </c>
      <c r="B238" s="26">
        <v>9</v>
      </c>
      <c r="C238" s="26">
        <v>5</v>
      </c>
      <c r="D238" s="26">
        <v>217</v>
      </c>
      <c r="E238" s="27" t="s">
        <v>1641</v>
      </c>
      <c r="F238" s="26" t="s">
        <v>2003</v>
      </c>
      <c r="G238" s="27"/>
    </row>
    <row r="239" spans="1:7" ht="15" thickBot="1">
      <c r="A239" t="str">
        <f t="shared" si="4"/>
        <v>2B</v>
      </c>
      <c r="B239" s="28">
        <v>9</v>
      </c>
      <c r="C239" s="28">
        <v>6</v>
      </c>
      <c r="D239" s="28">
        <v>218</v>
      </c>
      <c r="E239" s="29" t="s">
        <v>1623</v>
      </c>
      <c r="F239" s="28" t="s">
        <v>2069</v>
      </c>
      <c r="G239" s="29"/>
    </row>
    <row r="240" spans="1:7" ht="15" thickBot="1">
      <c r="A240" t="str">
        <f t="shared" si="4"/>
        <v>SP</v>
      </c>
      <c r="B240" s="26">
        <v>9</v>
      </c>
      <c r="C240" s="26">
        <v>7</v>
      </c>
      <c r="D240" s="26">
        <v>219</v>
      </c>
      <c r="E240" s="27" t="s">
        <v>1621</v>
      </c>
      <c r="F240" s="26" t="s">
        <v>2003</v>
      </c>
      <c r="G240" s="27"/>
    </row>
    <row r="241" spans="1:7" ht="15" thickBot="1">
      <c r="A241" t="str">
        <f t="shared" si="4"/>
        <v>3B</v>
      </c>
      <c r="B241" s="28">
        <v>9</v>
      </c>
      <c r="C241" s="28">
        <v>8</v>
      </c>
      <c r="D241" s="28">
        <v>220</v>
      </c>
      <c r="E241" s="29" t="s">
        <v>1646</v>
      </c>
      <c r="F241" s="28" t="s">
        <v>2061</v>
      </c>
      <c r="G241" s="29"/>
    </row>
    <row r="242" spans="1:7" ht="15" thickBot="1">
      <c r="A242" t="str">
        <f t="shared" si="4"/>
        <v>LF</v>
      </c>
      <c r="B242" s="26">
        <v>9</v>
      </c>
      <c r="C242" s="26">
        <v>9</v>
      </c>
      <c r="D242" s="26">
        <v>221</v>
      </c>
      <c r="E242" s="27" t="s">
        <v>1622</v>
      </c>
      <c r="F242" s="26" t="s">
        <v>2035</v>
      </c>
      <c r="G242" s="27"/>
    </row>
    <row r="243" spans="1:7" ht="15" thickBot="1">
      <c r="A243" t="str">
        <f t="shared" si="4"/>
        <v>1B</v>
      </c>
      <c r="B243" s="28">
        <v>9</v>
      </c>
      <c r="C243" s="28">
        <v>10</v>
      </c>
      <c r="D243" s="28">
        <v>222</v>
      </c>
      <c r="E243" s="29" t="s">
        <v>1625</v>
      </c>
      <c r="F243" s="28" t="s">
        <v>2092</v>
      </c>
      <c r="G243" s="29"/>
    </row>
    <row r="244" spans="1:7" ht="15" thickBot="1">
      <c r="A244" t="str">
        <f t="shared" si="4"/>
        <v>SS</v>
      </c>
      <c r="B244" s="26">
        <v>9</v>
      </c>
      <c r="C244" s="26">
        <v>11</v>
      </c>
      <c r="D244" s="26">
        <v>223</v>
      </c>
      <c r="E244" s="27" t="s">
        <v>1640</v>
      </c>
      <c r="F244" s="26" t="s">
        <v>2074</v>
      </c>
      <c r="G244" s="27"/>
    </row>
    <row r="245" spans="1:7" ht="15" thickBot="1">
      <c r="A245" t="str">
        <f t="shared" si="4"/>
        <v>1B</v>
      </c>
      <c r="B245" s="28">
        <v>9</v>
      </c>
      <c r="C245" s="28">
        <v>12</v>
      </c>
      <c r="D245" s="28">
        <v>224</v>
      </c>
      <c r="E245" s="29" t="s">
        <v>1626</v>
      </c>
      <c r="F245" s="28" t="s">
        <v>2092</v>
      </c>
      <c r="G245" s="29"/>
    </row>
    <row r="246" spans="1:7" ht="15" thickBot="1">
      <c r="A246" t="str">
        <f t="shared" si="4"/>
        <v>MR</v>
      </c>
      <c r="B246" s="26">
        <v>9</v>
      </c>
      <c r="C246" s="26">
        <v>13</v>
      </c>
      <c r="D246" s="26">
        <v>225</v>
      </c>
      <c r="E246" s="27" t="s">
        <v>1627</v>
      </c>
      <c r="F246" s="26" t="s">
        <v>2021</v>
      </c>
      <c r="G246" s="27"/>
    </row>
    <row r="247" spans="1:7" ht="15" thickBot="1">
      <c r="A247" t="str">
        <f t="shared" si="4"/>
        <v>SP</v>
      </c>
      <c r="B247" s="28">
        <v>9</v>
      </c>
      <c r="C247" s="28">
        <v>14</v>
      </c>
      <c r="D247" s="28">
        <v>226</v>
      </c>
      <c r="E247" s="29" t="s">
        <v>1628</v>
      </c>
      <c r="F247" s="28" t="s">
        <v>2003</v>
      </c>
      <c r="G247" s="29"/>
    </row>
    <row r="248" spans="1:7" ht="15" thickBot="1">
      <c r="A248" t="str">
        <f t="shared" si="4"/>
        <v>SP</v>
      </c>
      <c r="B248" s="26">
        <v>9</v>
      </c>
      <c r="C248" s="26">
        <v>15</v>
      </c>
      <c r="D248" s="26">
        <v>227</v>
      </c>
      <c r="E248" s="27" t="s">
        <v>1641</v>
      </c>
      <c r="F248" s="26" t="s">
        <v>2003</v>
      </c>
      <c r="G248" s="27"/>
    </row>
    <row r="249" spans="1:7" ht="15" thickBot="1">
      <c r="A249" t="str">
        <f t="shared" si="4"/>
        <v>SS</v>
      </c>
      <c r="B249" s="28">
        <v>9</v>
      </c>
      <c r="C249" s="28">
        <v>16</v>
      </c>
      <c r="D249" s="28">
        <v>228</v>
      </c>
      <c r="E249" s="29" t="s">
        <v>1636</v>
      </c>
      <c r="F249" s="28" t="s">
        <v>2074</v>
      </c>
      <c r="G249" s="29"/>
    </row>
    <row r="250" spans="1:7" ht="15" thickBot="1">
      <c r="A250" t="str">
        <f t="shared" si="4"/>
        <v>RF</v>
      </c>
      <c r="B250" s="26">
        <v>9</v>
      </c>
      <c r="C250" s="26">
        <v>17</v>
      </c>
      <c r="D250" s="26">
        <v>229</v>
      </c>
      <c r="E250" s="27" t="s">
        <v>1629</v>
      </c>
      <c r="F250" s="26" t="s">
        <v>2057</v>
      </c>
      <c r="G250" s="27"/>
    </row>
    <row r="251" spans="1:7" ht="15" thickBot="1">
      <c r="A251" t="str">
        <f t="shared" si="4"/>
        <v>2B</v>
      </c>
      <c r="B251" s="28">
        <v>9</v>
      </c>
      <c r="C251" s="28">
        <v>18</v>
      </c>
      <c r="D251" s="28">
        <v>230</v>
      </c>
      <c r="E251" s="29" t="s">
        <v>1637</v>
      </c>
      <c r="F251" s="28" t="s">
        <v>2069</v>
      </c>
      <c r="G251" s="29"/>
    </row>
    <row r="252" spans="1:7" ht="15" thickBot="1">
      <c r="A252" t="str">
        <f t="shared" si="4"/>
        <v>RF</v>
      </c>
      <c r="B252" s="26">
        <v>9</v>
      </c>
      <c r="C252" s="26">
        <v>19</v>
      </c>
      <c r="D252" s="26">
        <v>231</v>
      </c>
      <c r="E252" s="27" t="s">
        <v>1630</v>
      </c>
      <c r="F252" s="26" t="s">
        <v>2057</v>
      </c>
      <c r="G252" s="27"/>
    </row>
    <row r="253" spans="1:7" ht="15" thickBot="1">
      <c r="A253" t="str">
        <f t="shared" si="4"/>
        <v>RF</v>
      </c>
      <c r="B253" s="28">
        <v>9</v>
      </c>
      <c r="C253" s="28">
        <v>20</v>
      </c>
      <c r="D253" s="28">
        <v>232</v>
      </c>
      <c r="E253" s="29" t="s">
        <v>1624</v>
      </c>
      <c r="F253" s="28" t="s">
        <v>2057</v>
      </c>
      <c r="G253" s="29"/>
    </row>
    <row r="254" spans="1:7" ht="15" thickBot="1">
      <c r="A254" t="str">
        <f t="shared" si="4"/>
        <v>SP</v>
      </c>
      <c r="B254" s="26">
        <v>9</v>
      </c>
      <c r="C254" s="26">
        <v>21</v>
      </c>
      <c r="D254" s="26">
        <v>233</v>
      </c>
      <c r="E254" s="27" t="s">
        <v>1631</v>
      </c>
      <c r="F254" s="26" t="s">
        <v>2003</v>
      </c>
      <c r="G254" s="27"/>
    </row>
    <row r="255" spans="1:7" ht="15" thickBot="1">
      <c r="A255" t="str">
        <f t="shared" si="4"/>
        <v>RF</v>
      </c>
      <c r="B255" s="28">
        <v>9</v>
      </c>
      <c r="C255" s="28">
        <v>22</v>
      </c>
      <c r="D255" s="28">
        <v>234</v>
      </c>
      <c r="E255" s="29" t="s">
        <v>1632</v>
      </c>
      <c r="F255" s="28" t="s">
        <v>2057</v>
      </c>
      <c r="G255" s="29"/>
    </row>
    <row r="256" spans="1:7" ht="15" thickBot="1">
      <c r="A256" t="str">
        <f t="shared" si="4"/>
        <v>RF</v>
      </c>
      <c r="B256" s="26">
        <v>9</v>
      </c>
      <c r="C256" s="26">
        <v>23</v>
      </c>
      <c r="D256" s="26">
        <v>235</v>
      </c>
      <c r="E256" s="27" t="s">
        <v>1633</v>
      </c>
      <c r="F256" s="26" t="s">
        <v>2057</v>
      </c>
      <c r="G256" s="27"/>
    </row>
    <row r="257" spans="1:7" ht="15" thickBot="1">
      <c r="A257" t="str">
        <f t="shared" si="4"/>
        <v>1B</v>
      </c>
      <c r="B257" s="28">
        <v>9</v>
      </c>
      <c r="C257" s="28">
        <v>24</v>
      </c>
      <c r="D257" s="28">
        <v>236</v>
      </c>
      <c r="E257" s="29" t="s">
        <v>1618</v>
      </c>
      <c r="F257" s="28" t="s">
        <v>2092</v>
      </c>
      <c r="G257" s="29"/>
    </row>
    <row r="258" spans="1:7" ht="15" thickBot="1">
      <c r="A258" t="str">
        <f t="shared" si="4"/>
        <v/>
      </c>
      <c r="B258" s="49" t="s">
        <v>1650</v>
      </c>
      <c r="C258" s="50"/>
      <c r="D258" s="50"/>
      <c r="E258" s="50"/>
      <c r="F258" s="51"/>
      <c r="G258" s="23"/>
    </row>
    <row r="259" spans="1:7" ht="15" thickBot="1">
      <c r="A259" t="str">
        <f t="shared" si="4"/>
        <v>Pos</v>
      </c>
      <c r="B259" s="24" t="s">
        <v>1613</v>
      </c>
      <c r="C259" s="24" t="s">
        <v>1604</v>
      </c>
      <c r="D259" s="24" t="s">
        <v>1614</v>
      </c>
      <c r="E259" s="25" t="s">
        <v>1605</v>
      </c>
      <c r="F259" s="24" t="s">
        <v>2137</v>
      </c>
      <c r="G259" s="25"/>
    </row>
    <row r="260" spans="1:7" ht="15" thickBot="1">
      <c r="A260" t="str">
        <f t="shared" si="4"/>
        <v>MR</v>
      </c>
      <c r="B260" s="26">
        <v>10</v>
      </c>
      <c r="C260" s="26">
        <v>1</v>
      </c>
      <c r="D260" s="26">
        <v>237</v>
      </c>
      <c r="E260" s="27" t="s">
        <v>1616</v>
      </c>
      <c r="F260" s="26" t="s">
        <v>2021</v>
      </c>
      <c r="G260" s="27"/>
    </row>
    <row r="261" spans="1:7" ht="15" thickBot="1">
      <c r="A261" t="str">
        <f t="shared" ref="A261:A324" si="5">F261&amp;G261</f>
        <v>MR</v>
      </c>
      <c r="B261" s="28">
        <v>10</v>
      </c>
      <c r="C261" s="28">
        <v>2</v>
      </c>
      <c r="D261" s="28">
        <v>238</v>
      </c>
      <c r="E261" s="29" t="s">
        <v>1617</v>
      </c>
      <c r="F261" s="28" t="s">
        <v>2021</v>
      </c>
      <c r="G261" s="29"/>
    </row>
    <row r="262" spans="1:7" ht="15" thickBot="1">
      <c r="A262" t="str">
        <f t="shared" si="5"/>
        <v>SP</v>
      </c>
      <c r="B262" s="26">
        <v>10</v>
      </c>
      <c r="C262" s="26">
        <v>3</v>
      </c>
      <c r="D262" s="26">
        <v>239</v>
      </c>
      <c r="E262" s="27" t="s">
        <v>1639</v>
      </c>
      <c r="F262" s="26" t="s">
        <v>2003</v>
      </c>
      <c r="G262" s="27"/>
    </row>
    <row r="263" spans="1:7" ht="15" thickBot="1">
      <c r="A263" t="str">
        <f t="shared" si="5"/>
        <v>SP</v>
      </c>
      <c r="B263" s="28">
        <v>10</v>
      </c>
      <c r="C263" s="28">
        <v>4</v>
      </c>
      <c r="D263" s="28">
        <v>240</v>
      </c>
      <c r="E263" s="29" t="s">
        <v>1619</v>
      </c>
      <c r="F263" s="28" t="s">
        <v>2003</v>
      </c>
      <c r="G263" s="29"/>
    </row>
    <row r="264" spans="1:7" ht="15" thickBot="1">
      <c r="A264" t="str">
        <f t="shared" si="5"/>
        <v>CF</v>
      </c>
      <c r="B264" s="26">
        <v>10</v>
      </c>
      <c r="C264" s="26">
        <v>5</v>
      </c>
      <c r="D264" s="26">
        <v>241</v>
      </c>
      <c r="E264" s="27" t="s">
        <v>1620</v>
      </c>
      <c r="F264" s="26" t="s">
        <v>2079</v>
      </c>
      <c r="G264" s="27"/>
    </row>
    <row r="265" spans="1:7" ht="15" thickBot="1">
      <c r="A265" t="str">
        <f t="shared" si="5"/>
        <v>2B</v>
      </c>
      <c r="B265" s="28">
        <v>10</v>
      </c>
      <c r="C265" s="28">
        <v>6</v>
      </c>
      <c r="D265" s="28">
        <v>242</v>
      </c>
      <c r="E265" s="29" t="s">
        <v>1623</v>
      </c>
      <c r="F265" s="28" t="s">
        <v>2069</v>
      </c>
      <c r="G265" s="29"/>
    </row>
    <row r="266" spans="1:7" ht="15" thickBot="1">
      <c r="A266" t="str">
        <f t="shared" si="5"/>
        <v>CF</v>
      </c>
      <c r="B266" s="26">
        <v>10</v>
      </c>
      <c r="C266" s="26">
        <v>7</v>
      </c>
      <c r="D266" s="26">
        <v>243</v>
      </c>
      <c r="E266" s="27" t="s">
        <v>1621</v>
      </c>
      <c r="F266" s="26" t="s">
        <v>2079</v>
      </c>
      <c r="G266" s="27"/>
    </row>
    <row r="267" spans="1:7" ht="15" thickBot="1">
      <c r="A267" t="str">
        <f t="shared" si="5"/>
        <v>SS</v>
      </c>
      <c r="B267" s="28">
        <v>10</v>
      </c>
      <c r="C267" s="28">
        <v>8</v>
      </c>
      <c r="D267" s="28">
        <v>244</v>
      </c>
      <c r="E267" s="29" t="s">
        <v>1646</v>
      </c>
      <c r="F267" s="28" t="s">
        <v>2074</v>
      </c>
      <c r="G267" s="29"/>
    </row>
    <row r="268" spans="1:7" ht="15" thickBot="1">
      <c r="A268" t="str">
        <f t="shared" si="5"/>
        <v>SP</v>
      </c>
      <c r="B268" s="26">
        <v>10</v>
      </c>
      <c r="C268" s="26">
        <v>9</v>
      </c>
      <c r="D268" s="26">
        <v>245</v>
      </c>
      <c r="E268" s="27" t="s">
        <v>1622</v>
      </c>
      <c r="F268" s="26" t="s">
        <v>2003</v>
      </c>
      <c r="G268" s="27"/>
    </row>
    <row r="269" spans="1:7" ht="15" thickBot="1">
      <c r="A269" t="str">
        <f t="shared" si="5"/>
        <v>1B</v>
      </c>
      <c r="B269" s="28">
        <v>10</v>
      </c>
      <c r="C269" s="28">
        <v>10</v>
      </c>
      <c r="D269" s="28">
        <v>246</v>
      </c>
      <c r="E269" s="29" t="s">
        <v>1625</v>
      </c>
      <c r="F269" s="28" t="s">
        <v>2092</v>
      </c>
      <c r="G269" s="29"/>
    </row>
    <row r="270" spans="1:7" ht="15" thickBot="1">
      <c r="A270" t="str">
        <f t="shared" si="5"/>
        <v>C</v>
      </c>
      <c r="B270" s="26">
        <v>10</v>
      </c>
      <c r="C270" s="26">
        <v>11</v>
      </c>
      <c r="D270" s="26">
        <v>247</v>
      </c>
      <c r="E270" s="27" t="s">
        <v>1640</v>
      </c>
      <c r="F270" s="26" t="s">
        <v>2091</v>
      </c>
      <c r="G270" s="27"/>
    </row>
    <row r="271" spans="1:7" ht="15" thickBot="1">
      <c r="A271" t="str">
        <f t="shared" si="5"/>
        <v>MR</v>
      </c>
      <c r="B271" s="28">
        <v>10</v>
      </c>
      <c r="C271" s="28">
        <v>12</v>
      </c>
      <c r="D271" s="28">
        <v>248</v>
      </c>
      <c r="E271" s="29" t="s">
        <v>1626</v>
      </c>
      <c r="F271" s="28" t="s">
        <v>2021</v>
      </c>
      <c r="G271" s="29"/>
    </row>
    <row r="272" spans="1:7" ht="15" thickBot="1">
      <c r="A272" t="str">
        <f t="shared" si="5"/>
        <v>C</v>
      </c>
      <c r="B272" s="26">
        <v>10</v>
      </c>
      <c r="C272" s="26">
        <v>13</v>
      </c>
      <c r="D272" s="26">
        <v>249</v>
      </c>
      <c r="E272" s="27" t="s">
        <v>1627</v>
      </c>
      <c r="F272" s="26" t="s">
        <v>2091</v>
      </c>
      <c r="G272" s="27"/>
    </row>
    <row r="273" spans="1:7" ht="15" thickBot="1">
      <c r="A273" t="str">
        <f t="shared" si="5"/>
        <v>MR</v>
      </c>
      <c r="B273" s="28">
        <v>10</v>
      </c>
      <c r="C273" s="28">
        <v>14</v>
      </c>
      <c r="D273" s="28">
        <v>250</v>
      </c>
      <c r="E273" s="29" t="s">
        <v>1628</v>
      </c>
      <c r="F273" s="28" t="s">
        <v>2021</v>
      </c>
      <c r="G273" s="29"/>
    </row>
    <row r="274" spans="1:7" ht="15" thickBot="1">
      <c r="A274" t="str">
        <f t="shared" si="5"/>
        <v>SP</v>
      </c>
      <c r="B274" s="26">
        <v>10</v>
      </c>
      <c r="C274" s="26">
        <v>15</v>
      </c>
      <c r="D274" s="26">
        <v>251</v>
      </c>
      <c r="E274" s="27" t="s">
        <v>1641</v>
      </c>
      <c r="F274" s="26" t="s">
        <v>2003</v>
      </c>
      <c r="G274" s="27"/>
    </row>
    <row r="275" spans="1:7" ht="15" thickBot="1">
      <c r="A275" t="str">
        <f t="shared" si="5"/>
        <v>C</v>
      </c>
      <c r="B275" s="28">
        <v>10</v>
      </c>
      <c r="C275" s="28">
        <v>16</v>
      </c>
      <c r="D275" s="28">
        <v>252</v>
      </c>
      <c r="E275" s="29" t="s">
        <v>1636</v>
      </c>
      <c r="F275" s="28" t="s">
        <v>2091</v>
      </c>
      <c r="G275" s="29"/>
    </row>
    <row r="276" spans="1:7" ht="15" thickBot="1">
      <c r="A276" t="str">
        <f t="shared" si="5"/>
        <v>3B</v>
      </c>
      <c r="B276" s="26">
        <v>10</v>
      </c>
      <c r="C276" s="26">
        <v>17</v>
      </c>
      <c r="D276" s="26">
        <v>253</v>
      </c>
      <c r="E276" s="27" t="s">
        <v>1629</v>
      </c>
      <c r="F276" s="26" t="s">
        <v>2061</v>
      </c>
      <c r="G276" s="27"/>
    </row>
    <row r="277" spans="1:7" ht="15" thickBot="1">
      <c r="A277" t="str">
        <f t="shared" si="5"/>
        <v>1B</v>
      </c>
      <c r="B277" s="28">
        <v>10</v>
      </c>
      <c r="C277" s="28">
        <v>18</v>
      </c>
      <c r="D277" s="28">
        <v>254</v>
      </c>
      <c r="E277" s="29" t="s">
        <v>1637</v>
      </c>
      <c r="F277" s="28" t="s">
        <v>2092</v>
      </c>
      <c r="G277" s="29"/>
    </row>
    <row r="278" spans="1:7" ht="15" thickBot="1">
      <c r="A278" t="str">
        <f t="shared" si="5"/>
        <v>LF</v>
      </c>
      <c r="B278" s="26">
        <v>10</v>
      </c>
      <c r="C278" s="26">
        <v>19</v>
      </c>
      <c r="D278" s="26">
        <v>255</v>
      </c>
      <c r="E278" s="27" t="s">
        <v>1630</v>
      </c>
      <c r="F278" s="26" t="s">
        <v>2035</v>
      </c>
      <c r="G278" s="27"/>
    </row>
    <row r="279" spans="1:7" ht="15" thickBot="1">
      <c r="A279" t="str">
        <f t="shared" si="5"/>
        <v>MR</v>
      </c>
      <c r="B279" s="28">
        <v>10</v>
      </c>
      <c r="C279" s="28">
        <v>20</v>
      </c>
      <c r="D279" s="28">
        <v>256</v>
      </c>
      <c r="E279" s="29" t="s">
        <v>1624</v>
      </c>
      <c r="F279" s="28" t="s">
        <v>2021</v>
      </c>
      <c r="G279" s="29"/>
    </row>
    <row r="280" spans="1:7" ht="15" thickBot="1">
      <c r="A280" t="str">
        <f t="shared" si="5"/>
        <v>MR</v>
      </c>
      <c r="B280" s="26">
        <v>10</v>
      </c>
      <c r="C280" s="26">
        <v>21</v>
      </c>
      <c r="D280" s="26">
        <v>257</v>
      </c>
      <c r="E280" s="27" t="s">
        <v>1631</v>
      </c>
      <c r="F280" s="26" t="s">
        <v>2021</v>
      </c>
      <c r="G280" s="27"/>
    </row>
    <row r="281" spans="1:7" ht="15" thickBot="1">
      <c r="A281" t="str">
        <f t="shared" si="5"/>
        <v>MR</v>
      </c>
      <c r="B281" s="28">
        <v>10</v>
      </c>
      <c r="C281" s="28">
        <v>22</v>
      </c>
      <c r="D281" s="28">
        <v>258</v>
      </c>
      <c r="E281" s="29" t="s">
        <v>1632</v>
      </c>
      <c r="F281" s="28" t="s">
        <v>2021</v>
      </c>
      <c r="G281" s="29"/>
    </row>
    <row r="282" spans="1:7" ht="15" thickBot="1">
      <c r="A282" t="str">
        <f t="shared" si="5"/>
        <v>3B</v>
      </c>
      <c r="B282" s="26">
        <v>10</v>
      </c>
      <c r="C282" s="26">
        <v>23</v>
      </c>
      <c r="D282" s="26">
        <v>259</v>
      </c>
      <c r="E282" s="27" t="s">
        <v>1633</v>
      </c>
      <c r="F282" s="26" t="s">
        <v>2061</v>
      </c>
      <c r="G282" s="27"/>
    </row>
    <row r="283" spans="1:7" ht="15" thickBot="1">
      <c r="A283" t="str">
        <f t="shared" si="5"/>
        <v>2B</v>
      </c>
      <c r="B283" s="28">
        <v>10</v>
      </c>
      <c r="C283" s="28">
        <v>24</v>
      </c>
      <c r="D283" s="28">
        <v>260</v>
      </c>
      <c r="E283" s="29" t="s">
        <v>1618</v>
      </c>
      <c r="F283" s="28" t="s">
        <v>2069</v>
      </c>
      <c r="G283" s="29"/>
    </row>
    <row r="284" spans="1:7" ht="15" thickBot="1">
      <c r="A284" t="str">
        <f t="shared" si="5"/>
        <v/>
      </c>
      <c r="B284" s="49" t="s">
        <v>1651</v>
      </c>
      <c r="C284" s="50"/>
      <c r="D284" s="50"/>
      <c r="E284" s="50"/>
      <c r="F284" s="51"/>
      <c r="G284" s="23"/>
    </row>
    <row r="285" spans="1:7" ht="15" thickBot="1">
      <c r="A285" t="str">
        <f t="shared" si="5"/>
        <v>Pos</v>
      </c>
      <c r="B285" s="24" t="s">
        <v>1613</v>
      </c>
      <c r="C285" s="24" t="s">
        <v>1604</v>
      </c>
      <c r="D285" s="24" t="s">
        <v>1614</v>
      </c>
      <c r="E285" s="25" t="s">
        <v>1605</v>
      </c>
      <c r="F285" s="24" t="s">
        <v>2137</v>
      </c>
      <c r="G285" s="25"/>
    </row>
    <row r="286" spans="1:7" ht="15" thickBot="1">
      <c r="A286" t="str">
        <f t="shared" si="5"/>
        <v>LF</v>
      </c>
      <c r="B286" s="26">
        <v>11</v>
      </c>
      <c r="C286" s="26">
        <v>1</v>
      </c>
      <c r="D286" s="26">
        <v>261</v>
      </c>
      <c r="E286" s="27" t="s">
        <v>1616</v>
      </c>
      <c r="F286" s="26" t="s">
        <v>2035</v>
      </c>
      <c r="G286" s="27"/>
    </row>
    <row r="287" spans="1:7" ht="15" thickBot="1">
      <c r="A287" t="str">
        <f t="shared" si="5"/>
        <v>SP</v>
      </c>
      <c r="B287" s="28">
        <v>11</v>
      </c>
      <c r="C287" s="28">
        <v>2</v>
      </c>
      <c r="D287" s="28">
        <v>262</v>
      </c>
      <c r="E287" s="29" t="s">
        <v>1617</v>
      </c>
      <c r="F287" s="28" t="s">
        <v>2003</v>
      </c>
      <c r="G287" s="29"/>
    </row>
    <row r="288" spans="1:7" ht="15" thickBot="1">
      <c r="A288" t="str">
        <f t="shared" si="5"/>
        <v>SP</v>
      </c>
      <c r="B288" s="26">
        <v>11</v>
      </c>
      <c r="C288" s="26">
        <v>3</v>
      </c>
      <c r="D288" s="26">
        <v>263</v>
      </c>
      <c r="E288" s="27" t="s">
        <v>1639</v>
      </c>
      <c r="F288" s="26" t="s">
        <v>2003</v>
      </c>
      <c r="G288" s="27"/>
    </row>
    <row r="289" spans="1:7" ht="15" thickBot="1">
      <c r="A289" t="str">
        <f t="shared" si="5"/>
        <v>SP</v>
      </c>
      <c r="B289" s="28">
        <v>11</v>
      </c>
      <c r="C289" s="28">
        <v>4</v>
      </c>
      <c r="D289" s="28">
        <v>264</v>
      </c>
      <c r="E289" s="29" t="s">
        <v>1619</v>
      </c>
      <c r="F289" s="28" t="s">
        <v>2003</v>
      </c>
      <c r="G289" s="29"/>
    </row>
    <row r="290" spans="1:7" ht="15" thickBot="1">
      <c r="A290" t="str">
        <f t="shared" si="5"/>
        <v>LF</v>
      </c>
      <c r="B290" s="26">
        <v>11</v>
      </c>
      <c r="C290" s="26">
        <v>5</v>
      </c>
      <c r="D290" s="26">
        <v>265</v>
      </c>
      <c r="E290" s="27" t="s">
        <v>1620</v>
      </c>
      <c r="F290" s="26" t="s">
        <v>2035</v>
      </c>
      <c r="G290" s="27"/>
    </row>
    <row r="291" spans="1:7" ht="15" thickBot="1">
      <c r="A291" t="str">
        <f t="shared" si="5"/>
        <v>3B</v>
      </c>
      <c r="B291" s="28">
        <v>11</v>
      </c>
      <c r="C291" s="28">
        <v>6</v>
      </c>
      <c r="D291" s="28">
        <v>266</v>
      </c>
      <c r="E291" s="29" t="s">
        <v>1623</v>
      </c>
      <c r="F291" s="28" t="s">
        <v>2061</v>
      </c>
      <c r="G291" s="29"/>
    </row>
    <row r="292" spans="1:7" ht="15" thickBot="1">
      <c r="A292" t="str">
        <f t="shared" si="5"/>
        <v>SP</v>
      </c>
      <c r="B292" s="26">
        <v>11</v>
      </c>
      <c r="C292" s="26">
        <v>7</v>
      </c>
      <c r="D292" s="26">
        <v>267</v>
      </c>
      <c r="E292" s="27" t="s">
        <v>1621</v>
      </c>
      <c r="F292" s="26" t="s">
        <v>2003</v>
      </c>
      <c r="G292" s="27"/>
    </row>
    <row r="293" spans="1:7" ht="15" thickBot="1">
      <c r="A293" t="str">
        <f t="shared" si="5"/>
        <v>LF</v>
      </c>
      <c r="B293" s="28">
        <v>11</v>
      </c>
      <c r="C293" s="28">
        <v>8</v>
      </c>
      <c r="D293" s="28">
        <v>268</v>
      </c>
      <c r="E293" s="29" t="s">
        <v>1646</v>
      </c>
      <c r="F293" s="28" t="s">
        <v>2035</v>
      </c>
      <c r="G293" s="29"/>
    </row>
    <row r="294" spans="1:7" ht="15" thickBot="1">
      <c r="A294" t="str">
        <f t="shared" si="5"/>
        <v>SP</v>
      </c>
      <c r="B294" s="26">
        <v>11</v>
      </c>
      <c r="C294" s="26">
        <v>9</v>
      </c>
      <c r="D294" s="26">
        <v>269</v>
      </c>
      <c r="E294" s="27" t="s">
        <v>1622</v>
      </c>
      <c r="F294" s="26" t="s">
        <v>2003</v>
      </c>
      <c r="G294" s="27"/>
    </row>
    <row r="295" spans="1:7" ht="15" thickBot="1">
      <c r="A295" t="str">
        <f t="shared" si="5"/>
        <v>C</v>
      </c>
      <c r="B295" s="28">
        <v>11</v>
      </c>
      <c r="C295" s="28">
        <v>10</v>
      </c>
      <c r="D295" s="28">
        <v>270</v>
      </c>
      <c r="E295" s="29" t="s">
        <v>1625</v>
      </c>
      <c r="F295" s="28" t="s">
        <v>2091</v>
      </c>
      <c r="G295" s="29"/>
    </row>
    <row r="296" spans="1:7" ht="15" thickBot="1">
      <c r="A296" t="str">
        <f t="shared" si="5"/>
        <v>C</v>
      </c>
      <c r="B296" s="26">
        <v>11</v>
      </c>
      <c r="C296" s="26">
        <v>11</v>
      </c>
      <c r="D296" s="26">
        <v>271</v>
      </c>
      <c r="E296" s="27" t="s">
        <v>1640</v>
      </c>
      <c r="F296" s="26" t="s">
        <v>2091</v>
      </c>
      <c r="G296" s="27"/>
    </row>
    <row r="297" spans="1:7" ht="15" thickBot="1">
      <c r="A297" t="str">
        <f t="shared" si="5"/>
        <v>SP</v>
      </c>
      <c r="B297" s="28">
        <v>11</v>
      </c>
      <c r="C297" s="28">
        <v>12</v>
      </c>
      <c r="D297" s="28">
        <v>272</v>
      </c>
      <c r="E297" s="29" t="s">
        <v>1626</v>
      </c>
      <c r="F297" s="28" t="s">
        <v>2003</v>
      </c>
      <c r="G297" s="29"/>
    </row>
    <row r="298" spans="1:7" ht="15" thickBot="1">
      <c r="A298" t="str">
        <f t="shared" si="5"/>
        <v>SP</v>
      </c>
      <c r="B298" s="26">
        <v>11</v>
      </c>
      <c r="C298" s="26">
        <v>13</v>
      </c>
      <c r="D298" s="26">
        <v>273</v>
      </c>
      <c r="E298" s="27" t="s">
        <v>1627</v>
      </c>
      <c r="F298" s="26" t="s">
        <v>2003</v>
      </c>
      <c r="G298" s="27"/>
    </row>
    <row r="299" spans="1:7" ht="15" thickBot="1">
      <c r="A299" t="str">
        <f t="shared" si="5"/>
        <v>MR</v>
      </c>
      <c r="B299" s="28">
        <v>11</v>
      </c>
      <c r="C299" s="28">
        <v>14</v>
      </c>
      <c r="D299" s="28">
        <v>274</v>
      </c>
      <c r="E299" s="29" t="s">
        <v>1628</v>
      </c>
      <c r="F299" s="28" t="s">
        <v>2021</v>
      </c>
      <c r="G299" s="29"/>
    </row>
    <row r="300" spans="1:7" ht="15" thickBot="1">
      <c r="A300" t="str">
        <f t="shared" si="5"/>
        <v>SP</v>
      </c>
      <c r="B300" s="26">
        <v>11</v>
      </c>
      <c r="C300" s="26">
        <v>15</v>
      </c>
      <c r="D300" s="26">
        <v>275</v>
      </c>
      <c r="E300" s="27" t="s">
        <v>1641</v>
      </c>
      <c r="F300" s="26" t="s">
        <v>2003</v>
      </c>
      <c r="G300" s="27"/>
    </row>
    <row r="301" spans="1:7" ht="15" thickBot="1">
      <c r="A301" t="str">
        <f t="shared" si="5"/>
        <v>CF</v>
      </c>
      <c r="B301" s="28">
        <v>11</v>
      </c>
      <c r="C301" s="28">
        <v>16</v>
      </c>
      <c r="D301" s="28">
        <v>276</v>
      </c>
      <c r="E301" s="29" t="s">
        <v>1636</v>
      </c>
      <c r="F301" s="28" t="s">
        <v>2079</v>
      </c>
      <c r="G301" s="29"/>
    </row>
    <row r="302" spans="1:7" ht="15" thickBot="1">
      <c r="A302" t="str">
        <f t="shared" si="5"/>
        <v>SS</v>
      </c>
      <c r="B302" s="26">
        <v>11</v>
      </c>
      <c r="C302" s="26">
        <v>17</v>
      </c>
      <c r="D302" s="26">
        <v>277</v>
      </c>
      <c r="E302" s="27" t="s">
        <v>1629</v>
      </c>
      <c r="F302" s="26" t="s">
        <v>2074</v>
      </c>
      <c r="G302" s="27"/>
    </row>
    <row r="303" spans="1:7" ht="15" thickBot="1">
      <c r="A303" t="str">
        <f t="shared" si="5"/>
        <v>MR</v>
      </c>
      <c r="B303" s="28">
        <v>11</v>
      </c>
      <c r="C303" s="28">
        <v>18</v>
      </c>
      <c r="D303" s="28">
        <v>278</v>
      </c>
      <c r="E303" s="29" t="s">
        <v>1637</v>
      </c>
      <c r="F303" s="28" t="s">
        <v>2021</v>
      </c>
      <c r="G303" s="29"/>
    </row>
    <row r="304" spans="1:7" ht="15" thickBot="1">
      <c r="A304" t="str">
        <f t="shared" si="5"/>
        <v>MR</v>
      </c>
      <c r="B304" s="26">
        <v>11</v>
      </c>
      <c r="C304" s="26">
        <v>19</v>
      </c>
      <c r="D304" s="26">
        <v>279</v>
      </c>
      <c r="E304" s="27" t="s">
        <v>1630</v>
      </c>
      <c r="F304" s="26" t="s">
        <v>2021</v>
      </c>
      <c r="G304" s="27"/>
    </row>
    <row r="305" spans="1:7" ht="15" thickBot="1">
      <c r="A305" t="str">
        <f t="shared" si="5"/>
        <v>3B</v>
      </c>
      <c r="B305" s="28">
        <v>11</v>
      </c>
      <c r="C305" s="28">
        <v>20</v>
      </c>
      <c r="D305" s="28">
        <v>280</v>
      </c>
      <c r="E305" s="29" t="s">
        <v>1624</v>
      </c>
      <c r="F305" s="28" t="s">
        <v>2061</v>
      </c>
      <c r="G305" s="29"/>
    </row>
    <row r="306" spans="1:7" ht="15" thickBot="1">
      <c r="A306" t="str">
        <f t="shared" si="5"/>
        <v>MR</v>
      </c>
      <c r="B306" s="26">
        <v>11</v>
      </c>
      <c r="C306" s="26">
        <v>21</v>
      </c>
      <c r="D306" s="26">
        <v>281</v>
      </c>
      <c r="E306" s="27" t="s">
        <v>1631</v>
      </c>
      <c r="F306" s="26" t="s">
        <v>2021</v>
      </c>
      <c r="G306" s="27"/>
    </row>
    <row r="307" spans="1:7" ht="15" thickBot="1">
      <c r="A307" t="str">
        <f t="shared" si="5"/>
        <v>MR</v>
      </c>
      <c r="B307" s="28">
        <v>11</v>
      </c>
      <c r="C307" s="28">
        <v>22</v>
      </c>
      <c r="D307" s="28">
        <v>282</v>
      </c>
      <c r="E307" s="29" t="s">
        <v>1632</v>
      </c>
      <c r="F307" s="28" t="s">
        <v>2021</v>
      </c>
      <c r="G307" s="29"/>
    </row>
    <row r="308" spans="1:7" ht="15" thickBot="1">
      <c r="A308" t="str">
        <f t="shared" si="5"/>
        <v>LF</v>
      </c>
      <c r="B308" s="26">
        <v>11</v>
      </c>
      <c r="C308" s="26">
        <v>23</v>
      </c>
      <c r="D308" s="26">
        <v>283</v>
      </c>
      <c r="E308" s="27" t="s">
        <v>1633</v>
      </c>
      <c r="F308" s="26" t="s">
        <v>2035</v>
      </c>
      <c r="G308" s="27"/>
    </row>
    <row r="309" spans="1:7" ht="15" thickBot="1">
      <c r="A309" t="str">
        <f t="shared" si="5"/>
        <v>CF</v>
      </c>
      <c r="B309" s="28">
        <v>11</v>
      </c>
      <c r="C309" s="28">
        <v>24</v>
      </c>
      <c r="D309" s="28">
        <v>284</v>
      </c>
      <c r="E309" s="29" t="s">
        <v>1618</v>
      </c>
      <c r="F309" s="28" t="s">
        <v>2079</v>
      </c>
      <c r="G309" s="29"/>
    </row>
    <row r="310" spans="1:7" ht="15" thickBot="1">
      <c r="A310" t="str">
        <f t="shared" si="5"/>
        <v/>
      </c>
      <c r="B310" s="49" t="s">
        <v>1652</v>
      </c>
      <c r="C310" s="50"/>
      <c r="D310" s="50"/>
      <c r="E310" s="50"/>
      <c r="F310" s="51"/>
      <c r="G310" s="23"/>
    </row>
    <row r="311" spans="1:7" ht="15" thickBot="1">
      <c r="A311" t="str">
        <f t="shared" si="5"/>
        <v>Pos</v>
      </c>
      <c r="B311" s="24" t="s">
        <v>1613</v>
      </c>
      <c r="C311" s="24" t="s">
        <v>1604</v>
      </c>
      <c r="D311" s="24" t="s">
        <v>1614</v>
      </c>
      <c r="E311" s="25" t="s">
        <v>1605</v>
      </c>
      <c r="F311" s="24" t="s">
        <v>2137</v>
      </c>
      <c r="G311" s="25"/>
    </row>
    <row r="312" spans="1:7" ht="15" thickBot="1">
      <c r="A312" t="str">
        <f t="shared" si="5"/>
        <v>SP</v>
      </c>
      <c r="B312" s="26">
        <v>12</v>
      </c>
      <c r="C312" s="26">
        <v>1</v>
      </c>
      <c r="D312" s="26">
        <v>285</v>
      </c>
      <c r="E312" s="27" t="s">
        <v>1616</v>
      </c>
      <c r="F312" s="26" t="s">
        <v>2003</v>
      </c>
      <c r="G312" s="27"/>
    </row>
    <row r="313" spans="1:7" ht="15" thickBot="1">
      <c r="A313" t="str">
        <f t="shared" si="5"/>
        <v>1B</v>
      </c>
      <c r="B313" s="28">
        <v>12</v>
      </c>
      <c r="C313" s="28">
        <v>2</v>
      </c>
      <c r="D313" s="28">
        <v>286</v>
      </c>
      <c r="E313" s="29" t="s">
        <v>1617</v>
      </c>
      <c r="F313" s="28" t="s">
        <v>2092</v>
      </c>
      <c r="G313" s="29"/>
    </row>
    <row r="314" spans="1:7" ht="15" thickBot="1">
      <c r="A314" t="str">
        <f t="shared" si="5"/>
        <v>SP</v>
      </c>
      <c r="B314" s="26">
        <v>12</v>
      </c>
      <c r="C314" s="26">
        <v>3</v>
      </c>
      <c r="D314" s="26">
        <v>287</v>
      </c>
      <c r="E314" s="27" t="s">
        <v>1639</v>
      </c>
      <c r="F314" s="26" t="s">
        <v>2003</v>
      </c>
      <c r="G314" s="27"/>
    </row>
    <row r="315" spans="1:7" ht="15" thickBot="1">
      <c r="A315" t="str">
        <f t="shared" si="5"/>
        <v>SP</v>
      </c>
      <c r="B315" s="28">
        <v>12</v>
      </c>
      <c r="C315" s="28">
        <v>4</v>
      </c>
      <c r="D315" s="28">
        <v>288</v>
      </c>
      <c r="E315" s="29" t="s">
        <v>1619</v>
      </c>
      <c r="F315" s="28" t="s">
        <v>2003</v>
      </c>
      <c r="G315" s="29"/>
    </row>
    <row r="316" spans="1:7" ht="15" thickBot="1">
      <c r="A316" t="str">
        <f t="shared" si="5"/>
        <v>CF</v>
      </c>
      <c r="B316" s="26">
        <v>12</v>
      </c>
      <c r="C316" s="26">
        <v>5</v>
      </c>
      <c r="D316" s="26">
        <v>289</v>
      </c>
      <c r="E316" s="27" t="s">
        <v>1620</v>
      </c>
      <c r="F316" s="26" t="s">
        <v>2079</v>
      </c>
      <c r="G316" s="27"/>
    </row>
    <row r="317" spans="1:7" ht="15" thickBot="1">
      <c r="A317" t="str">
        <f t="shared" si="5"/>
        <v>MR</v>
      </c>
      <c r="B317" s="28">
        <v>12</v>
      </c>
      <c r="C317" s="28">
        <v>6</v>
      </c>
      <c r="D317" s="28">
        <v>290</v>
      </c>
      <c r="E317" s="29" t="s">
        <v>1623</v>
      </c>
      <c r="F317" s="28" t="s">
        <v>2021</v>
      </c>
      <c r="G317" s="29"/>
    </row>
    <row r="318" spans="1:7" ht="15" thickBot="1">
      <c r="A318" t="str">
        <f t="shared" si="5"/>
        <v>MR</v>
      </c>
      <c r="B318" s="26">
        <v>12</v>
      </c>
      <c r="C318" s="26">
        <v>7</v>
      </c>
      <c r="D318" s="26">
        <v>291</v>
      </c>
      <c r="E318" s="27" t="s">
        <v>1637</v>
      </c>
      <c r="F318" s="26" t="s">
        <v>2021</v>
      </c>
      <c r="G318" s="27"/>
    </row>
    <row r="319" spans="1:7" ht="15" thickBot="1">
      <c r="A319" t="str">
        <f t="shared" si="5"/>
        <v>MR</v>
      </c>
      <c r="B319" s="28">
        <v>12</v>
      </c>
      <c r="C319" s="28">
        <v>8</v>
      </c>
      <c r="D319" s="28">
        <v>292</v>
      </c>
      <c r="E319" s="29" t="s">
        <v>1646</v>
      </c>
      <c r="F319" s="28" t="s">
        <v>2021</v>
      </c>
      <c r="G319" s="29"/>
    </row>
    <row r="320" spans="1:7" ht="15" thickBot="1">
      <c r="A320" t="str">
        <f t="shared" si="5"/>
        <v>RF</v>
      </c>
      <c r="B320" s="26">
        <v>12</v>
      </c>
      <c r="C320" s="26">
        <v>9</v>
      </c>
      <c r="D320" s="26">
        <v>293</v>
      </c>
      <c r="E320" s="27" t="s">
        <v>1622</v>
      </c>
      <c r="F320" s="26" t="s">
        <v>2057</v>
      </c>
      <c r="G320" s="27"/>
    </row>
    <row r="321" spans="1:7" ht="15" thickBot="1">
      <c r="A321" t="str">
        <f t="shared" si="5"/>
        <v>RF</v>
      </c>
      <c r="B321" s="28">
        <v>12</v>
      </c>
      <c r="C321" s="28">
        <v>10</v>
      </c>
      <c r="D321" s="28">
        <v>294</v>
      </c>
      <c r="E321" s="29" t="s">
        <v>1625</v>
      </c>
      <c r="F321" s="28" t="s">
        <v>2057</v>
      </c>
      <c r="G321" s="29"/>
    </row>
    <row r="322" spans="1:7" ht="15" thickBot="1">
      <c r="A322" t="str">
        <f t="shared" si="5"/>
        <v>C</v>
      </c>
      <c r="B322" s="26">
        <v>12</v>
      </c>
      <c r="C322" s="26">
        <v>11</v>
      </c>
      <c r="D322" s="26">
        <v>295</v>
      </c>
      <c r="E322" s="27" t="s">
        <v>1640</v>
      </c>
      <c r="F322" s="26" t="s">
        <v>2091</v>
      </c>
      <c r="G322" s="27"/>
    </row>
    <row r="323" spans="1:7" ht="15" thickBot="1">
      <c r="A323" t="str">
        <f t="shared" si="5"/>
        <v>SP</v>
      </c>
      <c r="B323" s="28">
        <v>12</v>
      </c>
      <c r="C323" s="28">
        <v>12</v>
      </c>
      <c r="D323" s="28">
        <v>296</v>
      </c>
      <c r="E323" s="29" t="s">
        <v>1626</v>
      </c>
      <c r="F323" s="28" t="s">
        <v>2003</v>
      </c>
      <c r="G323" s="29"/>
    </row>
    <row r="324" spans="1:7" ht="15" thickBot="1">
      <c r="A324" t="str">
        <f t="shared" si="5"/>
        <v>CL</v>
      </c>
      <c r="B324" s="26">
        <v>12</v>
      </c>
      <c r="C324" s="26">
        <v>13</v>
      </c>
      <c r="D324" s="26">
        <v>297</v>
      </c>
      <c r="E324" s="27" t="s">
        <v>1627</v>
      </c>
      <c r="F324" s="26" t="s">
        <v>2032</v>
      </c>
      <c r="G324" s="27"/>
    </row>
    <row r="325" spans="1:7" ht="15" thickBot="1">
      <c r="A325" t="str">
        <f t="shared" ref="A325:A388" si="6">F325&amp;G325</f>
        <v>C</v>
      </c>
      <c r="B325" s="28">
        <v>12</v>
      </c>
      <c r="C325" s="28">
        <v>14</v>
      </c>
      <c r="D325" s="28">
        <v>298</v>
      </c>
      <c r="E325" s="29" t="s">
        <v>1628</v>
      </c>
      <c r="F325" s="28" t="s">
        <v>2091</v>
      </c>
      <c r="G325" s="29"/>
    </row>
    <row r="326" spans="1:7" ht="15" thickBot="1">
      <c r="A326" t="str">
        <f t="shared" si="6"/>
        <v>SP</v>
      </c>
      <c r="B326" s="26">
        <v>12</v>
      </c>
      <c r="C326" s="26">
        <v>15</v>
      </c>
      <c r="D326" s="26">
        <v>299</v>
      </c>
      <c r="E326" s="27" t="s">
        <v>1641</v>
      </c>
      <c r="F326" s="26" t="s">
        <v>2003</v>
      </c>
      <c r="G326" s="27"/>
    </row>
    <row r="327" spans="1:7" ht="15" thickBot="1">
      <c r="A327" t="str">
        <f t="shared" si="6"/>
        <v>1B</v>
      </c>
      <c r="B327" s="28">
        <v>12</v>
      </c>
      <c r="C327" s="28">
        <v>16</v>
      </c>
      <c r="D327" s="28">
        <v>300</v>
      </c>
      <c r="E327" s="29" t="s">
        <v>1636</v>
      </c>
      <c r="F327" s="28" t="s">
        <v>2092</v>
      </c>
      <c r="G327" s="29"/>
    </row>
    <row r="328" spans="1:7" ht="15" thickBot="1">
      <c r="A328" t="str">
        <f t="shared" si="6"/>
        <v>C</v>
      </c>
      <c r="B328" s="26">
        <v>12</v>
      </c>
      <c r="C328" s="26">
        <v>17</v>
      </c>
      <c r="D328" s="26">
        <v>301</v>
      </c>
      <c r="E328" s="27" t="s">
        <v>1629</v>
      </c>
      <c r="F328" s="26" t="s">
        <v>2091</v>
      </c>
      <c r="G328" s="27"/>
    </row>
    <row r="329" spans="1:7" ht="15" thickBot="1">
      <c r="A329" t="str">
        <f t="shared" si="6"/>
        <v>MR</v>
      </c>
      <c r="B329" s="28">
        <v>12</v>
      </c>
      <c r="C329" s="28">
        <v>18</v>
      </c>
      <c r="D329" s="28">
        <v>302</v>
      </c>
      <c r="E329" s="29" t="s">
        <v>1637</v>
      </c>
      <c r="F329" s="28" t="s">
        <v>2021</v>
      </c>
      <c r="G329" s="29"/>
    </row>
    <row r="330" spans="1:7" ht="15" thickBot="1">
      <c r="A330" t="str">
        <f t="shared" si="6"/>
        <v>SP</v>
      </c>
      <c r="B330" s="26">
        <v>12</v>
      </c>
      <c r="C330" s="26">
        <v>19</v>
      </c>
      <c r="D330" s="26">
        <v>303</v>
      </c>
      <c r="E330" s="27" t="s">
        <v>1630</v>
      </c>
      <c r="F330" s="26" t="s">
        <v>2003</v>
      </c>
      <c r="G330" s="27"/>
    </row>
    <row r="331" spans="1:7" ht="15" thickBot="1">
      <c r="A331" t="str">
        <f t="shared" si="6"/>
        <v>RF</v>
      </c>
      <c r="B331" s="28">
        <v>12</v>
      </c>
      <c r="C331" s="28">
        <v>20</v>
      </c>
      <c r="D331" s="28">
        <v>304</v>
      </c>
      <c r="E331" s="29" t="s">
        <v>1624</v>
      </c>
      <c r="F331" s="28" t="s">
        <v>2057</v>
      </c>
      <c r="G331" s="29"/>
    </row>
    <row r="332" spans="1:7" ht="15" thickBot="1">
      <c r="A332" t="str">
        <f t="shared" si="6"/>
        <v>MR</v>
      </c>
      <c r="B332" s="26">
        <v>12</v>
      </c>
      <c r="C332" s="26">
        <v>21</v>
      </c>
      <c r="D332" s="26">
        <v>305</v>
      </c>
      <c r="E332" s="27" t="s">
        <v>1631</v>
      </c>
      <c r="F332" s="26" t="s">
        <v>2021</v>
      </c>
      <c r="G332" s="27"/>
    </row>
    <row r="333" spans="1:7" ht="15" thickBot="1">
      <c r="A333" t="str">
        <f t="shared" si="6"/>
        <v>SP</v>
      </c>
      <c r="B333" s="28">
        <v>12</v>
      </c>
      <c r="C333" s="28">
        <v>22</v>
      </c>
      <c r="D333" s="28">
        <v>306</v>
      </c>
      <c r="E333" s="29" t="s">
        <v>1632</v>
      </c>
      <c r="F333" s="28" t="s">
        <v>2003</v>
      </c>
      <c r="G333" s="29"/>
    </row>
    <row r="334" spans="1:7" ht="15" thickBot="1">
      <c r="A334" t="str">
        <f t="shared" si="6"/>
        <v>3B</v>
      </c>
      <c r="B334" s="26">
        <v>12</v>
      </c>
      <c r="C334" s="26">
        <v>23</v>
      </c>
      <c r="D334" s="26">
        <v>307</v>
      </c>
      <c r="E334" s="27" t="s">
        <v>1633</v>
      </c>
      <c r="F334" s="26" t="s">
        <v>2061</v>
      </c>
      <c r="G334" s="27"/>
    </row>
    <row r="335" spans="1:7" ht="15" thickBot="1">
      <c r="A335" t="str">
        <f t="shared" si="6"/>
        <v>LF</v>
      </c>
      <c r="B335" s="28">
        <v>12</v>
      </c>
      <c r="C335" s="28">
        <v>24</v>
      </c>
      <c r="D335" s="28">
        <v>308</v>
      </c>
      <c r="E335" s="29" t="s">
        <v>1618</v>
      </c>
      <c r="F335" s="28" t="s">
        <v>2035</v>
      </c>
      <c r="G335" s="29"/>
    </row>
    <row r="336" spans="1:7" ht="15" thickBot="1">
      <c r="A336" t="str">
        <f t="shared" si="6"/>
        <v/>
      </c>
      <c r="B336" s="49" t="s">
        <v>1653</v>
      </c>
      <c r="C336" s="50"/>
      <c r="D336" s="50"/>
      <c r="E336" s="50"/>
      <c r="F336" s="51"/>
      <c r="G336" s="23"/>
    </row>
    <row r="337" spans="1:7" ht="15" thickBot="1">
      <c r="A337" t="str">
        <f t="shared" si="6"/>
        <v>Pos</v>
      </c>
      <c r="B337" s="24" t="s">
        <v>1613</v>
      </c>
      <c r="C337" s="24" t="s">
        <v>1604</v>
      </c>
      <c r="D337" s="24" t="s">
        <v>1614</v>
      </c>
      <c r="E337" s="25" t="s">
        <v>1605</v>
      </c>
      <c r="F337" s="24" t="s">
        <v>2137</v>
      </c>
      <c r="G337" s="25"/>
    </row>
    <row r="338" spans="1:7" ht="15" thickBot="1">
      <c r="A338" t="str">
        <f t="shared" si="6"/>
        <v>RF</v>
      </c>
      <c r="B338" s="26">
        <v>13</v>
      </c>
      <c r="C338" s="26">
        <v>1</v>
      </c>
      <c r="D338" s="26">
        <v>309</v>
      </c>
      <c r="E338" s="27" t="s">
        <v>1616</v>
      </c>
      <c r="F338" s="26" t="s">
        <v>2057</v>
      </c>
      <c r="G338" s="27"/>
    </row>
    <row r="339" spans="1:7" ht="15" thickBot="1">
      <c r="A339" t="str">
        <f t="shared" si="6"/>
        <v>MR</v>
      </c>
      <c r="B339" s="28">
        <v>13</v>
      </c>
      <c r="C339" s="28">
        <v>2</v>
      </c>
      <c r="D339" s="28">
        <v>310</v>
      </c>
      <c r="E339" s="29" t="s">
        <v>1617</v>
      </c>
      <c r="F339" s="28" t="s">
        <v>2021</v>
      </c>
      <c r="G339" s="29"/>
    </row>
    <row r="340" spans="1:7" ht="15" thickBot="1">
      <c r="A340" t="str">
        <f t="shared" si="6"/>
        <v>SP</v>
      </c>
      <c r="B340" s="26">
        <v>13</v>
      </c>
      <c r="C340" s="26">
        <v>3</v>
      </c>
      <c r="D340" s="26">
        <v>311</v>
      </c>
      <c r="E340" s="27" t="s">
        <v>1639</v>
      </c>
      <c r="F340" s="26" t="s">
        <v>2003</v>
      </c>
      <c r="G340" s="27"/>
    </row>
    <row r="341" spans="1:7" ht="15" thickBot="1">
      <c r="A341" t="str">
        <f t="shared" si="6"/>
        <v>MR</v>
      </c>
      <c r="B341" s="28">
        <v>13</v>
      </c>
      <c r="C341" s="28">
        <v>4</v>
      </c>
      <c r="D341" s="28">
        <v>312</v>
      </c>
      <c r="E341" s="29" t="s">
        <v>1619</v>
      </c>
      <c r="F341" s="28" t="s">
        <v>2021</v>
      </c>
      <c r="G341" s="29"/>
    </row>
    <row r="342" spans="1:7" ht="15" thickBot="1">
      <c r="A342" t="str">
        <f t="shared" si="6"/>
        <v>RF</v>
      </c>
      <c r="B342" s="26">
        <v>13</v>
      </c>
      <c r="C342" s="26">
        <v>5</v>
      </c>
      <c r="D342" s="26">
        <v>313</v>
      </c>
      <c r="E342" s="27" t="s">
        <v>1620</v>
      </c>
      <c r="F342" s="26" t="s">
        <v>2057</v>
      </c>
      <c r="G342" s="27"/>
    </row>
    <row r="343" spans="1:7" ht="15" thickBot="1">
      <c r="A343" t="str">
        <f t="shared" si="6"/>
        <v>1B</v>
      </c>
      <c r="B343" s="28">
        <v>13</v>
      </c>
      <c r="C343" s="28">
        <v>6</v>
      </c>
      <c r="D343" s="28">
        <v>314</v>
      </c>
      <c r="E343" s="29" t="s">
        <v>1623</v>
      </c>
      <c r="F343" s="28" t="s">
        <v>2092</v>
      </c>
      <c r="G343" s="29"/>
    </row>
    <row r="344" spans="1:7" ht="15" thickBot="1">
      <c r="A344" t="str">
        <f t="shared" si="6"/>
        <v>LF</v>
      </c>
      <c r="B344" s="26">
        <v>13</v>
      </c>
      <c r="C344" s="26">
        <v>7</v>
      </c>
      <c r="D344" s="26">
        <v>315</v>
      </c>
      <c r="E344" s="27" t="s">
        <v>1621</v>
      </c>
      <c r="F344" s="26" t="s">
        <v>2035</v>
      </c>
      <c r="G344" s="27"/>
    </row>
    <row r="345" spans="1:7" ht="15" thickBot="1">
      <c r="A345" t="str">
        <f t="shared" si="6"/>
        <v>MR</v>
      </c>
      <c r="B345" s="28">
        <v>13</v>
      </c>
      <c r="C345" s="28">
        <v>8</v>
      </c>
      <c r="D345" s="28">
        <v>316</v>
      </c>
      <c r="E345" s="29" t="s">
        <v>1646</v>
      </c>
      <c r="F345" s="28" t="s">
        <v>2021</v>
      </c>
      <c r="G345" s="29"/>
    </row>
    <row r="346" spans="1:7" ht="15" thickBot="1">
      <c r="A346" t="str">
        <f t="shared" si="6"/>
        <v>MR</v>
      </c>
      <c r="B346" s="26">
        <v>13</v>
      </c>
      <c r="C346" s="26">
        <v>9</v>
      </c>
      <c r="D346" s="26">
        <v>317</v>
      </c>
      <c r="E346" s="27" t="s">
        <v>1622</v>
      </c>
      <c r="F346" s="26" t="s">
        <v>2021</v>
      </c>
      <c r="G346" s="27"/>
    </row>
    <row r="347" spans="1:7" ht="15" thickBot="1">
      <c r="A347" t="str">
        <f t="shared" si="6"/>
        <v>1B</v>
      </c>
      <c r="B347" s="28">
        <v>13</v>
      </c>
      <c r="C347" s="28">
        <v>10</v>
      </c>
      <c r="D347" s="28">
        <v>318</v>
      </c>
      <c r="E347" s="29" t="s">
        <v>1625</v>
      </c>
      <c r="F347" s="28" t="s">
        <v>2092</v>
      </c>
      <c r="G347" s="29"/>
    </row>
    <row r="348" spans="1:7" ht="15" thickBot="1">
      <c r="A348" t="str">
        <f t="shared" si="6"/>
        <v>RF</v>
      </c>
      <c r="B348" s="26">
        <v>13</v>
      </c>
      <c r="C348" s="26">
        <v>11</v>
      </c>
      <c r="D348" s="26">
        <v>319</v>
      </c>
      <c r="E348" s="27" t="s">
        <v>1640</v>
      </c>
      <c r="F348" s="26" t="s">
        <v>2057</v>
      </c>
      <c r="G348" s="27"/>
    </row>
    <row r="349" spans="1:7" ht="15" thickBot="1">
      <c r="A349" t="str">
        <f t="shared" si="6"/>
        <v>MR</v>
      </c>
      <c r="B349" s="28">
        <v>13</v>
      </c>
      <c r="C349" s="28">
        <v>12</v>
      </c>
      <c r="D349" s="28">
        <v>320</v>
      </c>
      <c r="E349" s="29" t="s">
        <v>1626</v>
      </c>
      <c r="F349" s="28" t="s">
        <v>2021</v>
      </c>
      <c r="G349" s="29"/>
    </row>
    <row r="350" spans="1:7" ht="15" thickBot="1">
      <c r="A350" t="str">
        <f t="shared" si="6"/>
        <v>MR</v>
      </c>
      <c r="B350" s="26">
        <v>13</v>
      </c>
      <c r="C350" s="26">
        <v>13</v>
      </c>
      <c r="D350" s="26">
        <v>321</v>
      </c>
      <c r="E350" s="27" t="s">
        <v>1627</v>
      </c>
      <c r="F350" s="26" t="s">
        <v>2021</v>
      </c>
      <c r="G350" s="27"/>
    </row>
    <row r="351" spans="1:7" ht="15" thickBot="1">
      <c r="A351" t="str">
        <f t="shared" si="6"/>
        <v>1B</v>
      </c>
      <c r="B351" s="28">
        <v>13</v>
      </c>
      <c r="C351" s="28">
        <v>14</v>
      </c>
      <c r="D351" s="28">
        <v>322</v>
      </c>
      <c r="E351" s="29" t="s">
        <v>1628</v>
      </c>
      <c r="F351" s="28" t="s">
        <v>2092</v>
      </c>
      <c r="G351" s="29"/>
    </row>
    <row r="352" spans="1:7" ht="15" thickBot="1">
      <c r="A352" t="str">
        <f t="shared" si="6"/>
        <v>SP</v>
      </c>
      <c r="B352" s="26">
        <v>13</v>
      </c>
      <c r="C352" s="26">
        <v>15</v>
      </c>
      <c r="D352" s="26">
        <v>323</v>
      </c>
      <c r="E352" s="27" t="s">
        <v>1641</v>
      </c>
      <c r="F352" s="26" t="s">
        <v>2003</v>
      </c>
      <c r="G352" s="27"/>
    </row>
    <row r="353" spans="1:7" ht="15" thickBot="1">
      <c r="A353" t="str">
        <f t="shared" si="6"/>
        <v>3B</v>
      </c>
      <c r="B353" s="28">
        <v>13</v>
      </c>
      <c r="C353" s="28">
        <v>16</v>
      </c>
      <c r="D353" s="28">
        <v>324</v>
      </c>
      <c r="E353" s="29" t="s">
        <v>1636</v>
      </c>
      <c r="F353" s="28" t="s">
        <v>2061</v>
      </c>
      <c r="G353" s="29"/>
    </row>
    <row r="354" spans="1:7" ht="15" thickBot="1">
      <c r="A354" t="str">
        <f t="shared" si="6"/>
        <v>MR</v>
      </c>
      <c r="B354" s="26">
        <v>13</v>
      </c>
      <c r="C354" s="26">
        <v>17</v>
      </c>
      <c r="D354" s="26">
        <v>325</v>
      </c>
      <c r="E354" s="27" t="s">
        <v>1629</v>
      </c>
      <c r="F354" s="26" t="s">
        <v>2021</v>
      </c>
      <c r="G354" s="27"/>
    </row>
    <row r="355" spans="1:7" ht="15" thickBot="1">
      <c r="A355" t="str">
        <f t="shared" si="6"/>
        <v>MR</v>
      </c>
      <c r="B355" s="28">
        <v>13</v>
      </c>
      <c r="C355" s="28">
        <v>18</v>
      </c>
      <c r="D355" s="28">
        <v>326</v>
      </c>
      <c r="E355" s="29" t="s">
        <v>1637</v>
      </c>
      <c r="F355" s="28" t="s">
        <v>2021</v>
      </c>
      <c r="G355" s="29"/>
    </row>
    <row r="356" spans="1:7" ht="15" thickBot="1">
      <c r="A356" t="str">
        <f t="shared" si="6"/>
        <v>1B</v>
      </c>
      <c r="B356" s="26">
        <v>13</v>
      </c>
      <c r="C356" s="26">
        <v>19</v>
      </c>
      <c r="D356" s="26">
        <v>327</v>
      </c>
      <c r="E356" s="27" t="s">
        <v>1630</v>
      </c>
      <c r="F356" s="26" t="s">
        <v>2092</v>
      </c>
      <c r="G356" s="27"/>
    </row>
    <row r="357" spans="1:7" ht="15" thickBot="1">
      <c r="A357" t="str">
        <f t="shared" si="6"/>
        <v>MR</v>
      </c>
      <c r="B357" s="28">
        <v>13</v>
      </c>
      <c r="C357" s="28">
        <v>20</v>
      </c>
      <c r="D357" s="28">
        <v>328</v>
      </c>
      <c r="E357" s="29" t="s">
        <v>1624</v>
      </c>
      <c r="F357" s="28" t="s">
        <v>2021</v>
      </c>
      <c r="G357" s="29"/>
    </row>
    <row r="358" spans="1:7" ht="15" thickBot="1">
      <c r="A358" t="str">
        <f t="shared" si="6"/>
        <v>SP</v>
      </c>
      <c r="B358" s="26">
        <v>13</v>
      </c>
      <c r="C358" s="26">
        <v>21</v>
      </c>
      <c r="D358" s="26">
        <v>329</v>
      </c>
      <c r="E358" s="27" t="s">
        <v>1631</v>
      </c>
      <c r="F358" s="26" t="s">
        <v>2003</v>
      </c>
      <c r="G358" s="27"/>
    </row>
    <row r="359" spans="1:7" ht="15" thickBot="1">
      <c r="A359" t="str">
        <f t="shared" si="6"/>
        <v>SP</v>
      </c>
      <c r="B359" s="28">
        <v>13</v>
      </c>
      <c r="C359" s="28">
        <v>22</v>
      </c>
      <c r="D359" s="28">
        <v>330</v>
      </c>
      <c r="E359" s="29" t="s">
        <v>1632</v>
      </c>
      <c r="F359" s="28" t="s">
        <v>2003</v>
      </c>
      <c r="G359" s="29"/>
    </row>
    <row r="360" spans="1:7" ht="15" thickBot="1">
      <c r="A360" t="str">
        <f t="shared" si="6"/>
        <v>2B</v>
      </c>
      <c r="B360" s="26">
        <v>13</v>
      </c>
      <c r="C360" s="26">
        <v>23</v>
      </c>
      <c r="D360" s="26">
        <v>331</v>
      </c>
      <c r="E360" s="27" t="s">
        <v>1633</v>
      </c>
      <c r="F360" s="26" t="s">
        <v>2069</v>
      </c>
      <c r="G360" s="27"/>
    </row>
    <row r="361" spans="1:7" ht="15" thickBot="1">
      <c r="A361" t="str">
        <f t="shared" si="6"/>
        <v>1B</v>
      </c>
      <c r="B361" s="28">
        <v>13</v>
      </c>
      <c r="C361" s="28">
        <v>24</v>
      </c>
      <c r="D361" s="28">
        <v>332</v>
      </c>
      <c r="E361" s="29" t="s">
        <v>1618</v>
      </c>
      <c r="F361" s="28" t="s">
        <v>2092</v>
      </c>
      <c r="G361" s="29"/>
    </row>
    <row r="362" spans="1:7" ht="15" thickBot="1">
      <c r="A362" t="str">
        <f t="shared" si="6"/>
        <v/>
      </c>
      <c r="B362" s="49" t="s">
        <v>1654</v>
      </c>
      <c r="C362" s="50"/>
      <c r="D362" s="50"/>
      <c r="E362" s="50"/>
      <c r="F362" s="51"/>
      <c r="G362" s="23"/>
    </row>
    <row r="363" spans="1:7" ht="15" thickBot="1">
      <c r="A363" t="str">
        <f t="shared" si="6"/>
        <v>Pos</v>
      </c>
      <c r="B363" s="24" t="s">
        <v>1613</v>
      </c>
      <c r="C363" s="24" t="s">
        <v>1604</v>
      </c>
      <c r="D363" s="24" t="s">
        <v>1614</v>
      </c>
      <c r="E363" s="25" t="s">
        <v>1605</v>
      </c>
      <c r="F363" s="24" t="s">
        <v>2137</v>
      </c>
      <c r="G363" s="25"/>
    </row>
    <row r="364" spans="1:7" ht="15" thickBot="1">
      <c r="A364" t="str">
        <f t="shared" si="6"/>
        <v>SP</v>
      </c>
      <c r="B364" s="26">
        <v>14</v>
      </c>
      <c r="C364" s="26">
        <v>1</v>
      </c>
      <c r="D364" s="26">
        <v>333</v>
      </c>
      <c r="E364" s="27" t="s">
        <v>1616</v>
      </c>
      <c r="F364" s="26" t="s">
        <v>2003</v>
      </c>
      <c r="G364" s="27"/>
    </row>
    <row r="365" spans="1:7" ht="15" thickBot="1">
      <c r="A365" t="str">
        <f t="shared" si="6"/>
        <v>MR</v>
      </c>
      <c r="B365" s="28">
        <v>14</v>
      </c>
      <c r="C365" s="28">
        <v>2</v>
      </c>
      <c r="D365" s="28">
        <v>334</v>
      </c>
      <c r="E365" s="29" t="s">
        <v>1617</v>
      </c>
      <c r="F365" s="28" t="s">
        <v>2021</v>
      </c>
      <c r="G365" s="29"/>
    </row>
    <row r="366" spans="1:7" ht="15" thickBot="1">
      <c r="A366" t="str">
        <f t="shared" si="6"/>
        <v>SP</v>
      </c>
      <c r="B366" s="26">
        <v>14</v>
      </c>
      <c r="C366" s="26">
        <v>3</v>
      </c>
      <c r="D366" s="26">
        <v>335</v>
      </c>
      <c r="E366" s="27" t="s">
        <v>1639</v>
      </c>
      <c r="F366" s="26" t="s">
        <v>2003</v>
      </c>
      <c r="G366" s="27"/>
    </row>
    <row r="367" spans="1:7" ht="15" thickBot="1">
      <c r="A367" t="str">
        <f t="shared" si="6"/>
        <v>MR</v>
      </c>
      <c r="B367" s="28">
        <v>14</v>
      </c>
      <c r="C367" s="28">
        <v>4</v>
      </c>
      <c r="D367" s="28">
        <v>336</v>
      </c>
      <c r="E367" s="29" t="s">
        <v>1619</v>
      </c>
      <c r="F367" s="28" t="s">
        <v>2021</v>
      </c>
      <c r="G367" s="29"/>
    </row>
    <row r="368" spans="1:7" ht="15" thickBot="1">
      <c r="A368" t="str">
        <f t="shared" si="6"/>
        <v>CF</v>
      </c>
      <c r="B368" s="26">
        <v>14</v>
      </c>
      <c r="C368" s="26">
        <v>5</v>
      </c>
      <c r="D368" s="26">
        <v>337</v>
      </c>
      <c r="E368" s="27" t="s">
        <v>1620</v>
      </c>
      <c r="F368" s="26" t="s">
        <v>2079</v>
      </c>
      <c r="G368" s="27"/>
    </row>
    <row r="369" spans="1:7" ht="15" thickBot="1">
      <c r="A369" t="str">
        <f t="shared" si="6"/>
        <v>MR</v>
      </c>
      <c r="B369" s="28">
        <v>14</v>
      </c>
      <c r="C369" s="28">
        <v>6</v>
      </c>
      <c r="D369" s="28">
        <v>338</v>
      </c>
      <c r="E369" s="29" t="s">
        <v>1623</v>
      </c>
      <c r="F369" s="28" t="s">
        <v>2021</v>
      </c>
      <c r="G369" s="29"/>
    </row>
    <row r="370" spans="1:7" ht="15" thickBot="1">
      <c r="A370" t="str">
        <f t="shared" si="6"/>
        <v>MR</v>
      </c>
      <c r="B370" s="26">
        <v>14</v>
      </c>
      <c r="C370" s="26">
        <v>7</v>
      </c>
      <c r="D370" s="26">
        <v>339</v>
      </c>
      <c r="E370" s="27" t="s">
        <v>1621</v>
      </c>
      <c r="F370" s="26" t="s">
        <v>2021</v>
      </c>
      <c r="G370" s="27"/>
    </row>
    <row r="371" spans="1:7" ht="15" thickBot="1">
      <c r="A371" t="str">
        <f t="shared" si="6"/>
        <v>MR</v>
      </c>
      <c r="B371" s="28">
        <v>14</v>
      </c>
      <c r="C371" s="28">
        <v>8</v>
      </c>
      <c r="D371" s="28">
        <v>340</v>
      </c>
      <c r="E371" s="29" t="s">
        <v>1646</v>
      </c>
      <c r="F371" s="28" t="s">
        <v>2021</v>
      </c>
      <c r="G371" s="29"/>
    </row>
    <row r="372" spans="1:7" ht="15" thickBot="1">
      <c r="A372" t="str">
        <f t="shared" si="6"/>
        <v>2B</v>
      </c>
      <c r="B372" s="26">
        <v>14</v>
      </c>
      <c r="C372" s="26">
        <v>9</v>
      </c>
      <c r="D372" s="26">
        <v>341</v>
      </c>
      <c r="E372" s="27" t="s">
        <v>1622</v>
      </c>
      <c r="F372" s="26" t="s">
        <v>2069</v>
      </c>
      <c r="G372" s="27"/>
    </row>
    <row r="373" spans="1:7" ht="15" thickBot="1">
      <c r="A373" t="str">
        <f t="shared" si="6"/>
        <v>SS</v>
      </c>
      <c r="B373" s="28">
        <v>14</v>
      </c>
      <c r="C373" s="28">
        <v>10</v>
      </c>
      <c r="D373" s="28">
        <v>342</v>
      </c>
      <c r="E373" s="29" t="s">
        <v>1625</v>
      </c>
      <c r="F373" s="28" t="s">
        <v>2074</v>
      </c>
      <c r="G373" s="29"/>
    </row>
    <row r="374" spans="1:7" ht="15" thickBot="1">
      <c r="A374" t="str">
        <f t="shared" si="6"/>
        <v>CF</v>
      </c>
      <c r="B374" s="26">
        <v>14</v>
      </c>
      <c r="C374" s="26">
        <v>11</v>
      </c>
      <c r="D374" s="26">
        <v>343</v>
      </c>
      <c r="E374" s="27" t="s">
        <v>1640</v>
      </c>
      <c r="F374" s="26" t="s">
        <v>2079</v>
      </c>
      <c r="G374" s="27"/>
    </row>
    <row r="375" spans="1:7" ht="15" thickBot="1">
      <c r="A375" t="str">
        <f t="shared" si="6"/>
        <v>SS</v>
      </c>
      <c r="B375" s="28">
        <v>14</v>
      </c>
      <c r="C375" s="28">
        <v>12</v>
      </c>
      <c r="D375" s="28">
        <v>344</v>
      </c>
      <c r="E375" s="29" t="s">
        <v>1626</v>
      </c>
      <c r="F375" s="28" t="s">
        <v>2074</v>
      </c>
      <c r="G375" s="29"/>
    </row>
    <row r="376" spans="1:7" ht="15" thickBot="1">
      <c r="A376" t="str">
        <f t="shared" si="6"/>
        <v>MR</v>
      </c>
      <c r="B376" s="26">
        <v>14</v>
      </c>
      <c r="C376" s="26">
        <v>13</v>
      </c>
      <c r="D376" s="26">
        <v>345</v>
      </c>
      <c r="E376" s="27" t="s">
        <v>1627</v>
      </c>
      <c r="F376" s="26" t="s">
        <v>2021</v>
      </c>
      <c r="G376" s="27"/>
    </row>
    <row r="377" spans="1:7" ht="15" thickBot="1">
      <c r="A377" t="str">
        <f t="shared" si="6"/>
        <v>SS</v>
      </c>
      <c r="B377" s="28">
        <v>14</v>
      </c>
      <c r="C377" s="28">
        <v>14</v>
      </c>
      <c r="D377" s="28">
        <v>346</v>
      </c>
      <c r="E377" s="29" t="s">
        <v>1628</v>
      </c>
      <c r="F377" s="28" t="s">
        <v>2074</v>
      </c>
      <c r="G377" s="29"/>
    </row>
    <row r="378" spans="1:7" ht="15" thickBot="1">
      <c r="A378" t="str">
        <f t="shared" si="6"/>
        <v>SP</v>
      </c>
      <c r="B378" s="26">
        <v>14</v>
      </c>
      <c r="C378" s="26">
        <v>15</v>
      </c>
      <c r="D378" s="26">
        <v>347</v>
      </c>
      <c r="E378" s="27" t="s">
        <v>1641</v>
      </c>
      <c r="F378" s="26" t="s">
        <v>2003</v>
      </c>
      <c r="G378" s="27"/>
    </row>
    <row r="379" spans="1:7" ht="15" thickBot="1">
      <c r="A379" t="str">
        <f t="shared" si="6"/>
        <v>C</v>
      </c>
      <c r="B379" s="28">
        <v>14</v>
      </c>
      <c r="C379" s="28">
        <v>16</v>
      </c>
      <c r="D379" s="28">
        <v>348</v>
      </c>
      <c r="E379" s="29" t="s">
        <v>1636</v>
      </c>
      <c r="F379" s="28" t="s">
        <v>2091</v>
      </c>
      <c r="G379" s="29"/>
    </row>
    <row r="380" spans="1:7" ht="15" thickBot="1">
      <c r="A380" t="str">
        <f t="shared" si="6"/>
        <v>MR</v>
      </c>
      <c r="B380" s="26">
        <v>14</v>
      </c>
      <c r="C380" s="26">
        <v>17</v>
      </c>
      <c r="D380" s="26">
        <v>349</v>
      </c>
      <c r="E380" s="27" t="s">
        <v>1629</v>
      </c>
      <c r="F380" s="26" t="s">
        <v>2021</v>
      </c>
      <c r="G380" s="27"/>
    </row>
    <row r="381" spans="1:7" ht="15" thickBot="1">
      <c r="A381" t="str">
        <f t="shared" si="6"/>
        <v>1B</v>
      </c>
      <c r="B381" s="28">
        <v>14</v>
      </c>
      <c r="C381" s="28">
        <v>18</v>
      </c>
      <c r="D381" s="28">
        <v>350</v>
      </c>
      <c r="E381" s="29" t="s">
        <v>1637</v>
      </c>
      <c r="F381" s="28" t="s">
        <v>2092</v>
      </c>
      <c r="G381" s="29"/>
    </row>
    <row r="382" spans="1:7" ht="15" thickBot="1">
      <c r="A382" t="str">
        <f t="shared" si="6"/>
        <v>MR</v>
      </c>
      <c r="B382" s="26">
        <v>14</v>
      </c>
      <c r="C382" s="26">
        <v>19</v>
      </c>
      <c r="D382" s="26">
        <v>351</v>
      </c>
      <c r="E382" s="27" t="s">
        <v>1630</v>
      </c>
      <c r="F382" s="26" t="s">
        <v>2021</v>
      </c>
      <c r="G382" s="27"/>
    </row>
    <row r="383" spans="1:7" ht="15" thickBot="1">
      <c r="A383" t="str">
        <f t="shared" si="6"/>
        <v>LF</v>
      </c>
      <c r="B383" s="28">
        <v>14</v>
      </c>
      <c r="C383" s="28">
        <v>20</v>
      </c>
      <c r="D383" s="28">
        <v>352</v>
      </c>
      <c r="E383" s="29" t="s">
        <v>1624</v>
      </c>
      <c r="F383" s="28" t="s">
        <v>2035</v>
      </c>
      <c r="G383" s="29"/>
    </row>
    <row r="384" spans="1:7" ht="15" thickBot="1">
      <c r="A384" t="str">
        <f t="shared" si="6"/>
        <v>CF</v>
      </c>
      <c r="B384" s="26">
        <v>14</v>
      </c>
      <c r="C384" s="26">
        <v>21</v>
      </c>
      <c r="D384" s="26">
        <v>353</v>
      </c>
      <c r="E384" s="27" t="s">
        <v>1631</v>
      </c>
      <c r="F384" s="26" t="s">
        <v>2079</v>
      </c>
      <c r="G384" s="27"/>
    </row>
    <row r="385" spans="1:7" ht="15" thickBot="1">
      <c r="A385" t="str">
        <f t="shared" si="6"/>
        <v>SP</v>
      </c>
      <c r="B385" s="28">
        <v>14</v>
      </c>
      <c r="C385" s="28">
        <v>22</v>
      </c>
      <c r="D385" s="28">
        <v>354</v>
      </c>
      <c r="E385" s="29" t="s">
        <v>1632</v>
      </c>
      <c r="F385" s="28" t="s">
        <v>2003</v>
      </c>
      <c r="G385" s="29"/>
    </row>
    <row r="386" spans="1:7" ht="15" thickBot="1">
      <c r="A386" t="str">
        <f t="shared" si="6"/>
        <v>C</v>
      </c>
      <c r="B386" s="26">
        <v>14</v>
      </c>
      <c r="C386" s="26">
        <v>23</v>
      </c>
      <c r="D386" s="26">
        <v>355</v>
      </c>
      <c r="E386" s="27" t="s">
        <v>1633</v>
      </c>
      <c r="F386" s="26" t="s">
        <v>2091</v>
      </c>
      <c r="G386" s="27"/>
    </row>
    <row r="387" spans="1:7" ht="15" thickBot="1">
      <c r="A387" t="str">
        <f t="shared" si="6"/>
        <v>3B</v>
      </c>
      <c r="B387" s="28">
        <v>14</v>
      </c>
      <c r="C387" s="28">
        <v>24</v>
      </c>
      <c r="D387" s="28">
        <v>356</v>
      </c>
      <c r="E387" s="29" t="s">
        <v>1618</v>
      </c>
      <c r="F387" s="28" t="s">
        <v>2061</v>
      </c>
      <c r="G387" s="29"/>
    </row>
    <row r="388" spans="1:7" ht="15" thickBot="1">
      <c r="A388" t="str">
        <f t="shared" si="6"/>
        <v/>
      </c>
      <c r="B388" s="49" t="s">
        <v>1655</v>
      </c>
      <c r="C388" s="50"/>
      <c r="D388" s="50"/>
      <c r="E388" s="50"/>
      <c r="F388" s="51"/>
      <c r="G388" s="23"/>
    </row>
    <row r="389" spans="1:7" ht="15" thickBot="1">
      <c r="A389" t="str">
        <f t="shared" ref="A389:A413" si="7">F389&amp;G389</f>
        <v>Pos</v>
      </c>
      <c r="B389" s="24" t="s">
        <v>1613</v>
      </c>
      <c r="C389" s="24" t="s">
        <v>1604</v>
      </c>
      <c r="D389" s="24" t="s">
        <v>1614</v>
      </c>
      <c r="E389" s="25" t="s">
        <v>1605</v>
      </c>
      <c r="F389" s="24" t="s">
        <v>2137</v>
      </c>
      <c r="G389" s="25"/>
    </row>
    <row r="390" spans="1:7" ht="15" thickBot="1">
      <c r="A390" t="str">
        <f t="shared" si="7"/>
        <v>MR</v>
      </c>
      <c r="B390" s="26">
        <v>15</v>
      </c>
      <c r="C390" s="26">
        <v>1</v>
      </c>
      <c r="D390" s="26">
        <v>357</v>
      </c>
      <c r="E390" s="27" t="s">
        <v>1616</v>
      </c>
      <c r="F390" s="26" t="s">
        <v>2021</v>
      </c>
      <c r="G390" s="27"/>
    </row>
    <row r="391" spans="1:7" ht="15" thickBot="1">
      <c r="A391" t="str">
        <f t="shared" si="7"/>
        <v>RF</v>
      </c>
      <c r="B391" s="28">
        <v>15</v>
      </c>
      <c r="C391" s="28">
        <v>2</v>
      </c>
      <c r="D391" s="28">
        <v>358</v>
      </c>
      <c r="E391" s="29" t="s">
        <v>1617</v>
      </c>
      <c r="F391" s="28" t="s">
        <v>2057</v>
      </c>
      <c r="G391" s="29"/>
    </row>
    <row r="392" spans="1:7" ht="15" thickBot="1">
      <c r="A392" t="str">
        <f t="shared" si="7"/>
        <v>SP</v>
      </c>
      <c r="B392" s="26">
        <v>15</v>
      </c>
      <c r="C392" s="26">
        <v>3</v>
      </c>
      <c r="D392" s="26">
        <v>359</v>
      </c>
      <c r="E392" s="27" t="s">
        <v>1639</v>
      </c>
      <c r="F392" s="26" t="s">
        <v>2003</v>
      </c>
      <c r="G392" s="27"/>
    </row>
    <row r="393" spans="1:7" ht="15" thickBot="1">
      <c r="A393" t="str">
        <f t="shared" si="7"/>
        <v>C</v>
      </c>
      <c r="B393" s="28">
        <v>15</v>
      </c>
      <c r="C393" s="28">
        <v>4</v>
      </c>
      <c r="D393" s="28">
        <v>360</v>
      </c>
      <c r="E393" s="29" t="s">
        <v>1619</v>
      </c>
      <c r="F393" s="28" t="s">
        <v>2091</v>
      </c>
      <c r="G393" s="29"/>
    </row>
    <row r="394" spans="1:7" ht="15" thickBot="1">
      <c r="A394" t="str">
        <f t="shared" si="7"/>
        <v>MR</v>
      </c>
      <c r="B394" s="26">
        <v>15</v>
      </c>
      <c r="C394" s="26">
        <v>5</v>
      </c>
      <c r="D394" s="26">
        <v>361</v>
      </c>
      <c r="E394" s="27" t="s">
        <v>1620</v>
      </c>
      <c r="F394" s="26" t="s">
        <v>2021</v>
      </c>
      <c r="G394" s="27"/>
    </row>
    <row r="395" spans="1:7" ht="15" thickBot="1">
      <c r="A395" t="str">
        <f t="shared" si="7"/>
        <v>RF</v>
      </c>
      <c r="B395" s="28">
        <v>15</v>
      </c>
      <c r="C395" s="28">
        <v>6</v>
      </c>
      <c r="D395" s="28">
        <v>362</v>
      </c>
      <c r="E395" s="29" t="s">
        <v>1623</v>
      </c>
      <c r="F395" s="28" t="s">
        <v>2057</v>
      </c>
      <c r="G395" s="29"/>
    </row>
    <row r="396" spans="1:7" ht="15" thickBot="1">
      <c r="A396" t="str">
        <f t="shared" si="7"/>
        <v>MR</v>
      </c>
      <c r="B396" s="26">
        <v>15</v>
      </c>
      <c r="C396" s="26">
        <v>7</v>
      </c>
      <c r="D396" s="26">
        <v>363</v>
      </c>
      <c r="E396" s="27" t="s">
        <v>1621</v>
      </c>
      <c r="F396" s="26" t="s">
        <v>2021</v>
      </c>
      <c r="G396" s="27"/>
    </row>
    <row r="397" spans="1:7" ht="15" thickBot="1">
      <c r="A397" t="str">
        <f t="shared" si="7"/>
        <v>MR</v>
      </c>
      <c r="B397" s="28">
        <v>15</v>
      </c>
      <c r="C397" s="28">
        <v>8</v>
      </c>
      <c r="D397" s="28">
        <v>364</v>
      </c>
      <c r="E397" s="29" t="s">
        <v>1646</v>
      </c>
      <c r="F397" s="28" t="s">
        <v>2021</v>
      </c>
      <c r="G397" s="29"/>
    </row>
    <row r="398" spans="1:7" ht="15" thickBot="1">
      <c r="A398" t="str">
        <f t="shared" si="7"/>
        <v>SP</v>
      </c>
      <c r="B398" s="26">
        <v>15</v>
      </c>
      <c r="C398" s="26">
        <v>9</v>
      </c>
      <c r="D398" s="26">
        <v>365</v>
      </c>
      <c r="E398" s="27" t="s">
        <v>1622</v>
      </c>
      <c r="F398" s="26" t="s">
        <v>2003</v>
      </c>
      <c r="G398" s="27"/>
    </row>
    <row r="399" spans="1:7" ht="15" thickBot="1">
      <c r="A399" t="str">
        <f t="shared" si="7"/>
        <v>LF</v>
      </c>
      <c r="B399" s="28">
        <v>15</v>
      </c>
      <c r="C399" s="28">
        <v>10</v>
      </c>
      <c r="D399" s="28">
        <v>366</v>
      </c>
      <c r="E399" s="29" t="s">
        <v>1625</v>
      </c>
      <c r="F399" s="28" t="s">
        <v>2035</v>
      </c>
      <c r="G399" s="29"/>
    </row>
    <row r="400" spans="1:7" ht="15" thickBot="1">
      <c r="A400" t="str">
        <f t="shared" si="7"/>
        <v>2B</v>
      </c>
      <c r="B400" s="26">
        <v>15</v>
      </c>
      <c r="C400" s="26">
        <v>11</v>
      </c>
      <c r="D400" s="26">
        <v>367</v>
      </c>
      <c r="E400" s="27" t="s">
        <v>1640</v>
      </c>
      <c r="F400" s="26" t="s">
        <v>2069</v>
      </c>
      <c r="G400" s="27"/>
    </row>
    <row r="401" spans="1:7" ht="15" thickBot="1">
      <c r="A401" t="str">
        <f t="shared" si="7"/>
        <v>MR</v>
      </c>
      <c r="B401" s="28">
        <v>15</v>
      </c>
      <c r="C401" s="28">
        <v>12</v>
      </c>
      <c r="D401" s="28">
        <v>368</v>
      </c>
      <c r="E401" s="29" t="s">
        <v>1626</v>
      </c>
      <c r="F401" s="28" t="s">
        <v>2021</v>
      </c>
      <c r="G401" s="29"/>
    </row>
    <row r="402" spans="1:7" ht="15" thickBot="1">
      <c r="A402" t="str">
        <f t="shared" si="7"/>
        <v>MR</v>
      </c>
      <c r="B402" s="26">
        <v>15</v>
      </c>
      <c r="C402" s="26">
        <v>13</v>
      </c>
      <c r="D402" s="26">
        <v>369</v>
      </c>
      <c r="E402" s="27" t="s">
        <v>1627</v>
      </c>
      <c r="F402" s="26" t="s">
        <v>2021</v>
      </c>
      <c r="G402" s="27"/>
    </row>
    <row r="403" spans="1:7" ht="15" thickBot="1">
      <c r="A403" t="str">
        <f t="shared" si="7"/>
        <v>SS</v>
      </c>
      <c r="B403" s="28">
        <v>15</v>
      </c>
      <c r="C403" s="28">
        <v>14</v>
      </c>
      <c r="D403" s="28">
        <v>370</v>
      </c>
      <c r="E403" s="29" t="s">
        <v>1628</v>
      </c>
      <c r="F403" s="28" t="s">
        <v>2074</v>
      </c>
      <c r="G403" s="29"/>
    </row>
    <row r="404" spans="1:7" ht="15" thickBot="1">
      <c r="A404" t="str">
        <f t="shared" si="7"/>
        <v>MR</v>
      </c>
      <c r="B404" s="26">
        <v>15</v>
      </c>
      <c r="C404" s="26">
        <v>15</v>
      </c>
      <c r="D404" s="26">
        <v>371</v>
      </c>
      <c r="E404" s="27" t="s">
        <v>1641</v>
      </c>
      <c r="F404" s="26" t="s">
        <v>2021</v>
      </c>
      <c r="G404" s="27"/>
    </row>
    <row r="405" spans="1:7" ht="15" thickBot="1">
      <c r="A405" t="str">
        <f t="shared" si="7"/>
        <v>RF</v>
      </c>
      <c r="B405" s="28">
        <v>15</v>
      </c>
      <c r="C405" s="28">
        <v>16</v>
      </c>
      <c r="D405" s="28">
        <v>372</v>
      </c>
      <c r="E405" s="29" t="s">
        <v>1636</v>
      </c>
      <c r="F405" s="28" t="s">
        <v>2057</v>
      </c>
      <c r="G405" s="29"/>
    </row>
    <row r="406" spans="1:7" ht="15" thickBot="1">
      <c r="A406" t="str">
        <f t="shared" si="7"/>
        <v>SP</v>
      </c>
      <c r="B406" s="26">
        <v>15</v>
      </c>
      <c r="C406" s="26">
        <v>17</v>
      </c>
      <c r="D406" s="26">
        <v>373</v>
      </c>
      <c r="E406" s="27" t="s">
        <v>1629</v>
      </c>
      <c r="F406" s="26" t="s">
        <v>2003</v>
      </c>
      <c r="G406" s="27"/>
    </row>
    <row r="407" spans="1:7" ht="15" thickBot="1">
      <c r="A407" t="str">
        <f t="shared" si="7"/>
        <v>RF</v>
      </c>
      <c r="B407" s="28">
        <v>15</v>
      </c>
      <c r="C407" s="28">
        <v>18</v>
      </c>
      <c r="D407" s="28">
        <v>374</v>
      </c>
      <c r="E407" s="29" t="s">
        <v>1637</v>
      </c>
      <c r="F407" s="28" t="s">
        <v>2057</v>
      </c>
      <c r="G407" s="29"/>
    </row>
    <row r="408" spans="1:7" ht="15" thickBot="1">
      <c r="A408" t="str">
        <f t="shared" si="7"/>
        <v>MR</v>
      </c>
      <c r="B408" s="26">
        <v>15</v>
      </c>
      <c r="C408" s="26">
        <v>19</v>
      </c>
      <c r="D408" s="26">
        <v>375</v>
      </c>
      <c r="E408" s="27" t="s">
        <v>1630</v>
      </c>
      <c r="F408" s="26" t="s">
        <v>2021</v>
      </c>
      <c r="G408" s="27"/>
    </row>
    <row r="409" spans="1:7" ht="15" thickBot="1">
      <c r="A409" t="str">
        <f t="shared" si="7"/>
        <v>CL</v>
      </c>
      <c r="B409" s="28">
        <v>15</v>
      </c>
      <c r="C409" s="28">
        <v>20</v>
      </c>
      <c r="D409" s="28">
        <v>376</v>
      </c>
      <c r="E409" s="29" t="s">
        <v>1624</v>
      </c>
      <c r="F409" s="28" t="s">
        <v>2032</v>
      </c>
      <c r="G409" s="29"/>
    </row>
    <row r="410" spans="1:7" ht="15" thickBot="1">
      <c r="A410" t="str">
        <f t="shared" si="7"/>
        <v>SP</v>
      </c>
      <c r="B410" s="26">
        <v>15</v>
      </c>
      <c r="C410" s="26">
        <v>21</v>
      </c>
      <c r="D410" s="26">
        <v>377</v>
      </c>
      <c r="E410" s="27" t="s">
        <v>1631</v>
      </c>
      <c r="F410" s="26" t="s">
        <v>2003</v>
      </c>
      <c r="G410" s="27"/>
    </row>
    <row r="411" spans="1:7" ht="15" thickBot="1">
      <c r="A411" t="str">
        <f t="shared" si="7"/>
        <v>SP</v>
      </c>
      <c r="B411" s="28">
        <v>15</v>
      </c>
      <c r="C411" s="28">
        <v>22</v>
      </c>
      <c r="D411" s="28">
        <v>378</v>
      </c>
      <c r="E411" s="29" t="s">
        <v>1632</v>
      </c>
      <c r="F411" s="28" t="s">
        <v>2003</v>
      </c>
      <c r="G411" s="29"/>
    </row>
    <row r="412" spans="1:7" ht="15" thickBot="1">
      <c r="A412" t="str">
        <f t="shared" si="7"/>
        <v>C</v>
      </c>
      <c r="B412" s="26">
        <v>15</v>
      </c>
      <c r="C412" s="26">
        <v>23</v>
      </c>
      <c r="D412" s="26">
        <v>379</v>
      </c>
      <c r="E412" s="27" t="s">
        <v>1633</v>
      </c>
      <c r="F412" s="26" t="s">
        <v>2091</v>
      </c>
      <c r="G412" s="27"/>
    </row>
    <row r="413" spans="1:7" ht="15" thickBot="1">
      <c r="A413" t="str">
        <f t="shared" si="7"/>
        <v>LF</v>
      </c>
      <c r="B413" s="28">
        <v>15</v>
      </c>
      <c r="C413" s="28">
        <v>24</v>
      </c>
      <c r="D413" s="28">
        <v>380</v>
      </c>
      <c r="E413" s="29" t="s">
        <v>1618</v>
      </c>
      <c r="F413" s="28" t="s">
        <v>2035</v>
      </c>
      <c r="G413" s="29"/>
    </row>
  </sheetData>
  <sheetCalcPr fullCalcOnLoad="1"/>
  <mergeCells count="16">
    <mergeCell ref="B128:F128"/>
    <mergeCell ref="B2:F2"/>
    <mergeCell ref="B28:F28"/>
    <mergeCell ref="B40:F40"/>
    <mergeCell ref="B72:F72"/>
    <mergeCell ref="B102:F102"/>
    <mergeCell ref="B310:F310"/>
    <mergeCell ref="B336:F336"/>
    <mergeCell ref="B362:F362"/>
    <mergeCell ref="B388:F388"/>
    <mergeCell ref="B154:F154"/>
    <mergeCell ref="B180:F180"/>
    <mergeCell ref="B206:F206"/>
    <mergeCell ref="B232:F232"/>
    <mergeCell ref="B258:F258"/>
    <mergeCell ref="B284:F284"/>
  </mergeCells>
  <phoneticPr fontId="11" type="noConversion"/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4" r:id="rId65"/>
    <hyperlink ref="E75" r:id="rId66"/>
    <hyperlink ref="E76" r:id="rId67"/>
    <hyperlink ref="E77" r:id="rId68"/>
    <hyperlink ref="E78" r:id="rId69"/>
    <hyperlink ref="E79" r:id="rId70"/>
    <hyperlink ref="E80" r:id="rId71"/>
    <hyperlink ref="E81" r:id="rId72"/>
    <hyperlink ref="E82" r:id="rId73"/>
    <hyperlink ref="E83" r:id="rId74"/>
    <hyperlink ref="E84" r:id="rId75"/>
    <hyperlink ref="E85" r:id="rId76"/>
    <hyperlink ref="E86" r:id="rId77"/>
    <hyperlink ref="E87" r:id="rId78"/>
    <hyperlink ref="E88" r:id="rId79"/>
    <hyperlink ref="E89" r:id="rId80"/>
    <hyperlink ref="E90" r:id="rId81"/>
    <hyperlink ref="E91" r:id="rId82"/>
    <hyperlink ref="E92" r:id="rId83"/>
    <hyperlink ref="E93" r:id="rId84"/>
    <hyperlink ref="E94" r:id="rId85"/>
    <hyperlink ref="E95" r:id="rId86"/>
    <hyperlink ref="E96" r:id="rId87"/>
    <hyperlink ref="E97" r:id="rId88"/>
    <hyperlink ref="E98" r:id="rId89"/>
    <hyperlink ref="E99" r:id="rId90"/>
    <hyperlink ref="E100" r:id="rId91"/>
    <hyperlink ref="E101" r:id="rId92"/>
    <hyperlink ref="E104" r:id="rId93"/>
    <hyperlink ref="E105" r:id="rId94"/>
    <hyperlink ref="E106" r:id="rId95"/>
    <hyperlink ref="E107" r:id="rId96"/>
    <hyperlink ref="E108" r:id="rId97"/>
    <hyperlink ref="E109" r:id="rId98"/>
    <hyperlink ref="E110" r:id="rId99"/>
    <hyperlink ref="E111" r:id="rId100"/>
    <hyperlink ref="E112" r:id="rId101"/>
    <hyperlink ref="E113" r:id="rId102"/>
    <hyperlink ref="E114" r:id="rId103"/>
    <hyperlink ref="E115" r:id="rId104"/>
    <hyperlink ref="E116" r:id="rId105"/>
    <hyperlink ref="E117" r:id="rId106"/>
    <hyperlink ref="E118" r:id="rId107"/>
    <hyperlink ref="E119" r:id="rId108"/>
    <hyperlink ref="E120" r:id="rId109"/>
    <hyperlink ref="E121" r:id="rId110"/>
    <hyperlink ref="E122" r:id="rId111"/>
    <hyperlink ref="E123" r:id="rId112"/>
    <hyperlink ref="E124" r:id="rId113"/>
    <hyperlink ref="E125" r:id="rId114"/>
    <hyperlink ref="E126" r:id="rId115"/>
    <hyperlink ref="E127" r:id="rId116"/>
    <hyperlink ref="E130" r:id="rId117"/>
    <hyperlink ref="E131" r:id="rId118"/>
    <hyperlink ref="E132" r:id="rId119"/>
    <hyperlink ref="E133" r:id="rId120"/>
    <hyperlink ref="E134" r:id="rId121"/>
    <hyperlink ref="E135" r:id="rId122"/>
    <hyperlink ref="E136" r:id="rId123"/>
    <hyperlink ref="E137" r:id="rId124"/>
    <hyperlink ref="E138" r:id="rId125"/>
    <hyperlink ref="E139" r:id="rId126"/>
    <hyperlink ref="E140" r:id="rId127"/>
    <hyperlink ref="E141" r:id="rId128"/>
    <hyperlink ref="E142" r:id="rId129"/>
    <hyperlink ref="E143" r:id="rId130"/>
    <hyperlink ref="E144" r:id="rId131"/>
    <hyperlink ref="E145" r:id="rId132"/>
    <hyperlink ref="E146" r:id="rId133"/>
    <hyperlink ref="E147" r:id="rId134"/>
    <hyperlink ref="E148" r:id="rId135"/>
    <hyperlink ref="E149" r:id="rId136"/>
    <hyperlink ref="E150" r:id="rId137"/>
    <hyperlink ref="E151" r:id="rId138"/>
    <hyperlink ref="E152" r:id="rId139"/>
    <hyperlink ref="E153" r:id="rId140"/>
    <hyperlink ref="E156" r:id="rId141"/>
    <hyperlink ref="E157" r:id="rId142"/>
    <hyperlink ref="E158" r:id="rId143"/>
    <hyperlink ref="E159" r:id="rId144"/>
    <hyperlink ref="E160" r:id="rId145"/>
    <hyperlink ref="E161" r:id="rId146"/>
    <hyperlink ref="E162" r:id="rId147"/>
    <hyperlink ref="E163" r:id="rId148"/>
    <hyperlink ref="E164" r:id="rId149"/>
    <hyperlink ref="E165" r:id="rId150"/>
    <hyperlink ref="E166" r:id="rId151"/>
    <hyperlink ref="E167" r:id="rId152"/>
    <hyperlink ref="E168" r:id="rId153"/>
    <hyperlink ref="E169" r:id="rId154"/>
    <hyperlink ref="E170" r:id="rId155"/>
    <hyperlink ref="E171" r:id="rId156"/>
    <hyperlink ref="E172" r:id="rId157"/>
    <hyperlink ref="E173" r:id="rId158"/>
    <hyperlink ref="E174" r:id="rId159"/>
    <hyperlink ref="E175" r:id="rId160"/>
    <hyperlink ref="E176" r:id="rId161"/>
    <hyperlink ref="E177" r:id="rId162"/>
    <hyperlink ref="E178" r:id="rId163"/>
    <hyperlink ref="E179" r:id="rId164"/>
    <hyperlink ref="E182" r:id="rId165"/>
    <hyperlink ref="E183" r:id="rId166"/>
    <hyperlink ref="E184" r:id="rId167"/>
    <hyperlink ref="E185" r:id="rId168"/>
    <hyperlink ref="E186" r:id="rId169"/>
    <hyperlink ref="E187" r:id="rId170"/>
    <hyperlink ref="E188" r:id="rId171"/>
    <hyperlink ref="E189" r:id="rId172"/>
    <hyperlink ref="E190" r:id="rId173"/>
    <hyperlink ref="E191" r:id="rId174"/>
    <hyperlink ref="E192" r:id="rId175"/>
    <hyperlink ref="E193" r:id="rId176"/>
    <hyperlink ref="E194" r:id="rId177"/>
    <hyperlink ref="E195" r:id="rId178"/>
    <hyperlink ref="E196" r:id="rId179"/>
    <hyperlink ref="E197" r:id="rId180"/>
    <hyperlink ref="E198" r:id="rId181"/>
    <hyperlink ref="E199" r:id="rId182"/>
    <hyperlink ref="E200" r:id="rId183"/>
    <hyperlink ref="E201" r:id="rId184"/>
    <hyperlink ref="E202" r:id="rId185"/>
    <hyperlink ref="E203" r:id="rId186"/>
    <hyperlink ref="E204" r:id="rId187"/>
    <hyperlink ref="E205" r:id="rId188"/>
    <hyperlink ref="E208" r:id="rId189"/>
    <hyperlink ref="E209" r:id="rId190"/>
    <hyperlink ref="E210" r:id="rId191"/>
    <hyperlink ref="E211" r:id="rId192"/>
    <hyperlink ref="E212" r:id="rId193"/>
    <hyperlink ref="E213" r:id="rId194"/>
    <hyperlink ref="E214" r:id="rId195"/>
    <hyperlink ref="E215" r:id="rId196"/>
    <hyperlink ref="E216" r:id="rId197"/>
    <hyperlink ref="E217" r:id="rId198"/>
    <hyperlink ref="E218" r:id="rId199"/>
    <hyperlink ref="E219" r:id="rId200"/>
    <hyperlink ref="E220" r:id="rId201"/>
    <hyperlink ref="E221" r:id="rId202"/>
    <hyperlink ref="E222" r:id="rId203"/>
    <hyperlink ref="E223" r:id="rId204"/>
    <hyperlink ref="E224" r:id="rId205"/>
    <hyperlink ref="E225" r:id="rId206"/>
    <hyperlink ref="E226" r:id="rId207"/>
    <hyperlink ref="E227" r:id="rId208"/>
    <hyperlink ref="E228" r:id="rId209"/>
    <hyperlink ref="E229" r:id="rId210"/>
    <hyperlink ref="E230" r:id="rId211"/>
    <hyperlink ref="E231" r:id="rId212"/>
    <hyperlink ref="E234" r:id="rId213"/>
    <hyperlink ref="E235" r:id="rId214"/>
    <hyperlink ref="E236" r:id="rId215"/>
    <hyperlink ref="E237" r:id="rId216"/>
    <hyperlink ref="E238" r:id="rId217"/>
    <hyperlink ref="E239" r:id="rId218"/>
    <hyperlink ref="E240" r:id="rId219"/>
    <hyperlink ref="E241" r:id="rId220"/>
    <hyperlink ref="E242" r:id="rId221"/>
    <hyperlink ref="E243" r:id="rId222"/>
    <hyperlink ref="E244" r:id="rId223"/>
    <hyperlink ref="E245" r:id="rId224"/>
    <hyperlink ref="E246" r:id="rId225"/>
    <hyperlink ref="E247" r:id="rId226"/>
    <hyperlink ref="E248" r:id="rId227"/>
    <hyperlink ref="E249" r:id="rId228"/>
    <hyperlink ref="E250" r:id="rId229"/>
    <hyperlink ref="E251" r:id="rId230"/>
    <hyperlink ref="E252" r:id="rId231"/>
    <hyperlink ref="E253" r:id="rId232"/>
    <hyperlink ref="E254" r:id="rId233"/>
    <hyperlink ref="E255" r:id="rId234"/>
    <hyperlink ref="E256" r:id="rId235"/>
    <hyperlink ref="E257" r:id="rId236"/>
    <hyperlink ref="E260" r:id="rId237"/>
    <hyperlink ref="E261" r:id="rId238"/>
    <hyperlink ref="E262" r:id="rId239"/>
    <hyperlink ref="E263" r:id="rId240"/>
    <hyperlink ref="E264" r:id="rId241"/>
    <hyperlink ref="E265" r:id="rId242"/>
    <hyperlink ref="E266" r:id="rId243"/>
    <hyperlink ref="E267" r:id="rId244"/>
    <hyperlink ref="E268" r:id="rId245"/>
    <hyperlink ref="E269" r:id="rId246"/>
    <hyperlink ref="E270" r:id="rId247"/>
    <hyperlink ref="E271" r:id="rId248"/>
    <hyperlink ref="E272" r:id="rId249"/>
    <hyperlink ref="E273" r:id="rId250"/>
    <hyperlink ref="E274" r:id="rId251"/>
    <hyperlink ref="E275" r:id="rId252"/>
    <hyperlink ref="E276" r:id="rId253"/>
    <hyperlink ref="E277" r:id="rId254"/>
    <hyperlink ref="E278" r:id="rId255"/>
    <hyperlink ref="E279" r:id="rId256"/>
    <hyperlink ref="E280" r:id="rId257"/>
    <hyperlink ref="E281" r:id="rId258"/>
    <hyperlink ref="E282" r:id="rId259"/>
    <hyperlink ref="E283" r:id="rId260"/>
    <hyperlink ref="E286" r:id="rId261"/>
    <hyperlink ref="E287" r:id="rId262"/>
    <hyperlink ref="E288" r:id="rId263"/>
    <hyperlink ref="E289" r:id="rId264"/>
    <hyperlink ref="E290" r:id="rId265"/>
    <hyperlink ref="E291" r:id="rId266"/>
    <hyperlink ref="E292" r:id="rId267"/>
    <hyperlink ref="E293" r:id="rId268"/>
    <hyperlink ref="E294" r:id="rId269"/>
    <hyperlink ref="E295" r:id="rId270"/>
    <hyperlink ref="E296" r:id="rId271"/>
    <hyperlink ref="E297" r:id="rId272"/>
    <hyperlink ref="E298" r:id="rId273"/>
    <hyperlink ref="E299" r:id="rId274"/>
    <hyperlink ref="E300" r:id="rId275"/>
    <hyperlink ref="E301" r:id="rId276"/>
    <hyperlink ref="E302" r:id="rId277"/>
    <hyperlink ref="E303" r:id="rId278"/>
    <hyperlink ref="E304" r:id="rId279"/>
    <hyperlink ref="E305" r:id="rId280"/>
    <hyperlink ref="E306" r:id="rId281"/>
    <hyperlink ref="E307" r:id="rId282"/>
    <hyperlink ref="E308" r:id="rId283"/>
    <hyperlink ref="E309" r:id="rId284"/>
    <hyperlink ref="E312" r:id="rId285"/>
    <hyperlink ref="E313" r:id="rId286"/>
    <hyperlink ref="E314" r:id="rId287"/>
    <hyperlink ref="E315" r:id="rId288"/>
    <hyperlink ref="E316" r:id="rId289"/>
    <hyperlink ref="E317" r:id="rId290"/>
    <hyperlink ref="E318" r:id="rId291"/>
    <hyperlink ref="E319" r:id="rId292"/>
    <hyperlink ref="E320" r:id="rId293"/>
    <hyperlink ref="E321" r:id="rId294"/>
    <hyperlink ref="E322" r:id="rId295"/>
    <hyperlink ref="E323" r:id="rId296"/>
    <hyperlink ref="E324" r:id="rId297"/>
    <hyperlink ref="E325" r:id="rId298"/>
    <hyperlink ref="E326" r:id="rId299"/>
    <hyperlink ref="E327" r:id="rId300"/>
    <hyperlink ref="E328" r:id="rId301"/>
    <hyperlink ref="E329" r:id="rId302"/>
    <hyperlink ref="E330" r:id="rId303"/>
    <hyperlink ref="E331" r:id="rId304"/>
    <hyperlink ref="E332" r:id="rId305"/>
    <hyperlink ref="E333" r:id="rId306"/>
    <hyperlink ref="E334" r:id="rId307"/>
    <hyperlink ref="E335" r:id="rId308"/>
    <hyperlink ref="E338" r:id="rId309"/>
    <hyperlink ref="E339" r:id="rId310"/>
    <hyperlink ref="E340" r:id="rId311"/>
    <hyperlink ref="E341" r:id="rId312"/>
    <hyperlink ref="E342" r:id="rId313"/>
    <hyperlink ref="E343" r:id="rId314"/>
    <hyperlink ref="E344" r:id="rId315"/>
    <hyperlink ref="E345" r:id="rId316"/>
    <hyperlink ref="E346" r:id="rId317"/>
    <hyperlink ref="E347" r:id="rId318"/>
    <hyperlink ref="E348" r:id="rId319"/>
    <hyperlink ref="E349" r:id="rId320"/>
    <hyperlink ref="E350" r:id="rId321"/>
    <hyperlink ref="E351" r:id="rId322"/>
    <hyperlink ref="E352" r:id="rId323"/>
    <hyperlink ref="E353" r:id="rId324"/>
    <hyperlink ref="E354" r:id="rId325"/>
    <hyperlink ref="E355" r:id="rId326"/>
    <hyperlink ref="E356" r:id="rId327"/>
    <hyperlink ref="E357" r:id="rId328"/>
    <hyperlink ref="E358" r:id="rId329"/>
    <hyperlink ref="E359" r:id="rId330"/>
    <hyperlink ref="E360" r:id="rId331"/>
    <hyperlink ref="E361" r:id="rId332"/>
    <hyperlink ref="E364" r:id="rId333"/>
    <hyperlink ref="E365" r:id="rId334"/>
    <hyperlink ref="E366" r:id="rId335"/>
    <hyperlink ref="E367" r:id="rId336"/>
    <hyperlink ref="E368" r:id="rId337"/>
    <hyperlink ref="E369" r:id="rId338"/>
    <hyperlink ref="E370" r:id="rId339"/>
    <hyperlink ref="E371" r:id="rId340"/>
    <hyperlink ref="E372" r:id="rId341"/>
    <hyperlink ref="E373" r:id="rId342"/>
    <hyperlink ref="E374" r:id="rId343"/>
    <hyperlink ref="E375" r:id="rId344"/>
    <hyperlink ref="E376" r:id="rId345"/>
    <hyperlink ref="E377" r:id="rId346"/>
    <hyperlink ref="E378" r:id="rId347"/>
    <hyperlink ref="E379" r:id="rId348"/>
    <hyperlink ref="E380" r:id="rId349"/>
    <hyperlink ref="E381" r:id="rId350"/>
    <hyperlink ref="E382" r:id="rId351"/>
    <hyperlink ref="E383" r:id="rId352"/>
    <hyperlink ref="E384" r:id="rId353"/>
    <hyperlink ref="E385" r:id="rId354"/>
    <hyperlink ref="E386" r:id="rId355"/>
    <hyperlink ref="E387" r:id="rId356"/>
    <hyperlink ref="E390" r:id="rId357"/>
    <hyperlink ref="E391" r:id="rId358"/>
    <hyperlink ref="E392" r:id="rId359"/>
    <hyperlink ref="E393" r:id="rId360"/>
    <hyperlink ref="E394" r:id="rId361"/>
    <hyperlink ref="E395" r:id="rId362"/>
    <hyperlink ref="E396" r:id="rId363"/>
    <hyperlink ref="E397" r:id="rId364"/>
    <hyperlink ref="E398" r:id="rId365"/>
    <hyperlink ref="E399" r:id="rId366"/>
    <hyperlink ref="E400" r:id="rId367"/>
    <hyperlink ref="E401" r:id="rId368"/>
    <hyperlink ref="E402" r:id="rId369"/>
    <hyperlink ref="E403" r:id="rId370"/>
    <hyperlink ref="E404" r:id="rId371"/>
    <hyperlink ref="E405" r:id="rId372"/>
    <hyperlink ref="E406" r:id="rId373"/>
    <hyperlink ref="E407" r:id="rId374"/>
    <hyperlink ref="E408" r:id="rId375"/>
    <hyperlink ref="E409" r:id="rId376"/>
    <hyperlink ref="E410" r:id="rId377"/>
    <hyperlink ref="E411" r:id="rId378"/>
    <hyperlink ref="E412" r:id="rId379"/>
    <hyperlink ref="E413" r:id="rId380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100"/>
  <sheetViews>
    <sheetView workbookViewId="0">
      <selection activeCell="A2" sqref="A2"/>
    </sheetView>
  </sheetViews>
  <sheetFormatPr baseColWidth="10" defaultColWidth="8.83203125" defaultRowHeight="14"/>
  <cols>
    <col min="1" max="1" width="138.83203125" bestFit="1" customWidth="1"/>
    <col min="2" max="2" width="5.5" customWidth="1"/>
    <col min="3" max="3" width="13.1640625" bestFit="1" customWidth="1"/>
    <col min="4" max="4" width="24.5" bestFit="1" customWidth="1"/>
    <col min="5" max="5" width="10.1640625" bestFit="1" customWidth="1"/>
    <col min="6" max="6" width="10.5" bestFit="1" customWidth="1"/>
  </cols>
  <sheetData>
    <row r="1" spans="1:7" s="4" customFormat="1">
      <c r="A1" s="4" t="s">
        <v>1521</v>
      </c>
      <c r="B1" s="4" t="s">
        <v>1526</v>
      </c>
      <c r="C1" s="4" t="s">
        <v>1615</v>
      </c>
      <c r="D1" s="4" t="s">
        <v>1605</v>
      </c>
      <c r="E1" s="4" t="s">
        <v>1522</v>
      </c>
      <c r="F1" s="4" t="s">
        <v>1524</v>
      </c>
      <c r="G1" s="4" t="s">
        <v>1525</v>
      </c>
    </row>
    <row r="2" spans="1:7">
      <c r="A2" t="s">
        <v>1656</v>
      </c>
      <c r="B2" t="str">
        <f>D2&amp;"-"&amp;C2</f>
        <v>Aurora Borealis-Mike Hale</v>
      </c>
      <c r="C2" t="str">
        <f>IF(ISERROR(FIND("major league contract",$A2)),MID($A2,FIND("Signed",$A2)+7,FIND(" to a minor league",A2)-FIND("Signed",$A2)-7),MID($A2,FIND("draft pick",$A2)+11,FIND(" for a signing bonus",A2)-FIND("draft pick",$A2)-11))</f>
        <v>Mike Hale</v>
      </c>
      <c r="D2" t="str">
        <f>MID($A2,1,FIND(":",$A2)-1)</f>
        <v>Aurora Borealis</v>
      </c>
      <c r="E2" t="str">
        <f>IF(ISERROR(FIND("major league contract",$A2)),MID($A2,FIND("$",$A2),FIND(".",$A2,FIND("$",$A2))-FIND("$",$A2)),MID($A2,FIND("$",$A2),FIND(" ",$A2,FIND("$",$A2))-FIND("$",$A2)))</f>
        <v>$2,700,000</v>
      </c>
      <c r="F2" t="str">
        <f>IF(ISERROR(FIND("major league contract",$A2)),"",MID($A2,FIND("major league contract",$A2)+39,LEN($A2)-FIND("major league contract",$A2)-39))</f>
        <v>$3,900,000</v>
      </c>
      <c r="G2" t="str">
        <f>IF(ISERROR(FIND("major league contract",$A2)),"",MID($A2,FIND("major league contract",$A2)-7,1))</f>
        <v>3</v>
      </c>
    </row>
    <row r="3" spans="1:7">
      <c r="A3" t="s">
        <v>1657</v>
      </c>
      <c r="B3" t="str">
        <f t="shared" ref="B3:B66" si="0">D3&amp;"-"&amp;C3</f>
        <v>Reno Zephyrs-Xin Ec</v>
      </c>
      <c r="C3" t="str">
        <f t="shared" ref="C3:C66" si="1">IF(ISERROR(FIND("major league contract",$A3)),MID($A3,FIND("Signed",$A3)+7,FIND(" to a minor league",A3)-FIND("Signed",$A3)-7),MID($A3,FIND("draft pick",$A3)+11,FIND(" for a signing bonus",A3)-FIND("draft pick",$A3)-11))</f>
        <v>Xin Ec</v>
      </c>
      <c r="D3" t="str">
        <f t="shared" ref="D3:D66" si="2">MID($A3,1,FIND(":",$A3)-1)</f>
        <v>Reno Zephyrs</v>
      </c>
      <c r="E3" t="str">
        <f t="shared" ref="E3:E66" si="3">IF(ISERROR(FIND("major league contract",$A3)),MID($A3,FIND("$",$A3),FIND(".",$A3,FIND("$",$A3))-FIND("$",$A3)),MID($A3,FIND("$",$A3),FIND(" ",$A3,FIND("$",$A3))-FIND("$",$A3)))</f>
        <v>$480,000</v>
      </c>
      <c r="F3" t="str">
        <f t="shared" ref="F3:F66" si="4">IF(ISERROR(FIND("major league contract",$A3)),"",MID($A3,FIND("major league contract",$A3)+39,LEN($A3)-FIND("major league contract",$A3)-39))</f>
        <v/>
      </c>
      <c r="G3" t="str">
        <f t="shared" ref="G3:G66" si="5">IF(ISERROR(FIND("major league contract",$A3)),"",MID($A3,FIND("major league contract",$A3)-7,1))</f>
        <v/>
      </c>
    </row>
    <row r="4" spans="1:7">
      <c r="A4" t="s">
        <v>1658</v>
      </c>
      <c r="B4" t="str">
        <f t="shared" si="0"/>
        <v>Yuma Bulldozers-Jarrod Ricks</v>
      </c>
      <c r="C4" t="str">
        <f t="shared" si="1"/>
        <v>Jarrod Ricks</v>
      </c>
      <c r="D4" t="str">
        <f t="shared" si="2"/>
        <v>Yuma Bulldozers</v>
      </c>
      <c r="E4" t="str">
        <f t="shared" si="3"/>
        <v>$8,000,000</v>
      </c>
      <c r="F4" t="str">
        <f t="shared" si="4"/>
        <v>$3,750,000</v>
      </c>
      <c r="G4" t="str">
        <f t="shared" si="5"/>
        <v>3</v>
      </c>
    </row>
    <row r="5" spans="1:7">
      <c r="A5" t="s">
        <v>1659</v>
      </c>
      <c r="B5" t="str">
        <f t="shared" si="0"/>
        <v>Reno Zephyrs-Tom Rhodes</v>
      </c>
      <c r="C5" t="str">
        <f t="shared" si="1"/>
        <v>Tom Rhodes</v>
      </c>
      <c r="D5" t="str">
        <f t="shared" si="2"/>
        <v>Reno Zephyrs</v>
      </c>
      <c r="E5" t="str">
        <f t="shared" si="3"/>
        <v>$310,000</v>
      </c>
      <c r="F5" t="str">
        <f t="shared" si="4"/>
        <v/>
      </c>
      <c r="G5" t="str">
        <f t="shared" si="5"/>
        <v/>
      </c>
    </row>
    <row r="6" spans="1:7">
      <c r="A6" t="s">
        <v>1660</v>
      </c>
      <c r="B6" t="str">
        <f t="shared" si="0"/>
        <v>Tempe Knights-George Lee</v>
      </c>
      <c r="C6" t="str">
        <f t="shared" si="1"/>
        <v>George Lee</v>
      </c>
      <c r="D6" t="str">
        <f t="shared" si="2"/>
        <v>Tempe Knights</v>
      </c>
      <c r="E6" t="str">
        <f t="shared" si="3"/>
        <v>$6,760,000</v>
      </c>
      <c r="F6" t="str">
        <f t="shared" si="4"/>
        <v/>
      </c>
      <c r="G6" t="str">
        <f t="shared" si="5"/>
        <v/>
      </c>
    </row>
    <row r="7" spans="1:7">
      <c r="A7" t="s">
        <v>1661</v>
      </c>
      <c r="B7" t="str">
        <f t="shared" si="0"/>
        <v>Reno Zephyrs-Sancho Yánez</v>
      </c>
      <c r="C7" t="str">
        <f t="shared" si="1"/>
        <v>Sancho Yánez</v>
      </c>
      <c r="D7" t="str">
        <f t="shared" si="2"/>
        <v>Reno Zephyrs</v>
      </c>
      <c r="E7" t="str">
        <f t="shared" si="3"/>
        <v>$640,000</v>
      </c>
      <c r="F7" t="str">
        <f t="shared" si="4"/>
        <v/>
      </c>
      <c r="G7" t="str">
        <f t="shared" si="5"/>
        <v/>
      </c>
    </row>
    <row r="8" spans="1:7">
      <c r="A8" t="s">
        <v>1662</v>
      </c>
      <c r="B8" t="str">
        <f t="shared" si="0"/>
        <v>Yuma Bulldozers-Cory Cole</v>
      </c>
      <c r="C8" t="str">
        <f t="shared" si="1"/>
        <v>Cory Cole</v>
      </c>
      <c r="D8" t="str">
        <f t="shared" si="2"/>
        <v>Yuma Bulldozers</v>
      </c>
      <c r="E8" t="str">
        <f t="shared" si="3"/>
        <v>$310,000</v>
      </c>
      <c r="F8" t="str">
        <f t="shared" si="4"/>
        <v/>
      </c>
      <c r="G8" t="str">
        <f t="shared" si="5"/>
        <v/>
      </c>
    </row>
    <row r="9" spans="1:7">
      <c r="A9" t="s">
        <v>1663</v>
      </c>
      <c r="B9" t="str">
        <f t="shared" si="0"/>
        <v>Reno Zephyrs-Caden Stewart</v>
      </c>
      <c r="C9" t="str">
        <f t="shared" si="1"/>
        <v>Caden Stewart</v>
      </c>
      <c r="D9" t="str">
        <f t="shared" si="2"/>
        <v>Reno Zephyrs</v>
      </c>
      <c r="E9" t="str">
        <f t="shared" si="3"/>
        <v>$250,000</v>
      </c>
      <c r="F9" t="str">
        <f t="shared" si="4"/>
        <v/>
      </c>
      <c r="G9" t="str">
        <f t="shared" si="5"/>
        <v/>
      </c>
    </row>
    <row r="10" spans="1:7">
      <c r="A10" t="s">
        <v>1582</v>
      </c>
      <c r="B10" t="str">
        <f t="shared" si="0"/>
        <v>Yuma Bulldozers-Jeff Wolfe</v>
      </c>
      <c r="C10" t="str">
        <f t="shared" si="1"/>
        <v>Jeff Wolfe</v>
      </c>
      <c r="D10" t="str">
        <f t="shared" si="2"/>
        <v>Yuma Bulldozers</v>
      </c>
      <c r="E10" t="str">
        <f t="shared" si="3"/>
        <v>$750,000</v>
      </c>
      <c r="F10" t="str">
        <f t="shared" si="4"/>
        <v/>
      </c>
      <c r="G10" t="str">
        <f t="shared" si="5"/>
        <v/>
      </c>
    </row>
    <row r="11" spans="1:7">
      <c r="A11" t="s">
        <v>1583</v>
      </c>
      <c r="B11" t="str">
        <f t="shared" si="0"/>
        <v>Tempe Knights-Ramón García</v>
      </c>
      <c r="C11" t="str">
        <f t="shared" si="1"/>
        <v>Ramón García</v>
      </c>
      <c r="D11" t="str">
        <f t="shared" si="2"/>
        <v>Tempe Knights</v>
      </c>
      <c r="E11" t="str">
        <f t="shared" si="3"/>
        <v>$210,000</v>
      </c>
      <c r="F11" t="str">
        <f t="shared" si="4"/>
        <v/>
      </c>
      <c r="G11" t="str">
        <f t="shared" si="5"/>
        <v/>
      </c>
    </row>
    <row r="12" spans="1:7">
      <c r="A12" t="s">
        <v>1584</v>
      </c>
      <c r="B12" t="str">
        <f t="shared" si="0"/>
        <v>Tempe Knights-Lance Fields</v>
      </c>
      <c r="C12" t="str">
        <f t="shared" si="1"/>
        <v>Lance Fields</v>
      </c>
      <c r="D12" t="str">
        <f t="shared" si="2"/>
        <v>Tempe Knights</v>
      </c>
      <c r="E12" t="str">
        <f t="shared" si="3"/>
        <v>$220,000</v>
      </c>
      <c r="F12" t="str">
        <f t="shared" si="4"/>
        <v/>
      </c>
      <c r="G12" t="str">
        <f t="shared" si="5"/>
        <v/>
      </c>
    </row>
    <row r="13" spans="1:7">
      <c r="A13" t="s">
        <v>1585</v>
      </c>
      <c r="B13" t="str">
        <f t="shared" si="0"/>
        <v>Tempe Knights-Bruce Miller</v>
      </c>
      <c r="C13" t="str">
        <f t="shared" si="1"/>
        <v>Bruce Miller</v>
      </c>
      <c r="D13" t="str">
        <f t="shared" si="2"/>
        <v>Tempe Knights</v>
      </c>
      <c r="E13" t="str">
        <f t="shared" si="3"/>
        <v>$4,030,000</v>
      </c>
      <c r="F13" t="str">
        <f t="shared" si="4"/>
        <v/>
      </c>
      <c r="G13" t="str">
        <f t="shared" si="5"/>
        <v/>
      </c>
    </row>
    <row r="14" spans="1:7">
      <c r="A14" t="s">
        <v>1586</v>
      </c>
      <c r="B14" t="str">
        <f t="shared" si="0"/>
        <v>Duluth Warriors-Juan Ortíz</v>
      </c>
      <c r="C14" t="str">
        <f t="shared" si="1"/>
        <v>Juan Ortíz</v>
      </c>
      <c r="D14" t="str">
        <f t="shared" si="2"/>
        <v>Duluth Warriors</v>
      </c>
      <c r="E14" t="str">
        <f t="shared" si="3"/>
        <v>$220,000</v>
      </c>
      <c r="F14" t="str">
        <f t="shared" si="4"/>
        <v/>
      </c>
      <c r="G14" t="str">
        <f t="shared" si="5"/>
        <v/>
      </c>
    </row>
    <row r="15" spans="1:7">
      <c r="A15" t="s">
        <v>1587</v>
      </c>
      <c r="B15" t="str">
        <f t="shared" si="0"/>
        <v>Yuma Bulldozers-Spencer Cox</v>
      </c>
      <c r="C15" t="str">
        <f t="shared" si="1"/>
        <v>Spencer Cox</v>
      </c>
      <c r="D15" t="str">
        <f t="shared" si="2"/>
        <v>Yuma Bulldozers</v>
      </c>
      <c r="E15" t="str">
        <f t="shared" si="3"/>
        <v>$370,000</v>
      </c>
      <c r="F15" t="str">
        <f t="shared" si="4"/>
        <v/>
      </c>
      <c r="G15" t="str">
        <f t="shared" si="5"/>
        <v/>
      </c>
    </row>
    <row r="16" spans="1:7">
      <c r="A16" t="s">
        <v>1588</v>
      </c>
      <c r="B16" t="str">
        <f t="shared" si="0"/>
        <v>London Underground-Bob Neal</v>
      </c>
      <c r="C16" t="str">
        <f t="shared" si="1"/>
        <v>Bob Neal</v>
      </c>
      <c r="D16" t="str">
        <f t="shared" si="2"/>
        <v>London Underground</v>
      </c>
      <c r="E16" t="str">
        <f t="shared" si="3"/>
        <v>$830,000</v>
      </c>
      <c r="F16" t="str">
        <f t="shared" si="4"/>
        <v/>
      </c>
      <c r="G16" t="str">
        <f t="shared" si="5"/>
        <v/>
      </c>
    </row>
    <row r="17" spans="1:7">
      <c r="A17" t="s">
        <v>1589</v>
      </c>
      <c r="B17" t="str">
        <f t="shared" si="0"/>
        <v>Duluth Warriors-Ángel Colón</v>
      </c>
      <c r="C17" t="str">
        <f t="shared" si="1"/>
        <v>Ángel Colón</v>
      </c>
      <c r="D17" t="str">
        <f t="shared" si="2"/>
        <v>Duluth Warriors</v>
      </c>
      <c r="E17" t="str">
        <f t="shared" si="3"/>
        <v>$250,000</v>
      </c>
      <c r="F17" t="str">
        <f t="shared" si="4"/>
        <v/>
      </c>
      <c r="G17" t="str">
        <f t="shared" si="5"/>
        <v/>
      </c>
    </row>
    <row r="18" spans="1:7">
      <c r="A18" t="s">
        <v>1590</v>
      </c>
      <c r="B18" t="str">
        <f t="shared" si="0"/>
        <v>Duluth Warriors-Xavier Mota</v>
      </c>
      <c r="C18" t="str">
        <f t="shared" si="1"/>
        <v>Xavier Mota</v>
      </c>
      <c r="D18" t="str">
        <f t="shared" si="2"/>
        <v>Duluth Warriors</v>
      </c>
      <c r="E18" t="str">
        <f t="shared" si="3"/>
        <v>$340,000</v>
      </c>
      <c r="F18" t="str">
        <f t="shared" si="4"/>
        <v/>
      </c>
      <c r="G18" t="str">
        <f t="shared" si="5"/>
        <v/>
      </c>
    </row>
    <row r="19" spans="1:7">
      <c r="A19" t="s">
        <v>1591</v>
      </c>
      <c r="B19" t="str">
        <f t="shared" si="0"/>
        <v>Aurora Borealis-Greg Chaney</v>
      </c>
      <c r="C19" t="str">
        <f t="shared" si="1"/>
        <v>Greg Chaney</v>
      </c>
      <c r="D19" t="str">
        <f t="shared" si="2"/>
        <v>Aurora Borealis</v>
      </c>
      <c r="E19" t="str">
        <f t="shared" si="3"/>
        <v>$200,000</v>
      </c>
      <c r="F19" t="str">
        <f t="shared" si="4"/>
        <v/>
      </c>
      <c r="G19" t="str">
        <f t="shared" si="5"/>
        <v/>
      </c>
    </row>
    <row r="20" spans="1:7">
      <c r="A20" t="s">
        <v>1592</v>
      </c>
      <c r="B20" t="str">
        <f t="shared" si="0"/>
        <v>Duluth Warriors-Jimmy Hudson</v>
      </c>
      <c r="C20" t="str">
        <f t="shared" si="1"/>
        <v>Jimmy Hudson</v>
      </c>
      <c r="D20" t="str">
        <f t="shared" si="2"/>
        <v>Duluth Warriors</v>
      </c>
      <c r="E20" t="str">
        <f t="shared" si="3"/>
        <v>$3,100,000</v>
      </c>
      <c r="F20" t="str">
        <f t="shared" si="4"/>
        <v/>
      </c>
      <c r="G20" t="str">
        <f t="shared" si="5"/>
        <v/>
      </c>
    </row>
    <row r="21" spans="1:7">
      <c r="A21" t="s">
        <v>1593</v>
      </c>
      <c r="B21" t="str">
        <f t="shared" si="0"/>
        <v>Aurora Borealis-Carlos Pérez</v>
      </c>
      <c r="C21" t="str">
        <f t="shared" si="1"/>
        <v>Carlos Pérez</v>
      </c>
      <c r="D21" t="str">
        <f t="shared" si="2"/>
        <v>Aurora Borealis</v>
      </c>
      <c r="E21" t="str">
        <f t="shared" si="3"/>
        <v>$1,180,000</v>
      </c>
      <c r="F21" t="str">
        <f t="shared" si="4"/>
        <v/>
      </c>
      <c r="G21" t="str">
        <f t="shared" si="5"/>
        <v/>
      </c>
    </row>
    <row r="22" spans="1:7">
      <c r="A22" t="s">
        <v>1594</v>
      </c>
      <c r="B22" t="str">
        <f t="shared" si="0"/>
        <v>Fargo Dinosaurs-César Ortega</v>
      </c>
      <c r="C22" t="str">
        <f t="shared" si="1"/>
        <v>César Ortega</v>
      </c>
      <c r="D22" t="str">
        <f t="shared" si="2"/>
        <v>Fargo Dinosaurs</v>
      </c>
      <c r="E22" t="str">
        <f t="shared" si="3"/>
        <v>$360,000</v>
      </c>
      <c r="F22" t="str">
        <f t="shared" si="4"/>
        <v/>
      </c>
      <c r="G22" t="str">
        <f t="shared" si="5"/>
        <v/>
      </c>
    </row>
    <row r="23" spans="1:7">
      <c r="A23" t="s">
        <v>1595</v>
      </c>
      <c r="B23" t="str">
        <f t="shared" si="0"/>
        <v>Kalamazoo Badgers-John Baker</v>
      </c>
      <c r="C23" t="str">
        <f t="shared" si="1"/>
        <v>John Baker</v>
      </c>
      <c r="D23" t="str">
        <f t="shared" si="2"/>
        <v>Kalamazoo Badgers</v>
      </c>
      <c r="E23" t="str">
        <f t="shared" si="3"/>
        <v>$430,000</v>
      </c>
      <c r="F23" t="str">
        <f t="shared" si="4"/>
        <v/>
      </c>
      <c r="G23" t="str">
        <f t="shared" si="5"/>
        <v/>
      </c>
    </row>
    <row r="24" spans="1:7">
      <c r="A24" t="s">
        <v>1596</v>
      </c>
      <c r="B24" t="str">
        <f t="shared" si="0"/>
        <v>London Underground-Tom Rucker</v>
      </c>
      <c r="C24" t="str">
        <f t="shared" si="1"/>
        <v>Tom Rucker</v>
      </c>
      <c r="D24" t="str">
        <f t="shared" si="2"/>
        <v>London Underground</v>
      </c>
      <c r="E24" t="str">
        <f t="shared" si="3"/>
        <v>$280,000</v>
      </c>
      <c r="F24" t="str">
        <f t="shared" si="4"/>
        <v/>
      </c>
      <c r="G24" t="str">
        <f t="shared" si="5"/>
        <v/>
      </c>
    </row>
    <row r="25" spans="1:7">
      <c r="A25" t="s">
        <v>1597</v>
      </c>
      <c r="B25" t="str">
        <f t="shared" si="0"/>
        <v>Kalamazoo Badgers-Simon Jones</v>
      </c>
      <c r="C25" t="str">
        <f t="shared" si="1"/>
        <v>Simon Jones</v>
      </c>
      <c r="D25" t="str">
        <f t="shared" si="2"/>
        <v>Kalamazoo Badgers</v>
      </c>
      <c r="E25" t="str">
        <f t="shared" si="3"/>
        <v>$2,420,000</v>
      </c>
      <c r="F25" t="str">
        <f t="shared" si="4"/>
        <v/>
      </c>
      <c r="G25" t="str">
        <f t="shared" si="5"/>
        <v/>
      </c>
    </row>
    <row r="26" spans="1:7">
      <c r="A26" t="s">
        <v>1598</v>
      </c>
      <c r="B26" t="str">
        <f t="shared" si="0"/>
        <v>Omaha Cyclones-Lawrence McCoy</v>
      </c>
      <c r="C26" t="str">
        <f t="shared" si="1"/>
        <v>Lawrence McCoy</v>
      </c>
      <c r="D26" t="str">
        <f t="shared" si="2"/>
        <v>Omaha Cyclones</v>
      </c>
      <c r="E26" t="str">
        <f t="shared" si="3"/>
        <v>$178,000</v>
      </c>
      <c r="F26" t="str">
        <f t="shared" si="4"/>
        <v/>
      </c>
      <c r="G26" t="str">
        <f t="shared" si="5"/>
        <v/>
      </c>
    </row>
    <row r="27" spans="1:7">
      <c r="A27" t="s">
        <v>1599</v>
      </c>
      <c r="B27" t="str">
        <f t="shared" si="0"/>
        <v>Tempe Knights-Fernando Moreno</v>
      </c>
      <c r="C27" t="str">
        <f t="shared" si="1"/>
        <v>Fernando Moreno</v>
      </c>
      <c r="D27" t="str">
        <f t="shared" si="2"/>
        <v>Tempe Knights</v>
      </c>
      <c r="E27" t="str">
        <f t="shared" si="3"/>
        <v>$770,000</v>
      </c>
      <c r="F27" t="str">
        <f t="shared" si="4"/>
        <v/>
      </c>
      <c r="G27" t="str">
        <f t="shared" si="5"/>
        <v/>
      </c>
    </row>
    <row r="28" spans="1:7">
      <c r="A28" t="s">
        <v>1600</v>
      </c>
      <c r="B28" t="str">
        <f t="shared" si="0"/>
        <v>Bakersfield Bears-Tim Altmann</v>
      </c>
      <c r="C28" t="str">
        <f t="shared" si="1"/>
        <v>Tim Altmann</v>
      </c>
      <c r="D28" t="str">
        <f t="shared" si="2"/>
        <v>Bakersfield Bears</v>
      </c>
      <c r="E28" t="str">
        <f t="shared" si="3"/>
        <v>$300,000</v>
      </c>
      <c r="F28" t="str">
        <f t="shared" si="4"/>
        <v/>
      </c>
      <c r="G28" t="str">
        <f t="shared" si="5"/>
        <v/>
      </c>
    </row>
    <row r="29" spans="1:7">
      <c r="A29" t="s">
        <v>1563</v>
      </c>
      <c r="B29" t="str">
        <f t="shared" si="0"/>
        <v>Fargo Dinosaurs-Orlando Ramos</v>
      </c>
      <c r="C29" t="str">
        <f t="shared" si="1"/>
        <v>Orlando Ramos</v>
      </c>
      <c r="D29" t="str">
        <f t="shared" si="2"/>
        <v>Fargo Dinosaurs</v>
      </c>
      <c r="E29" t="str">
        <f t="shared" si="3"/>
        <v>$205,000</v>
      </c>
      <c r="F29" t="str">
        <f t="shared" si="4"/>
        <v/>
      </c>
      <c r="G29" t="str">
        <f t="shared" si="5"/>
        <v/>
      </c>
    </row>
    <row r="30" spans="1:7">
      <c r="A30" t="s">
        <v>1564</v>
      </c>
      <c r="B30" t="str">
        <f t="shared" si="0"/>
        <v>Bakersfield Bears-Reid Bonner</v>
      </c>
      <c r="C30" t="str">
        <f t="shared" si="1"/>
        <v>Reid Bonner</v>
      </c>
      <c r="D30" t="str">
        <f t="shared" si="2"/>
        <v>Bakersfield Bears</v>
      </c>
      <c r="E30" t="str">
        <f t="shared" si="3"/>
        <v>$220,000</v>
      </c>
      <c r="F30" t="str">
        <f t="shared" si="4"/>
        <v/>
      </c>
      <c r="G30" t="str">
        <f t="shared" si="5"/>
        <v/>
      </c>
    </row>
    <row r="31" spans="1:7">
      <c r="A31" t="s">
        <v>1565</v>
      </c>
      <c r="B31" t="str">
        <f t="shared" si="0"/>
        <v>Aurora Borealis-Craig Russell</v>
      </c>
      <c r="C31" t="str">
        <f t="shared" si="1"/>
        <v>Craig Russell</v>
      </c>
      <c r="D31" t="str">
        <f t="shared" si="2"/>
        <v>Aurora Borealis</v>
      </c>
      <c r="E31" t="str">
        <f t="shared" si="3"/>
        <v>$150,000</v>
      </c>
      <c r="F31" t="str">
        <f t="shared" si="4"/>
        <v/>
      </c>
      <c r="G31" t="str">
        <f t="shared" si="5"/>
        <v/>
      </c>
    </row>
    <row r="32" spans="1:7">
      <c r="A32" t="s">
        <v>1566</v>
      </c>
      <c r="B32" t="str">
        <f t="shared" si="0"/>
        <v>Yuma Bulldozers-Victor Latham</v>
      </c>
      <c r="C32" t="str">
        <f t="shared" si="1"/>
        <v>Victor Latham</v>
      </c>
      <c r="D32" t="str">
        <f t="shared" si="2"/>
        <v>Yuma Bulldozers</v>
      </c>
      <c r="E32" t="str">
        <f t="shared" si="3"/>
        <v>$4,240,000</v>
      </c>
      <c r="F32" t="str">
        <f t="shared" si="4"/>
        <v/>
      </c>
      <c r="G32" t="str">
        <f t="shared" si="5"/>
        <v/>
      </c>
    </row>
    <row r="33" spans="1:7">
      <c r="A33" t="s">
        <v>1567</v>
      </c>
      <c r="B33" t="str">
        <f t="shared" si="0"/>
        <v>Fargo Dinosaurs-Víctor Franco</v>
      </c>
      <c r="C33" t="str">
        <f t="shared" si="1"/>
        <v>Víctor Franco</v>
      </c>
      <c r="D33" t="str">
        <f t="shared" si="2"/>
        <v>Fargo Dinosaurs</v>
      </c>
      <c r="E33" t="str">
        <f t="shared" si="3"/>
        <v>$1,060,000</v>
      </c>
      <c r="F33" t="str">
        <f t="shared" si="4"/>
        <v/>
      </c>
      <c r="G33" t="str">
        <f t="shared" si="5"/>
        <v/>
      </c>
    </row>
    <row r="34" spans="1:7">
      <c r="A34" t="s">
        <v>1568</v>
      </c>
      <c r="B34" t="str">
        <f t="shared" si="0"/>
        <v>Aurora Borealis-Paul Carlisle</v>
      </c>
      <c r="C34" t="str">
        <f t="shared" si="1"/>
        <v>Paul Carlisle</v>
      </c>
      <c r="D34" t="str">
        <f t="shared" si="2"/>
        <v>Aurora Borealis</v>
      </c>
      <c r="E34" t="str">
        <f t="shared" si="3"/>
        <v>$450,000</v>
      </c>
      <c r="F34" t="str">
        <f t="shared" si="4"/>
        <v/>
      </c>
      <c r="G34" t="str">
        <f t="shared" si="5"/>
        <v/>
      </c>
    </row>
    <row r="35" spans="1:7">
      <c r="A35" t="s">
        <v>1569</v>
      </c>
      <c r="B35" t="str">
        <f t="shared" si="0"/>
        <v>Yuma Bulldozers-Stephen Walsh</v>
      </c>
      <c r="C35" t="str">
        <f t="shared" si="1"/>
        <v>Stephen Walsh</v>
      </c>
      <c r="D35" t="str">
        <f t="shared" si="2"/>
        <v>Yuma Bulldozers</v>
      </c>
      <c r="E35" t="str">
        <f t="shared" si="3"/>
        <v>$670,000</v>
      </c>
      <c r="F35" t="str">
        <f t="shared" si="4"/>
        <v/>
      </c>
      <c r="G35" t="str">
        <f t="shared" si="5"/>
        <v/>
      </c>
    </row>
    <row r="36" spans="1:7">
      <c r="A36" t="s">
        <v>1570</v>
      </c>
      <c r="B36" t="str">
        <f t="shared" si="0"/>
        <v>Aurora Borealis-Manuel Galloca</v>
      </c>
      <c r="C36" t="str">
        <f t="shared" si="1"/>
        <v>Manuel Galloca</v>
      </c>
      <c r="D36" t="str">
        <f t="shared" si="2"/>
        <v>Aurora Borealis</v>
      </c>
      <c r="E36" t="str">
        <f t="shared" si="3"/>
        <v>$250,000</v>
      </c>
      <c r="F36" t="str">
        <f t="shared" si="4"/>
        <v/>
      </c>
      <c r="G36" t="str">
        <f t="shared" si="5"/>
        <v/>
      </c>
    </row>
    <row r="37" spans="1:7">
      <c r="A37" t="s">
        <v>1571</v>
      </c>
      <c r="B37" t="str">
        <f t="shared" si="0"/>
        <v>Yuma Bulldozers-Claudio Andrés</v>
      </c>
      <c r="C37" t="str">
        <f t="shared" si="1"/>
        <v>Claudio Andrés</v>
      </c>
      <c r="D37" t="str">
        <f t="shared" si="2"/>
        <v>Yuma Bulldozers</v>
      </c>
      <c r="E37" t="str">
        <f t="shared" si="3"/>
        <v>$260,000</v>
      </c>
      <c r="F37" t="str">
        <f t="shared" si="4"/>
        <v/>
      </c>
      <c r="G37" t="str">
        <f t="shared" si="5"/>
        <v/>
      </c>
    </row>
    <row r="38" spans="1:7">
      <c r="A38" t="s">
        <v>1572</v>
      </c>
      <c r="B38" t="str">
        <f t="shared" si="0"/>
        <v>Duluth Warriors-Adrián Navarro</v>
      </c>
      <c r="C38" t="str">
        <f t="shared" si="1"/>
        <v>Adrián Navarro</v>
      </c>
      <c r="D38" t="str">
        <f t="shared" si="2"/>
        <v>Duluth Warriors</v>
      </c>
      <c r="E38" t="str">
        <f t="shared" si="3"/>
        <v>$250,000</v>
      </c>
      <c r="F38" t="str">
        <f t="shared" si="4"/>
        <v/>
      </c>
      <c r="G38" t="str">
        <f t="shared" si="5"/>
        <v/>
      </c>
    </row>
    <row r="39" spans="1:7">
      <c r="A39" t="s">
        <v>1573</v>
      </c>
      <c r="B39" t="str">
        <f t="shared" si="0"/>
        <v>Yuma Bulldozers-Hai-liang Choe</v>
      </c>
      <c r="C39" t="str">
        <f t="shared" si="1"/>
        <v>Hai-liang Choe</v>
      </c>
      <c r="D39" t="str">
        <f t="shared" si="2"/>
        <v>Yuma Bulldozers</v>
      </c>
      <c r="E39" t="str">
        <f t="shared" si="3"/>
        <v>$2,160,000</v>
      </c>
      <c r="F39" t="str">
        <f t="shared" si="4"/>
        <v/>
      </c>
      <c r="G39" t="str">
        <f t="shared" si="5"/>
        <v/>
      </c>
    </row>
    <row r="40" spans="1:7">
      <c r="A40" t="s">
        <v>1574</v>
      </c>
      <c r="B40" t="str">
        <f t="shared" si="0"/>
        <v>Yuma Bulldozers-Rubén Hernández</v>
      </c>
      <c r="C40" t="str">
        <f t="shared" si="1"/>
        <v>Rubén Hernández</v>
      </c>
      <c r="D40" t="str">
        <f t="shared" si="2"/>
        <v>Yuma Bulldozers</v>
      </c>
      <c r="E40" t="str">
        <f t="shared" si="3"/>
        <v>$450,000</v>
      </c>
      <c r="F40" t="str">
        <f t="shared" si="4"/>
        <v/>
      </c>
      <c r="G40" t="str">
        <f t="shared" si="5"/>
        <v/>
      </c>
    </row>
    <row r="41" spans="1:7">
      <c r="A41" t="s">
        <v>1575</v>
      </c>
      <c r="B41" t="str">
        <f t="shared" si="0"/>
        <v>Florida Featherheads-Scott Bell</v>
      </c>
      <c r="C41" t="str">
        <f t="shared" si="1"/>
        <v>Scott Bell</v>
      </c>
      <c r="D41" t="str">
        <f t="shared" si="2"/>
        <v>Florida Featherheads</v>
      </c>
      <c r="E41" t="str">
        <f t="shared" si="3"/>
        <v>$400,000</v>
      </c>
      <c r="F41" t="str">
        <f t="shared" si="4"/>
        <v/>
      </c>
      <c r="G41" t="str">
        <f t="shared" si="5"/>
        <v/>
      </c>
    </row>
    <row r="42" spans="1:7">
      <c r="A42" t="s">
        <v>1576</v>
      </c>
      <c r="B42" t="str">
        <f t="shared" si="0"/>
        <v>Kalamazoo Badgers-Scott Wiggins</v>
      </c>
      <c r="C42" t="str">
        <f t="shared" si="1"/>
        <v>Scott Wiggins</v>
      </c>
      <c r="D42" t="str">
        <f t="shared" si="2"/>
        <v>Kalamazoo Badgers</v>
      </c>
      <c r="E42" t="str">
        <f t="shared" si="3"/>
        <v>$1,740,000</v>
      </c>
      <c r="F42" t="str">
        <f t="shared" si="4"/>
        <v/>
      </c>
      <c r="G42" t="str">
        <f t="shared" si="5"/>
        <v/>
      </c>
    </row>
    <row r="43" spans="1:7">
      <c r="A43" t="s">
        <v>1577</v>
      </c>
      <c r="B43" t="str">
        <f t="shared" si="0"/>
        <v>Gloucester Fishermen-Jeff Lewis</v>
      </c>
      <c r="C43" t="str">
        <f t="shared" si="1"/>
        <v>Jeff Lewis</v>
      </c>
      <c r="D43" t="str">
        <f t="shared" si="2"/>
        <v>Gloucester Fishermen</v>
      </c>
      <c r="E43" t="str">
        <f t="shared" si="3"/>
        <v>$240,000</v>
      </c>
      <c r="F43" t="str">
        <f t="shared" si="4"/>
        <v/>
      </c>
      <c r="G43" t="str">
        <f t="shared" si="5"/>
        <v/>
      </c>
    </row>
    <row r="44" spans="1:7">
      <c r="A44" t="s">
        <v>1578</v>
      </c>
      <c r="B44" t="str">
        <f t="shared" si="0"/>
        <v>New Jersey Hitmen-Daniel Sharpe</v>
      </c>
      <c r="C44" t="str">
        <f t="shared" si="1"/>
        <v>Daniel Sharpe</v>
      </c>
      <c r="D44" t="str">
        <f t="shared" si="2"/>
        <v>New Jersey Hitmen</v>
      </c>
      <c r="E44" t="str">
        <f t="shared" si="3"/>
        <v>$2,700,000</v>
      </c>
      <c r="F44" t="str">
        <f t="shared" si="4"/>
        <v/>
      </c>
      <c r="G44" t="str">
        <f t="shared" si="5"/>
        <v/>
      </c>
    </row>
    <row r="45" spans="1:7">
      <c r="A45" t="s">
        <v>1579</v>
      </c>
      <c r="B45" t="str">
        <f t="shared" si="0"/>
        <v>Yuma Bulldozers-Miguel González</v>
      </c>
      <c r="C45" t="str">
        <f t="shared" si="1"/>
        <v>Miguel González</v>
      </c>
      <c r="D45" t="str">
        <f t="shared" si="2"/>
        <v>Yuma Bulldozers</v>
      </c>
      <c r="E45" t="str">
        <f t="shared" si="3"/>
        <v>$250,000</v>
      </c>
      <c r="F45" t="str">
        <f t="shared" si="4"/>
        <v/>
      </c>
      <c r="G45" t="str">
        <f t="shared" si="5"/>
        <v/>
      </c>
    </row>
    <row r="46" spans="1:7">
      <c r="A46" t="s">
        <v>1580</v>
      </c>
      <c r="B46" t="str">
        <f t="shared" si="0"/>
        <v>Aurora Borealis-Jorge Rodríguez</v>
      </c>
      <c r="C46" t="str">
        <f t="shared" si="1"/>
        <v>Jorge Rodríguez</v>
      </c>
      <c r="D46" t="str">
        <f t="shared" si="2"/>
        <v>Aurora Borealis</v>
      </c>
      <c r="E46" t="str">
        <f t="shared" si="3"/>
        <v>$350,000</v>
      </c>
      <c r="F46" t="str">
        <f t="shared" si="4"/>
        <v/>
      </c>
      <c r="G46" t="str">
        <f t="shared" si="5"/>
        <v/>
      </c>
    </row>
    <row r="47" spans="1:7">
      <c r="A47" t="s">
        <v>1581</v>
      </c>
      <c r="B47" t="str">
        <f t="shared" si="0"/>
        <v>Kalamazoo Badgers-Forrest Murphy</v>
      </c>
      <c r="C47" t="str">
        <f t="shared" si="1"/>
        <v>Forrest Murphy</v>
      </c>
      <c r="D47" t="str">
        <f t="shared" si="2"/>
        <v>Kalamazoo Badgers</v>
      </c>
      <c r="E47" t="str">
        <f t="shared" si="3"/>
        <v>$640,000</v>
      </c>
      <c r="F47" t="str">
        <f t="shared" si="4"/>
        <v/>
      </c>
      <c r="G47" t="str">
        <f t="shared" si="5"/>
        <v/>
      </c>
    </row>
    <row r="48" spans="1:7">
      <c r="A48" t="s">
        <v>1545</v>
      </c>
      <c r="B48" t="str">
        <f t="shared" si="0"/>
        <v>London Underground-Yong-sung Kim</v>
      </c>
      <c r="C48" t="str">
        <f t="shared" si="1"/>
        <v>Yong-sung Kim</v>
      </c>
      <c r="D48" t="str">
        <f t="shared" si="2"/>
        <v>London Underground</v>
      </c>
      <c r="E48" t="str">
        <f t="shared" si="3"/>
        <v>$420,000</v>
      </c>
      <c r="F48" t="str">
        <f t="shared" si="4"/>
        <v/>
      </c>
      <c r="G48" t="str">
        <f t="shared" si="5"/>
        <v/>
      </c>
    </row>
    <row r="49" spans="1:7">
      <c r="A49" t="s">
        <v>1546</v>
      </c>
      <c r="B49" t="str">
        <f t="shared" si="0"/>
        <v>New Jersey Hitmen-Júlio González</v>
      </c>
      <c r="C49" t="str">
        <f t="shared" si="1"/>
        <v>Júlio González</v>
      </c>
      <c r="D49" t="str">
        <f t="shared" si="2"/>
        <v>New Jersey Hitmen</v>
      </c>
      <c r="E49" t="str">
        <f t="shared" si="3"/>
        <v>$1,100,000</v>
      </c>
      <c r="F49" t="str">
        <f t="shared" si="4"/>
        <v/>
      </c>
      <c r="G49" t="str">
        <f t="shared" si="5"/>
        <v/>
      </c>
    </row>
    <row r="50" spans="1:7">
      <c r="A50" t="s">
        <v>1547</v>
      </c>
      <c r="B50" t="str">
        <f t="shared" si="0"/>
        <v>Canton Longshoremen-Juan Márquez</v>
      </c>
      <c r="C50" t="str">
        <f t="shared" si="1"/>
        <v>Juan Márquez</v>
      </c>
      <c r="D50" t="str">
        <f t="shared" si="2"/>
        <v>Canton Longshoremen</v>
      </c>
      <c r="E50" t="str">
        <f t="shared" si="3"/>
        <v>$2,040,000</v>
      </c>
      <c r="F50" t="str">
        <f t="shared" si="4"/>
        <v/>
      </c>
      <c r="G50" t="str">
        <f t="shared" si="5"/>
        <v/>
      </c>
    </row>
    <row r="51" spans="1:7">
      <c r="A51" t="s">
        <v>1548</v>
      </c>
      <c r="B51" t="str">
        <f t="shared" si="0"/>
        <v>Gloucester Fishermen-Steve Hodge</v>
      </c>
      <c r="C51" t="str">
        <f t="shared" si="1"/>
        <v>Steve Hodge</v>
      </c>
      <c r="D51" t="str">
        <f t="shared" si="2"/>
        <v>Gloucester Fishermen</v>
      </c>
      <c r="E51" t="str">
        <f t="shared" si="3"/>
        <v>$230,000</v>
      </c>
      <c r="F51" t="str">
        <f t="shared" si="4"/>
        <v/>
      </c>
      <c r="G51" t="str">
        <f t="shared" si="5"/>
        <v/>
      </c>
    </row>
    <row r="52" spans="1:7">
      <c r="A52" t="s">
        <v>1549</v>
      </c>
      <c r="B52" t="str">
        <f t="shared" si="0"/>
        <v>Florida Featherheads-Dan Aguilar</v>
      </c>
      <c r="C52" t="str">
        <f t="shared" si="1"/>
        <v>Dan Aguilar</v>
      </c>
      <c r="D52" t="str">
        <f t="shared" si="2"/>
        <v>Florida Featherheads</v>
      </c>
      <c r="E52" t="str">
        <f t="shared" si="3"/>
        <v>$460,000</v>
      </c>
      <c r="F52" t="str">
        <f t="shared" si="4"/>
        <v/>
      </c>
      <c r="G52" t="str">
        <f t="shared" si="5"/>
        <v/>
      </c>
    </row>
    <row r="53" spans="1:7">
      <c r="A53" t="s">
        <v>1550</v>
      </c>
      <c r="B53" t="str">
        <f t="shared" si="0"/>
        <v>Bakersfield Bears-Javier Jiménez</v>
      </c>
      <c r="C53" t="str">
        <f t="shared" si="1"/>
        <v>Javier Jiménez</v>
      </c>
      <c r="D53" t="str">
        <f t="shared" si="2"/>
        <v>Bakersfield Bears</v>
      </c>
      <c r="E53" t="str">
        <f t="shared" si="3"/>
        <v>$200,000</v>
      </c>
      <c r="F53" t="str">
        <f t="shared" si="4"/>
        <v/>
      </c>
      <c r="G53" t="str">
        <f t="shared" si="5"/>
        <v/>
      </c>
    </row>
    <row r="54" spans="1:7">
      <c r="A54" t="s">
        <v>1551</v>
      </c>
      <c r="B54" t="str">
        <f t="shared" si="0"/>
        <v>Connecticut Nutmeggers-John Howe</v>
      </c>
      <c r="C54" t="str">
        <f t="shared" si="1"/>
        <v>John Howe</v>
      </c>
      <c r="D54" t="str">
        <f t="shared" si="2"/>
        <v>Connecticut Nutmeggers</v>
      </c>
      <c r="E54" t="str">
        <f t="shared" si="3"/>
        <v>$5,570,000</v>
      </c>
      <c r="F54" t="str">
        <f t="shared" si="4"/>
        <v/>
      </c>
      <c r="G54" t="str">
        <f t="shared" si="5"/>
        <v/>
      </c>
    </row>
    <row r="55" spans="1:7">
      <c r="A55" t="s">
        <v>1552</v>
      </c>
      <c r="B55" t="str">
        <f t="shared" si="0"/>
        <v>Gloucester Fishermen-Bob Hensley</v>
      </c>
      <c r="C55" t="str">
        <f t="shared" si="1"/>
        <v>Bob Hensley</v>
      </c>
      <c r="D55" t="str">
        <f t="shared" si="2"/>
        <v>Gloucester Fishermen</v>
      </c>
      <c r="E55" t="str">
        <f t="shared" si="3"/>
        <v>$270,000</v>
      </c>
      <c r="F55" t="str">
        <f t="shared" si="4"/>
        <v/>
      </c>
      <c r="G55" t="str">
        <f t="shared" si="5"/>
        <v/>
      </c>
    </row>
    <row r="56" spans="1:7">
      <c r="A56" t="s">
        <v>1553</v>
      </c>
      <c r="B56" t="str">
        <f t="shared" si="0"/>
        <v>Palm Springs Codgers-Joseph Lloyd</v>
      </c>
      <c r="C56" t="str">
        <f t="shared" si="1"/>
        <v>Joseph Lloyd</v>
      </c>
      <c r="D56" t="str">
        <f t="shared" si="2"/>
        <v>Palm Springs Codgers</v>
      </c>
      <c r="E56" t="str">
        <f t="shared" si="3"/>
        <v>$600,000</v>
      </c>
      <c r="F56" t="str">
        <f t="shared" si="4"/>
        <v/>
      </c>
      <c r="G56" t="str">
        <f t="shared" si="5"/>
        <v/>
      </c>
    </row>
    <row r="57" spans="1:7">
      <c r="A57" t="s">
        <v>1554</v>
      </c>
      <c r="B57" t="str">
        <f t="shared" si="0"/>
        <v>Palm Springs Codgers-Bob Whitaker</v>
      </c>
      <c r="C57" t="str">
        <f t="shared" si="1"/>
        <v>Bob Whitaker</v>
      </c>
      <c r="D57" t="str">
        <f t="shared" si="2"/>
        <v>Palm Springs Codgers</v>
      </c>
      <c r="E57" t="str">
        <f t="shared" si="3"/>
        <v>$2,880,000</v>
      </c>
      <c r="F57" t="str">
        <f t="shared" si="4"/>
        <v/>
      </c>
      <c r="G57" t="str">
        <f t="shared" si="5"/>
        <v/>
      </c>
    </row>
    <row r="58" spans="1:7">
      <c r="A58" t="s">
        <v>1555</v>
      </c>
      <c r="B58" t="str">
        <f t="shared" si="0"/>
        <v>Kalamazoo Badgers-Arturo Gonzáles</v>
      </c>
      <c r="C58" t="str">
        <f t="shared" si="1"/>
        <v>Arturo Gonzáles</v>
      </c>
      <c r="D58" t="str">
        <f t="shared" si="2"/>
        <v>Kalamazoo Badgers</v>
      </c>
      <c r="E58" t="str">
        <f t="shared" si="3"/>
        <v>$260,000</v>
      </c>
      <c r="F58" t="str">
        <f t="shared" si="4"/>
        <v/>
      </c>
      <c r="G58" t="str">
        <f t="shared" si="5"/>
        <v/>
      </c>
    </row>
    <row r="59" spans="1:7">
      <c r="A59" t="s">
        <v>1556</v>
      </c>
      <c r="B59" t="str">
        <f t="shared" si="0"/>
        <v>Florida Featherheads-Ronnie Green</v>
      </c>
      <c r="C59" t="str">
        <f t="shared" si="1"/>
        <v>Ronnie Green</v>
      </c>
      <c r="D59" t="str">
        <f t="shared" si="2"/>
        <v>Florida Featherheads</v>
      </c>
      <c r="E59" t="str">
        <f t="shared" si="3"/>
        <v>$350,000</v>
      </c>
      <c r="F59" t="str">
        <f t="shared" si="4"/>
        <v/>
      </c>
      <c r="G59" t="str">
        <f t="shared" si="5"/>
        <v/>
      </c>
    </row>
    <row r="60" spans="1:7">
      <c r="A60" t="s">
        <v>1557</v>
      </c>
      <c r="B60" t="str">
        <f t="shared" si="0"/>
        <v>Arlington Bureaucrats-Craig Grant</v>
      </c>
      <c r="C60" t="str">
        <f t="shared" si="1"/>
        <v>Craig Grant</v>
      </c>
      <c r="D60" t="str">
        <f t="shared" si="2"/>
        <v>Arlington Bureaucrats</v>
      </c>
      <c r="E60" t="str">
        <f t="shared" si="3"/>
        <v>$150,000</v>
      </c>
      <c r="F60" t="str">
        <f t="shared" si="4"/>
        <v/>
      </c>
      <c r="G60" t="str">
        <f t="shared" si="5"/>
        <v/>
      </c>
    </row>
    <row r="61" spans="1:7">
      <c r="A61" t="s">
        <v>1558</v>
      </c>
      <c r="B61" t="str">
        <f t="shared" si="0"/>
        <v>Charleston Statesmen-Bill Caldwell</v>
      </c>
      <c r="C61" t="str">
        <f t="shared" si="1"/>
        <v>Bill Caldwell</v>
      </c>
      <c r="D61" t="str">
        <f t="shared" si="2"/>
        <v>Charleston Statesmen</v>
      </c>
      <c r="E61" t="str">
        <f t="shared" si="3"/>
        <v>$2,160,000</v>
      </c>
      <c r="F61" t="str">
        <f t="shared" si="4"/>
        <v/>
      </c>
      <c r="G61" t="str">
        <f t="shared" si="5"/>
        <v/>
      </c>
    </row>
    <row r="62" spans="1:7">
      <c r="A62" t="s">
        <v>1559</v>
      </c>
      <c r="B62" t="str">
        <f t="shared" si="0"/>
        <v>Kentucky Thoroughbreds-Cris Chacón</v>
      </c>
      <c r="C62" t="str">
        <f t="shared" si="1"/>
        <v>Cris Chacón</v>
      </c>
      <c r="D62" t="str">
        <f t="shared" si="2"/>
        <v>Kentucky Thoroughbreds</v>
      </c>
      <c r="E62" t="str">
        <f t="shared" si="3"/>
        <v>$585,000</v>
      </c>
      <c r="F62" t="str">
        <f t="shared" si="4"/>
        <v/>
      </c>
      <c r="G62" t="str">
        <f t="shared" si="5"/>
        <v/>
      </c>
    </row>
    <row r="63" spans="1:7">
      <c r="A63" t="s">
        <v>1560</v>
      </c>
      <c r="B63" t="str">
        <f t="shared" si="0"/>
        <v>London Underground-Rafael Martínez</v>
      </c>
      <c r="C63" t="str">
        <f t="shared" si="1"/>
        <v>Rafael Martínez</v>
      </c>
      <c r="D63" t="str">
        <f t="shared" si="2"/>
        <v>London Underground</v>
      </c>
      <c r="E63" t="str">
        <f t="shared" si="3"/>
        <v>$190,000</v>
      </c>
      <c r="F63" t="str">
        <f t="shared" si="4"/>
        <v/>
      </c>
      <c r="G63" t="str">
        <f t="shared" si="5"/>
        <v/>
      </c>
    </row>
    <row r="64" spans="1:7">
      <c r="A64" t="s">
        <v>1561</v>
      </c>
      <c r="B64" t="str">
        <f t="shared" si="0"/>
        <v>Crystal Lake Sandgnats-Chad Miller</v>
      </c>
      <c r="C64" t="str">
        <f t="shared" si="1"/>
        <v>Chad Miller</v>
      </c>
      <c r="D64" t="str">
        <f t="shared" si="2"/>
        <v>Crystal Lake Sandgnats</v>
      </c>
      <c r="E64" t="str">
        <f t="shared" si="3"/>
        <v>$500,000</v>
      </c>
      <c r="F64" t="str">
        <f t="shared" si="4"/>
        <v/>
      </c>
      <c r="G64" t="str">
        <f t="shared" si="5"/>
        <v/>
      </c>
    </row>
    <row r="65" spans="1:7">
      <c r="A65" t="s">
        <v>1562</v>
      </c>
      <c r="B65" t="str">
        <f t="shared" si="0"/>
        <v>Crystal Lake Sandgnats-Mark Rivera</v>
      </c>
      <c r="C65" t="str">
        <f t="shared" si="1"/>
        <v>Mark Rivera</v>
      </c>
      <c r="D65" t="str">
        <f t="shared" si="2"/>
        <v>Crystal Lake Sandgnats</v>
      </c>
      <c r="E65" t="str">
        <f t="shared" si="3"/>
        <v>$150,000</v>
      </c>
      <c r="F65" t="str">
        <f t="shared" si="4"/>
        <v/>
      </c>
      <c r="G65" t="str">
        <f t="shared" si="5"/>
        <v/>
      </c>
    </row>
    <row r="66" spans="1:7">
      <c r="A66" t="s">
        <v>1527</v>
      </c>
      <c r="B66" t="str">
        <f t="shared" si="0"/>
        <v>Arlington Bureaucrats-Danny Cooley</v>
      </c>
      <c r="C66" t="str">
        <f t="shared" si="1"/>
        <v>Danny Cooley</v>
      </c>
      <c r="D66" t="str">
        <f t="shared" si="2"/>
        <v>Arlington Bureaucrats</v>
      </c>
      <c r="E66" t="str">
        <f t="shared" si="3"/>
        <v>$430,000</v>
      </c>
      <c r="F66" t="str">
        <f t="shared" si="4"/>
        <v/>
      </c>
      <c r="G66" t="str">
        <f t="shared" si="5"/>
        <v/>
      </c>
    </row>
    <row r="67" spans="1:7">
      <c r="A67" t="s">
        <v>1528</v>
      </c>
      <c r="B67" t="str">
        <f t="shared" ref="B67:B100" si="6">D67&amp;"-"&amp;C67</f>
        <v>Arlington Bureaucrats-Gerardo Mora</v>
      </c>
      <c r="C67" t="str">
        <f t="shared" ref="C67:C100" si="7">IF(ISERROR(FIND("major league contract",$A67)),MID($A67,FIND("Signed",$A67)+7,FIND(" to a minor league",A67)-FIND("Signed",$A67)-7),MID($A67,FIND("draft pick",$A67)+11,FIND(" for a signing bonus",A67)-FIND("draft pick",$A67)-11))</f>
        <v>Gerardo Mora</v>
      </c>
      <c r="D67" t="str">
        <f t="shared" ref="D67:D100" si="8">MID($A67,1,FIND(":",$A67)-1)</f>
        <v>Arlington Bureaucrats</v>
      </c>
      <c r="E67" t="str">
        <f t="shared" ref="E67:E100" si="9">IF(ISERROR(FIND("major league contract",$A67)),MID($A67,FIND("$",$A67),FIND(".",$A67,FIND("$",$A67))-FIND("$",$A67)),MID($A67,FIND("$",$A67),FIND(" ",$A67,FIND("$",$A67))-FIND("$",$A67)))</f>
        <v>$250,000</v>
      </c>
      <c r="F67" t="str">
        <f t="shared" ref="F67:F100" si="10">IF(ISERROR(FIND("major league contract",$A67)),"",MID($A67,FIND("major league contract",$A67)+39,LEN($A67)-FIND("major league contract",$A67)-39))</f>
        <v/>
      </c>
      <c r="G67" t="str">
        <f t="shared" ref="G67:G100" si="11">IF(ISERROR(FIND("major league contract",$A67)),"",MID($A67,FIND("major league contract",$A67)-7,1))</f>
        <v/>
      </c>
    </row>
    <row r="68" spans="1:7">
      <c r="A68" t="s">
        <v>1529</v>
      </c>
      <c r="B68" t="str">
        <f t="shared" si="6"/>
        <v>Manchester Maulers-Ernest Singleton</v>
      </c>
      <c r="C68" t="str">
        <f t="shared" si="7"/>
        <v>Ernest Singleton</v>
      </c>
      <c r="D68" t="str">
        <f t="shared" si="8"/>
        <v>Manchester Maulers</v>
      </c>
      <c r="E68" t="str">
        <f t="shared" si="9"/>
        <v>$550,000</v>
      </c>
      <c r="F68" t="str">
        <f t="shared" si="10"/>
        <v/>
      </c>
      <c r="G68" t="str">
        <f t="shared" si="11"/>
        <v/>
      </c>
    </row>
    <row r="69" spans="1:7">
      <c r="A69" t="s">
        <v>1530</v>
      </c>
      <c r="B69" t="str">
        <f t="shared" si="6"/>
        <v>Connecticut Nutmeggers-Matt Nielsen</v>
      </c>
      <c r="C69" t="str">
        <f t="shared" si="7"/>
        <v>Matt Nielsen</v>
      </c>
      <c r="D69" t="str">
        <f t="shared" si="8"/>
        <v>Connecticut Nutmeggers</v>
      </c>
      <c r="E69" t="str">
        <f t="shared" si="9"/>
        <v>$320,000</v>
      </c>
      <c r="F69" t="str">
        <f t="shared" si="10"/>
        <v/>
      </c>
      <c r="G69" t="str">
        <f t="shared" si="11"/>
        <v/>
      </c>
    </row>
    <row r="70" spans="1:7">
      <c r="A70" t="s">
        <v>1531</v>
      </c>
      <c r="B70" t="str">
        <f t="shared" si="6"/>
        <v>Florida Featherheads-Alexis Hancock</v>
      </c>
      <c r="C70" t="str">
        <f t="shared" si="7"/>
        <v>Alexis Hancock</v>
      </c>
      <c r="D70" t="str">
        <f t="shared" si="8"/>
        <v>Florida Featherheads</v>
      </c>
      <c r="E70" t="str">
        <f t="shared" si="9"/>
        <v>$1,140,000</v>
      </c>
      <c r="F70" t="str">
        <f t="shared" si="10"/>
        <v/>
      </c>
      <c r="G70" t="str">
        <f t="shared" si="11"/>
        <v/>
      </c>
    </row>
    <row r="71" spans="1:7">
      <c r="A71" t="s">
        <v>1532</v>
      </c>
      <c r="B71" t="str">
        <f t="shared" si="6"/>
        <v>Arlington Bureaucrats-Arthur Gibson</v>
      </c>
      <c r="C71" t="str">
        <f t="shared" si="7"/>
        <v>Arthur Gibson</v>
      </c>
      <c r="D71" t="str">
        <f t="shared" si="8"/>
        <v>Arlington Bureaucrats</v>
      </c>
      <c r="E71" t="str">
        <f t="shared" si="9"/>
        <v>$190,000</v>
      </c>
      <c r="F71" t="str">
        <f t="shared" si="10"/>
        <v/>
      </c>
      <c r="G71" t="str">
        <f t="shared" si="11"/>
        <v/>
      </c>
    </row>
    <row r="72" spans="1:7">
      <c r="A72" t="s">
        <v>1533</v>
      </c>
      <c r="B72" t="str">
        <f t="shared" si="6"/>
        <v>Florida Featherheads-Juan Jose Báez</v>
      </c>
      <c r="C72" t="str">
        <f t="shared" si="7"/>
        <v>Juan Jose Báez</v>
      </c>
      <c r="D72" t="str">
        <f t="shared" si="8"/>
        <v>Florida Featherheads</v>
      </c>
      <c r="E72" t="str">
        <f t="shared" si="9"/>
        <v>$180,000</v>
      </c>
      <c r="F72" t="str">
        <f t="shared" si="10"/>
        <v/>
      </c>
      <c r="G72" t="str">
        <f t="shared" si="11"/>
        <v/>
      </c>
    </row>
    <row r="73" spans="1:7">
      <c r="A73" t="s">
        <v>1534</v>
      </c>
      <c r="B73" t="str">
        <f t="shared" si="6"/>
        <v>Manchester Maulers-Lambert Blanchet</v>
      </c>
      <c r="C73" t="str">
        <f t="shared" si="7"/>
        <v>Lambert Blanchet</v>
      </c>
      <c r="D73" t="str">
        <f t="shared" si="8"/>
        <v>Manchester Maulers</v>
      </c>
      <c r="E73" t="str">
        <f t="shared" si="9"/>
        <v>$230,000</v>
      </c>
      <c r="F73" t="str">
        <f t="shared" si="10"/>
        <v/>
      </c>
      <c r="G73" t="str">
        <f t="shared" si="11"/>
        <v/>
      </c>
    </row>
    <row r="74" spans="1:7">
      <c r="A74" t="s">
        <v>1535</v>
      </c>
      <c r="B74" t="str">
        <f t="shared" si="6"/>
        <v>Arlington Bureaucrats-Keith Jenkins</v>
      </c>
      <c r="C74" t="str">
        <f t="shared" si="7"/>
        <v>Keith Jenkins</v>
      </c>
      <c r="D74" t="str">
        <f t="shared" si="8"/>
        <v>Arlington Bureaucrats</v>
      </c>
      <c r="E74" t="str">
        <f t="shared" si="9"/>
        <v>$210,000</v>
      </c>
      <c r="F74" t="str">
        <f t="shared" si="10"/>
        <v/>
      </c>
      <c r="G74" t="str">
        <f t="shared" si="11"/>
        <v/>
      </c>
    </row>
    <row r="75" spans="1:7">
      <c r="A75" t="s">
        <v>1536</v>
      </c>
      <c r="B75" t="str">
        <f t="shared" si="6"/>
        <v>Connecticut Nutmeggers-David Sánchez</v>
      </c>
      <c r="C75" t="str">
        <f t="shared" si="7"/>
        <v>David Sánchez</v>
      </c>
      <c r="D75" t="str">
        <f t="shared" si="8"/>
        <v>Connecticut Nutmeggers</v>
      </c>
      <c r="E75" t="str">
        <f t="shared" si="9"/>
        <v>$330,000</v>
      </c>
      <c r="F75" t="str">
        <f t="shared" si="10"/>
        <v/>
      </c>
      <c r="G75" t="str">
        <f t="shared" si="11"/>
        <v/>
      </c>
    </row>
    <row r="76" spans="1:7">
      <c r="A76" t="s">
        <v>1537</v>
      </c>
      <c r="B76" t="str">
        <f t="shared" si="6"/>
        <v>Gloucester Fishermen-Charles Spencer</v>
      </c>
      <c r="C76" t="str">
        <f t="shared" si="7"/>
        <v>Charles Spencer</v>
      </c>
      <c r="D76" t="str">
        <f t="shared" si="8"/>
        <v>Gloucester Fishermen</v>
      </c>
      <c r="E76" t="str">
        <f t="shared" si="9"/>
        <v>$900,000</v>
      </c>
      <c r="F76" t="str">
        <f t="shared" si="10"/>
        <v/>
      </c>
      <c r="G76" t="str">
        <f t="shared" si="11"/>
        <v/>
      </c>
    </row>
    <row r="77" spans="1:7">
      <c r="A77" t="s">
        <v>1538</v>
      </c>
      <c r="B77" t="str">
        <f t="shared" si="6"/>
        <v>Kentucky Thoroughbreds-Stephen Clark</v>
      </c>
      <c r="C77" t="str">
        <f t="shared" si="7"/>
        <v>Stephen Clark</v>
      </c>
      <c r="D77" t="str">
        <f t="shared" si="8"/>
        <v>Kentucky Thoroughbreds</v>
      </c>
      <c r="E77" t="str">
        <f t="shared" si="9"/>
        <v>$750,000</v>
      </c>
      <c r="F77" t="str">
        <f t="shared" si="10"/>
        <v/>
      </c>
      <c r="G77" t="str">
        <f t="shared" si="11"/>
        <v/>
      </c>
    </row>
    <row r="78" spans="1:7">
      <c r="A78" t="s">
        <v>1539</v>
      </c>
      <c r="B78" t="str">
        <f t="shared" si="6"/>
        <v>West Virginia Alleghenies-Eddy Price</v>
      </c>
      <c r="C78" t="str">
        <f t="shared" si="7"/>
        <v>Eddy Price</v>
      </c>
      <c r="D78" t="str">
        <f t="shared" si="8"/>
        <v>West Virginia Alleghenies</v>
      </c>
      <c r="E78" t="str">
        <f t="shared" si="9"/>
        <v>$210,000</v>
      </c>
      <c r="F78" t="str">
        <f t="shared" si="10"/>
        <v/>
      </c>
      <c r="G78" t="str">
        <f t="shared" si="11"/>
        <v/>
      </c>
    </row>
    <row r="79" spans="1:7">
      <c r="A79" t="s">
        <v>1540</v>
      </c>
      <c r="B79" t="str">
        <f t="shared" si="6"/>
        <v>Kentucky Thoroughbreds-Hideaki Sakei</v>
      </c>
      <c r="C79" t="str">
        <f t="shared" si="7"/>
        <v>Hideaki Sakei</v>
      </c>
      <c r="D79" t="str">
        <f t="shared" si="8"/>
        <v>Kentucky Thoroughbreds</v>
      </c>
      <c r="E79" t="str">
        <f t="shared" si="9"/>
        <v>$1,380,000</v>
      </c>
      <c r="F79" t="str">
        <f t="shared" si="10"/>
        <v/>
      </c>
      <c r="G79" t="str">
        <f t="shared" si="11"/>
        <v/>
      </c>
    </row>
    <row r="80" spans="1:7">
      <c r="A80" t="s">
        <v>1541</v>
      </c>
      <c r="B80" t="str">
        <f t="shared" si="6"/>
        <v>Palm Springs Codgers-William Pollock</v>
      </c>
      <c r="C80" t="str">
        <f t="shared" si="7"/>
        <v>William Pollock</v>
      </c>
      <c r="D80" t="str">
        <f t="shared" si="8"/>
        <v>Palm Springs Codgers</v>
      </c>
      <c r="E80" t="str">
        <f t="shared" si="9"/>
        <v>$1,590,000</v>
      </c>
      <c r="F80" t="str">
        <f t="shared" si="10"/>
        <v/>
      </c>
      <c r="G80" t="str">
        <f t="shared" si="11"/>
        <v/>
      </c>
    </row>
    <row r="81" spans="1:7">
      <c r="A81" t="s">
        <v>1542</v>
      </c>
      <c r="B81" t="str">
        <f t="shared" si="6"/>
        <v>London Underground-Christian O'Rorke</v>
      </c>
      <c r="C81" t="str">
        <f t="shared" si="7"/>
        <v>Christian O'Rorke</v>
      </c>
      <c r="D81" t="str">
        <f t="shared" si="8"/>
        <v>London Underground</v>
      </c>
      <c r="E81" t="str">
        <f t="shared" si="9"/>
        <v>$1,400,000</v>
      </c>
      <c r="F81" t="str">
        <f t="shared" si="10"/>
        <v/>
      </c>
      <c r="G81" t="str">
        <f t="shared" si="11"/>
        <v/>
      </c>
    </row>
    <row r="82" spans="1:7">
      <c r="A82" t="s">
        <v>1543</v>
      </c>
      <c r="B82" t="str">
        <f t="shared" si="6"/>
        <v>Arlington Bureaucrats-Jeremy Johnson</v>
      </c>
      <c r="C82" t="str">
        <f t="shared" si="7"/>
        <v>Jeremy Johnson</v>
      </c>
      <c r="D82" t="str">
        <f t="shared" si="8"/>
        <v>Arlington Bureaucrats</v>
      </c>
      <c r="E82" t="str">
        <f t="shared" si="9"/>
        <v>$200,000</v>
      </c>
      <c r="F82" t="str">
        <f t="shared" si="10"/>
        <v/>
      </c>
      <c r="G82" t="str">
        <f t="shared" si="11"/>
        <v/>
      </c>
    </row>
    <row r="83" spans="1:7">
      <c r="A83" t="s">
        <v>1544</v>
      </c>
      <c r="B83" t="str">
        <f t="shared" si="6"/>
        <v>Kentucky Thoroughbreds-Rob Washington</v>
      </c>
      <c r="C83" t="str">
        <f t="shared" si="7"/>
        <v>Rob Washington</v>
      </c>
      <c r="D83" t="str">
        <f t="shared" si="8"/>
        <v>Kentucky Thoroughbreds</v>
      </c>
      <c r="E83" t="str">
        <f t="shared" si="9"/>
        <v>$190,000</v>
      </c>
      <c r="F83" t="str">
        <f t="shared" si="10"/>
        <v/>
      </c>
      <c r="G83" t="str">
        <f t="shared" si="11"/>
        <v/>
      </c>
    </row>
    <row r="84" spans="1:7">
      <c r="A84" t="s">
        <v>1504</v>
      </c>
      <c r="B84" t="str">
        <f t="shared" si="6"/>
        <v>Palm Springs Codgers-Bobby Strickland</v>
      </c>
      <c r="C84" t="str">
        <f t="shared" si="7"/>
        <v>Bobby Strickland</v>
      </c>
      <c r="D84" t="str">
        <f t="shared" si="8"/>
        <v>Palm Springs Codgers</v>
      </c>
      <c r="E84" t="str">
        <f t="shared" si="9"/>
        <v>$320,000</v>
      </c>
      <c r="F84" t="str">
        <f t="shared" si="10"/>
        <v/>
      </c>
      <c r="G84" t="str">
        <f t="shared" si="11"/>
        <v/>
      </c>
    </row>
    <row r="85" spans="1:7">
      <c r="A85" t="s">
        <v>1505</v>
      </c>
      <c r="B85" t="str">
        <f t="shared" si="6"/>
        <v>Kentucky Thoroughbreds-António Valdéz</v>
      </c>
      <c r="C85" t="str">
        <f t="shared" si="7"/>
        <v>António Valdéz</v>
      </c>
      <c r="D85" t="str">
        <f t="shared" si="8"/>
        <v>Kentucky Thoroughbreds</v>
      </c>
      <c r="E85" t="str">
        <f t="shared" si="9"/>
        <v>$1,550,000</v>
      </c>
      <c r="F85" t="str">
        <f t="shared" si="10"/>
        <v/>
      </c>
      <c r="G85" t="str">
        <f t="shared" si="11"/>
        <v/>
      </c>
    </row>
    <row r="86" spans="1:7">
      <c r="A86" t="s">
        <v>1506</v>
      </c>
      <c r="B86" t="str">
        <f t="shared" si="6"/>
        <v>New Orleans Trendsetters-Les Morrison</v>
      </c>
      <c r="C86" t="str">
        <f t="shared" si="7"/>
        <v>Les Morrison</v>
      </c>
      <c r="D86" t="str">
        <f t="shared" si="8"/>
        <v>New Orleans Trendsetters</v>
      </c>
      <c r="E86" t="str">
        <f t="shared" si="9"/>
        <v>$670,000</v>
      </c>
      <c r="F86" t="str">
        <f t="shared" si="10"/>
        <v/>
      </c>
      <c r="G86" t="str">
        <f t="shared" si="11"/>
        <v/>
      </c>
    </row>
    <row r="87" spans="1:7">
      <c r="A87" t="s">
        <v>1507</v>
      </c>
      <c r="B87" t="str">
        <f t="shared" si="6"/>
        <v>Palm Springs Codgers-Mathieu Turcotte</v>
      </c>
      <c r="C87" t="str">
        <f t="shared" si="7"/>
        <v>Mathieu Turcotte</v>
      </c>
      <c r="D87" t="str">
        <f t="shared" si="8"/>
        <v>Palm Springs Codgers</v>
      </c>
      <c r="E87" t="str">
        <f t="shared" si="9"/>
        <v>$270,000</v>
      </c>
      <c r="F87" t="str">
        <f t="shared" si="10"/>
        <v/>
      </c>
      <c r="G87" t="str">
        <f t="shared" si="11"/>
        <v/>
      </c>
    </row>
    <row r="88" spans="1:7">
      <c r="A88" t="s">
        <v>1508</v>
      </c>
      <c r="B88" t="str">
        <f t="shared" si="6"/>
        <v>West Virginia Alleghenies-Mike Dotson</v>
      </c>
      <c r="C88" t="str">
        <f t="shared" si="7"/>
        <v>Mike Dotson</v>
      </c>
      <c r="D88" t="str">
        <f t="shared" si="8"/>
        <v>West Virginia Alleghenies</v>
      </c>
      <c r="E88" t="str">
        <f t="shared" si="9"/>
        <v>$1,720,000</v>
      </c>
      <c r="F88" t="str">
        <f t="shared" si="10"/>
        <v/>
      </c>
      <c r="G88" t="str">
        <f t="shared" si="11"/>
        <v/>
      </c>
    </row>
    <row r="89" spans="1:7">
      <c r="A89" t="s">
        <v>1509</v>
      </c>
      <c r="B89" t="str">
        <f t="shared" si="6"/>
        <v>Canton Longshoremen-Michael Wilkinson</v>
      </c>
      <c r="C89" t="str">
        <f t="shared" si="7"/>
        <v>Michael Wilkinson</v>
      </c>
      <c r="D89" t="str">
        <f t="shared" si="8"/>
        <v>Canton Longshoremen</v>
      </c>
      <c r="E89" t="str">
        <f t="shared" si="9"/>
        <v>$2,600,000</v>
      </c>
      <c r="F89" t="str">
        <f t="shared" si="10"/>
        <v/>
      </c>
      <c r="G89" t="str">
        <f t="shared" si="11"/>
        <v/>
      </c>
    </row>
    <row r="90" spans="1:7">
      <c r="A90" t="s">
        <v>1510</v>
      </c>
      <c r="B90" t="str">
        <f t="shared" si="6"/>
        <v>Kentucky Thoroughbreds-Roger MacDrain</v>
      </c>
      <c r="C90" t="str">
        <f t="shared" si="7"/>
        <v>Roger MacDrain</v>
      </c>
      <c r="D90" t="str">
        <f t="shared" si="8"/>
        <v>Kentucky Thoroughbreds</v>
      </c>
      <c r="E90" t="str">
        <f t="shared" si="9"/>
        <v>$280,000</v>
      </c>
      <c r="F90" t="str">
        <f t="shared" si="10"/>
        <v/>
      </c>
      <c r="G90" t="str">
        <f t="shared" si="11"/>
        <v/>
      </c>
    </row>
    <row r="91" spans="1:7">
      <c r="A91" t="s">
        <v>1511</v>
      </c>
      <c r="B91" t="str">
        <f t="shared" si="6"/>
        <v>Florida Featherheads-Stephen Townsend</v>
      </c>
      <c r="C91" t="str">
        <f t="shared" si="7"/>
        <v>Stephen Townsend</v>
      </c>
      <c r="D91" t="str">
        <f t="shared" si="8"/>
        <v>Florida Featherheads</v>
      </c>
      <c r="E91" t="str">
        <f t="shared" si="9"/>
        <v>$280,000</v>
      </c>
      <c r="F91" t="str">
        <f t="shared" si="10"/>
        <v/>
      </c>
      <c r="G91" t="str">
        <f t="shared" si="11"/>
        <v/>
      </c>
    </row>
    <row r="92" spans="1:7">
      <c r="A92" t="s">
        <v>1512</v>
      </c>
      <c r="B92" t="str">
        <f t="shared" si="6"/>
        <v>Crystal Lake Sandgnats-Brandon Johnson</v>
      </c>
      <c r="C92" t="str">
        <f t="shared" si="7"/>
        <v>Brandon Johnson</v>
      </c>
      <c r="D92" t="str">
        <f t="shared" si="8"/>
        <v>Crystal Lake Sandgnats</v>
      </c>
      <c r="E92" t="str">
        <f t="shared" si="9"/>
        <v>$400,000</v>
      </c>
      <c r="F92" t="str">
        <f t="shared" si="10"/>
        <v/>
      </c>
      <c r="G92" t="str">
        <f t="shared" si="11"/>
        <v/>
      </c>
    </row>
    <row r="93" spans="1:7">
      <c r="A93" t="s">
        <v>1513</v>
      </c>
      <c r="B93" t="str">
        <f t="shared" si="6"/>
        <v>Arlington Bureaucrats-Xavier Hernández</v>
      </c>
      <c r="C93" t="str">
        <f t="shared" si="7"/>
        <v>Xavier Hernández</v>
      </c>
      <c r="D93" t="str">
        <f t="shared" si="8"/>
        <v>Arlington Bureaucrats</v>
      </c>
      <c r="E93" t="str">
        <f t="shared" si="9"/>
        <v>$290,000</v>
      </c>
      <c r="F93" t="str">
        <f t="shared" si="10"/>
        <v/>
      </c>
      <c r="G93" t="str">
        <f t="shared" si="11"/>
        <v/>
      </c>
    </row>
    <row r="94" spans="1:7">
      <c r="A94" t="s">
        <v>1514</v>
      </c>
      <c r="B94" t="str">
        <f t="shared" si="6"/>
        <v>Crystal Lake Sandgnats-Mark Montgomery</v>
      </c>
      <c r="C94" t="str">
        <f t="shared" si="7"/>
        <v>Mark Montgomery</v>
      </c>
      <c r="D94" t="str">
        <f t="shared" si="8"/>
        <v>Crystal Lake Sandgnats</v>
      </c>
      <c r="E94" t="str">
        <f t="shared" si="9"/>
        <v>$1,090,000</v>
      </c>
      <c r="F94" t="str">
        <f t="shared" si="10"/>
        <v/>
      </c>
      <c r="G94" t="str">
        <f t="shared" si="11"/>
        <v/>
      </c>
    </row>
    <row r="95" spans="1:7">
      <c r="A95" t="s">
        <v>1515</v>
      </c>
      <c r="B95" t="str">
        <f t="shared" si="6"/>
        <v>Kentucky Thoroughbreds-Donald Hamilton</v>
      </c>
      <c r="C95" t="str">
        <f t="shared" si="7"/>
        <v>Donald Hamilton</v>
      </c>
      <c r="D95" t="str">
        <f t="shared" si="8"/>
        <v>Kentucky Thoroughbreds</v>
      </c>
      <c r="E95" t="str">
        <f t="shared" si="9"/>
        <v>$3,100,000</v>
      </c>
      <c r="F95" t="str">
        <f t="shared" si="10"/>
        <v/>
      </c>
      <c r="G95" t="str">
        <f t="shared" si="11"/>
        <v/>
      </c>
    </row>
    <row r="96" spans="1:7">
      <c r="A96" t="s">
        <v>1516</v>
      </c>
      <c r="B96" t="str">
        <f t="shared" si="6"/>
        <v>Crystal Lake Sandgnats-Thurman Collins</v>
      </c>
      <c r="C96" t="str">
        <f t="shared" si="7"/>
        <v>Thurman Collins</v>
      </c>
      <c r="D96" t="str">
        <f t="shared" si="8"/>
        <v>Crystal Lake Sandgnats</v>
      </c>
      <c r="E96" t="str">
        <f t="shared" si="9"/>
        <v>$260,000</v>
      </c>
      <c r="F96" t="str">
        <f t="shared" si="10"/>
        <v/>
      </c>
      <c r="G96" t="str">
        <f t="shared" si="11"/>
        <v/>
      </c>
    </row>
    <row r="97" spans="1:7">
      <c r="A97" t="s">
        <v>1517</v>
      </c>
      <c r="B97" t="str">
        <f t="shared" si="6"/>
        <v>Crystal Lake Sandgnats-Nelson Rodríguez</v>
      </c>
      <c r="C97" t="str">
        <f t="shared" si="7"/>
        <v>Nelson Rodríguez</v>
      </c>
      <c r="D97" t="str">
        <f t="shared" si="8"/>
        <v>Crystal Lake Sandgnats</v>
      </c>
      <c r="E97" t="str">
        <f t="shared" si="9"/>
        <v>$180,000</v>
      </c>
      <c r="F97" t="str">
        <f t="shared" si="10"/>
        <v/>
      </c>
      <c r="G97" t="str">
        <f t="shared" si="11"/>
        <v/>
      </c>
    </row>
    <row r="98" spans="1:7">
      <c r="A98" t="s">
        <v>1518</v>
      </c>
      <c r="B98" t="str">
        <f t="shared" si="6"/>
        <v>Connecticut Nutmeggers-Salvador González</v>
      </c>
      <c r="C98" t="str">
        <f t="shared" si="7"/>
        <v>Salvador González</v>
      </c>
      <c r="D98" t="str">
        <f t="shared" si="8"/>
        <v>Connecticut Nutmeggers</v>
      </c>
      <c r="E98" t="str">
        <f t="shared" si="9"/>
        <v>$650,000</v>
      </c>
      <c r="F98" t="str">
        <f t="shared" si="10"/>
        <v/>
      </c>
      <c r="G98" t="str">
        <f t="shared" si="11"/>
        <v/>
      </c>
    </row>
    <row r="99" spans="1:7">
      <c r="A99" t="s">
        <v>1519</v>
      </c>
      <c r="B99" t="str">
        <f t="shared" si="6"/>
        <v>West Virginia Alleghenies-Fernando Moreno</v>
      </c>
      <c r="C99" t="str">
        <f t="shared" si="7"/>
        <v>Fernando Moreno</v>
      </c>
      <c r="D99" t="str">
        <f t="shared" si="8"/>
        <v>West Virginia Alleghenies</v>
      </c>
      <c r="E99" t="str">
        <f t="shared" si="9"/>
        <v>$4,500,000</v>
      </c>
      <c r="F99" t="str">
        <f t="shared" si="10"/>
        <v/>
      </c>
      <c r="G99" t="str">
        <f t="shared" si="11"/>
        <v/>
      </c>
    </row>
    <row r="100" spans="1:7">
      <c r="A100" t="s">
        <v>1520</v>
      </c>
      <c r="B100" t="str">
        <f t="shared" si="6"/>
        <v>West Virginia Alleghenies-Javier Martínez</v>
      </c>
      <c r="C100" t="str">
        <f t="shared" si="7"/>
        <v>Javier Martínez</v>
      </c>
      <c r="D100" t="str">
        <f t="shared" si="8"/>
        <v>West Virginia Alleghenies</v>
      </c>
      <c r="E100" t="str">
        <f t="shared" si="9"/>
        <v>$210,000</v>
      </c>
      <c r="F100" t="str">
        <f t="shared" si="10"/>
        <v/>
      </c>
      <c r="G100" t="str">
        <f t="shared" si="11"/>
        <v/>
      </c>
    </row>
  </sheetData>
  <phoneticPr fontId="1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BvP</vt:lpstr>
      <vt:lpstr>Bat</vt:lpstr>
      <vt:lpstr>Pit</vt:lpstr>
      <vt:lpstr>Draft List</vt:lpstr>
      <vt:lpstr>Con</vt:lpstr>
      <vt:lpstr>Salary Pivot</vt:lpstr>
      <vt:lpstr>COND</vt:lpstr>
      <vt:lpstr>draft_listing_batters_stats</vt:lpstr>
      <vt:lpstr>draft_listing_pitchers_stats</vt:lpstr>
      <vt:lpstr>Results</vt:lpstr>
      <vt:lpstr>Bonuses</vt:lpstr>
    </vt:vector>
  </TitlesOfParts>
  <Company>Providence Health &amp;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Frederik Esselink</cp:lastModifiedBy>
  <dcterms:created xsi:type="dcterms:W3CDTF">2012-09-14T15:39:02Z</dcterms:created>
  <dcterms:modified xsi:type="dcterms:W3CDTF">2013-04-12T05:57:12Z</dcterms:modified>
</cp:coreProperties>
</file>